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36"/>
  </bookViews>
  <sheets>
    <sheet name="Bilance" sheetId="5" r:id="rId1"/>
    <sheet name="pomocná tabulka" sheetId="4" state="hidden" r:id="rId2"/>
  </sheets>
  <definedNames>
    <definedName name="_xlnm.Print_Titles" localSheetId="0">Bilance!$3:$7</definedName>
    <definedName name="_xlnm.Print_Area" localSheetId="0">Bilance!$A$1:$R$105</definedName>
    <definedName name="_xlnm.Print_Area" localSheetId="1">'pomocná tabulka'!$A$1:$T$24</definedName>
  </definedNames>
  <calcPr calcId="145621"/>
</workbook>
</file>

<file path=xl/calcChain.xml><?xml version="1.0" encoding="utf-8"?>
<calcChain xmlns="http://schemas.openxmlformats.org/spreadsheetml/2006/main">
  <c r="F17" i="5" l="1"/>
  <c r="F16" i="5"/>
  <c r="K53" i="5" l="1"/>
  <c r="K101" i="5" l="1"/>
  <c r="J101" i="5"/>
  <c r="F53" i="5"/>
  <c r="O52" i="5"/>
  <c r="J53" i="5" l="1"/>
  <c r="K40" i="5" l="1"/>
  <c r="J40" i="5"/>
  <c r="K33" i="5"/>
  <c r="J33" i="5"/>
  <c r="K17" i="5"/>
  <c r="J17" i="5"/>
  <c r="F103" i="5"/>
  <c r="F101" i="5"/>
  <c r="E53" i="5"/>
  <c r="F18" i="5" l="1"/>
  <c r="E16" i="5"/>
  <c r="L69" i="5" l="1"/>
  <c r="T67" i="5" l="1"/>
  <c r="T53" i="5"/>
  <c r="T48" i="5"/>
  <c r="T40" i="5"/>
  <c r="F33" i="5" l="1"/>
  <c r="H32" i="5"/>
  <c r="E8" i="5"/>
  <c r="P33" i="5" l="1"/>
  <c r="N33" i="5"/>
  <c r="R5" i="4"/>
  <c r="I33" i="5" l="1"/>
  <c r="E33" i="5"/>
  <c r="O33" i="5" s="1"/>
  <c r="D33" i="5"/>
  <c r="N53" i="5" l="1"/>
  <c r="N40" i="5"/>
  <c r="I53" i="5"/>
  <c r="I40" i="5"/>
  <c r="D53" i="5"/>
  <c r="D40" i="5"/>
  <c r="P24" i="4" l="1"/>
  <c r="O24" i="4"/>
  <c r="N24" i="4"/>
  <c r="P23" i="4"/>
  <c r="O23" i="4"/>
  <c r="N23" i="4"/>
  <c r="N20" i="4"/>
  <c r="N18" i="4"/>
  <c r="R17" i="4"/>
  <c r="R16" i="4"/>
  <c r="P16" i="4"/>
  <c r="P18" i="4" s="1"/>
  <c r="O16" i="4"/>
  <c r="O18" i="4" s="1"/>
  <c r="N16" i="4"/>
  <c r="T15" i="4"/>
  <c r="S15" i="4"/>
  <c r="R15" i="4"/>
  <c r="T14" i="4"/>
  <c r="S14" i="4"/>
  <c r="R14" i="4"/>
  <c r="N13" i="4"/>
  <c r="R12" i="4"/>
  <c r="R11" i="4"/>
  <c r="N11" i="4"/>
  <c r="T10" i="4"/>
  <c r="S10" i="4"/>
  <c r="R10" i="4"/>
  <c r="R9" i="4"/>
  <c r="N9" i="4"/>
  <c r="T8" i="4"/>
  <c r="S8" i="4"/>
  <c r="R8" i="4"/>
  <c r="R7" i="4"/>
  <c r="P7" i="4"/>
  <c r="P9" i="4" s="1"/>
  <c r="P11" i="4" s="1"/>
  <c r="P13" i="4" s="1"/>
  <c r="O7" i="4"/>
  <c r="O9" i="4" s="1"/>
  <c r="O11" i="4" s="1"/>
  <c r="O13" i="4" s="1"/>
  <c r="N7" i="4"/>
  <c r="T6" i="4"/>
  <c r="P20" i="4" l="1"/>
  <c r="O20" i="4"/>
  <c r="T5" i="4"/>
  <c r="S6" i="4"/>
  <c r="R6" i="4"/>
  <c r="S5" i="4"/>
  <c r="H24" i="4" l="1"/>
  <c r="G24" i="4"/>
  <c r="F24" i="4"/>
  <c r="H23" i="4"/>
  <c r="G23" i="4"/>
  <c r="F23" i="4"/>
  <c r="F18" i="4"/>
  <c r="H16" i="4"/>
  <c r="H18" i="4" s="1"/>
  <c r="G16" i="4"/>
  <c r="G18" i="4" s="1"/>
  <c r="F16" i="4"/>
  <c r="F13" i="4"/>
  <c r="F20" i="4" s="1"/>
  <c r="F11" i="4"/>
  <c r="F9" i="4"/>
  <c r="H7" i="4"/>
  <c r="H9" i="4" s="1"/>
  <c r="H11" i="4" s="1"/>
  <c r="H13" i="4" s="1"/>
  <c r="G7" i="4"/>
  <c r="G9" i="4" s="1"/>
  <c r="G11" i="4" s="1"/>
  <c r="G13" i="4" s="1"/>
  <c r="F7" i="4"/>
  <c r="D24" i="4"/>
  <c r="C24" i="4"/>
  <c r="B24" i="4"/>
  <c r="D23" i="4"/>
  <c r="C23" i="4"/>
  <c r="B23" i="4"/>
  <c r="H20" i="4" l="1"/>
  <c r="G20" i="4"/>
  <c r="B20" i="4"/>
  <c r="B18" i="4"/>
  <c r="D16" i="4" l="1"/>
  <c r="C16" i="4"/>
  <c r="B16" i="4"/>
  <c r="T16" i="4" l="1"/>
  <c r="D18" i="4"/>
  <c r="S16" i="4"/>
  <c r="C18" i="4"/>
  <c r="B13" i="4"/>
  <c r="B11" i="4" l="1"/>
  <c r="B9" i="4" l="1"/>
  <c r="D7" i="4" l="1"/>
  <c r="C7" i="4"/>
  <c r="D9" i="4" l="1"/>
  <c r="T7" i="4"/>
  <c r="S7" i="4"/>
  <c r="C9" i="4"/>
  <c r="B7" i="4"/>
  <c r="D11" i="4" l="1"/>
  <c r="T9" i="4"/>
  <c r="S9" i="4"/>
  <c r="C11" i="4"/>
  <c r="K95" i="5"/>
  <c r="F8" i="5"/>
  <c r="K8" i="5"/>
  <c r="J8" i="5"/>
  <c r="D13" i="4" l="1"/>
  <c r="D20" i="4" s="1"/>
  <c r="T11" i="4"/>
  <c r="S11" i="4"/>
  <c r="C13" i="4"/>
  <c r="C20" i="4" s="1"/>
  <c r="F91" i="5"/>
  <c r="E91" i="5"/>
  <c r="J95" i="5" l="1"/>
  <c r="I8" i="5" l="1"/>
  <c r="P75" i="5" l="1"/>
  <c r="O75" i="5"/>
  <c r="N75" i="5"/>
  <c r="M30" i="5" l="1"/>
  <c r="F95" i="5"/>
  <c r="P95" i="5" s="1"/>
  <c r="H30" i="5"/>
  <c r="N77" i="5" l="1"/>
  <c r="N78" i="5"/>
  <c r="L87" i="5"/>
  <c r="L88" i="5"/>
  <c r="L80" i="5"/>
  <c r="L32" i="5"/>
  <c r="M32" i="5"/>
  <c r="L18" i="5"/>
  <c r="G86" i="5"/>
  <c r="G87" i="5"/>
  <c r="G88" i="5"/>
  <c r="G72" i="5" l="1"/>
  <c r="M18" i="5" l="1"/>
  <c r="H99" i="5" l="1"/>
  <c r="H100" i="5"/>
  <c r="G99" i="5"/>
  <c r="G100" i="5"/>
  <c r="H50" i="5"/>
  <c r="L28" i="5"/>
  <c r="M28" i="5"/>
  <c r="N28" i="5"/>
  <c r="O28" i="5"/>
  <c r="P28" i="5"/>
  <c r="G28" i="5"/>
  <c r="H28" i="5"/>
  <c r="R28" i="5" l="1"/>
  <c r="Q28" i="5"/>
  <c r="H16" i="5" l="1"/>
  <c r="P44" i="5" l="1"/>
  <c r="J93" i="5"/>
  <c r="D95" i="5" l="1"/>
  <c r="D93" i="5" s="1"/>
  <c r="E95" i="5"/>
  <c r="E93" i="5" s="1"/>
  <c r="O93" i="5" s="1"/>
  <c r="F93" i="5"/>
  <c r="I95" i="5"/>
  <c r="I93" i="5" s="1"/>
  <c r="K93" i="5"/>
  <c r="P77" i="5"/>
  <c r="O77" i="5"/>
  <c r="P93" i="5" l="1"/>
  <c r="L72" i="5"/>
  <c r="L44" i="5"/>
  <c r="L20" i="5" l="1"/>
  <c r="M20" i="5"/>
  <c r="P20" i="5"/>
  <c r="O20" i="5"/>
  <c r="N20" i="5"/>
  <c r="G20" i="5"/>
  <c r="H20" i="5"/>
  <c r="R20" i="5" l="1"/>
  <c r="Q20" i="5"/>
  <c r="O25" i="5" l="1"/>
  <c r="P25" i="5"/>
  <c r="R40" i="5" l="1"/>
  <c r="M40" i="5"/>
  <c r="H40" i="5"/>
  <c r="G40" i="5"/>
  <c r="P103" i="5"/>
  <c r="O103" i="5"/>
  <c r="N103" i="5"/>
  <c r="O102" i="5"/>
  <c r="N102" i="5"/>
  <c r="P101" i="5"/>
  <c r="O101" i="5"/>
  <c r="N101" i="5"/>
  <c r="P100" i="5"/>
  <c r="O100" i="5"/>
  <c r="N100" i="5"/>
  <c r="P99" i="5"/>
  <c r="O99" i="5"/>
  <c r="N99" i="5"/>
  <c r="P98" i="5"/>
  <c r="O98" i="5"/>
  <c r="N98" i="5"/>
  <c r="P97" i="5"/>
  <c r="O97" i="5"/>
  <c r="N97" i="5"/>
  <c r="P96" i="5"/>
  <c r="O96" i="5"/>
  <c r="N96" i="5"/>
  <c r="K91" i="5"/>
  <c r="J91" i="5"/>
  <c r="I91" i="5"/>
  <c r="D91" i="5"/>
  <c r="P90" i="5"/>
  <c r="O90" i="5"/>
  <c r="N90" i="5"/>
  <c r="M90" i="5"/>
  <c r="L90" i="5"/>
  <c r="H90" i="5"/>
  <c r="G90" i="5"/>
  <c r="P89" i="5"/>
  <c r="O89" i="5"/>
  <c r="N89" i="5"/>
  <c r="M89" i="5"/>
  <c r="L89" i="5"/>
  <c r="H89" i="5"/>
  <c r="G89" i="5"/>
  <c r="P88" i="5"/>
  <c r="O88" i="5"/>
  <c r="N88" i="5"/>
  <c r="M88" i="5"/>
  <c r="H88" i="5"/>
  <c r="P87" i="5"/>
  <c r="O87" i="5"/>
  <c r="N87" i="5"/>
  <c r="M87" i="5"/>
  <c r="H87" i="5"/>
  <c r="P86" i="5"/>
  <c r="O86" i="5"/>
  <c r="N86" i="5"/>
  <c r="M86" i="5"/>
  <c r="L86" i="5"/>
  <c r="H86" i="5"/>
  <c r="P85" i="5"/>
  <c r="O85" i="5"/>
  <c r="N85" i="5"/>
  <c r="M85" i="5"/>
  <c r="L85" i="5"/>
  <c r="H85" i="5"/>
  <c r="G85" i="5"/>
  <c r="P84" i="5"/>
  <c r="O84" i="5"/>
  <c r="N84" i="5"/>
  <c r="M84" i="5"/>
  <c r="L84" i="5"/>
  <c r="H84" i="5"/>
  <c r="G84" i="5"/>
  <c r="P83" i="5"/>
  <c r="O83" i="5"/>
  <c r="N83" i="5"/>
  <c r="M83" i="5"/>
  <c r="L83" i="5"/>
  <c r="H83" i="5"/>
  <c r="G83" i="5"/>
  <c r="P82" i="5"/>
  <c r="O82" i="5"/>
  <c r="N82" i="5"/>
  <c r="M82" i="5"/>
  <c r="L82" i="5"/>
  <c r="H82" i="5"/>
  <c r="G82" i="5"/>
  <c r="P81" i="5"/>
  <c r="O81" i="5"/>
  <c r="N81" i="5"/>
  <c r="M81" i="5"/>
  <c r="L81" i="5"/>
  <c r="H81" i="5"/>
  <c r="G81" i="5"/>
  <c r="P80" i="5"/>
  <c r="O80" i="5"/>
  <c r="N80" i="5"/>
  <c r="M80" i="5"/>
  <c r="H80" i="5"/>
  <c r="G80" i="5"/>
  <c r="P79" i="5"/>
  <c r="O79" i="5"/>
  <c r="N79" i="5"/>
  <c r="M79" i="5"/>
  <c r="L79" i="5"/>
  <c r="H79" i="5"/>
  <c r="G79" i="5"/>
  <c r="P78" i="5"/>
  <c r="O78" i="5"/>
  <c r="M78" i="5"/>
  <c r="L78" i="5"/>
  <c r="H78" i="5"/>
  <c r="G78" i="5"/>
  <c r="M77" i="5"/>
  <c r="L77" i="5"/>
  <c r="H77" i="5"/>
  <c r="G77" i="5"/>
  <c r="O91" i="5"/>
  <c r="N91" i="5"/>
  <c r="M75" i="5"/>
  <c r="L75" i="5"/>
  <c r="H75" i="5"/>
  <c r="G75" i="5"/>
  <c r="P74" i="5"/>
  <c r="O74" i="5"/>
  <c r="N74" i="5"/>
  <c r="M74" i="5"/>
  <c r="L74" i="5"/>
  <c r="H74" i="5"/>
  <c r="G74" i="5"/>
  <c r="P73" i="5"/>
  <c r="O73" i="5"/>
  <c r="N73" i="5"/>
  <c r="M73" i="5"/>
  <c r="L73" i="5"/>
  <c r="H73" i="5"/>
  <c r="G73" i="5"/>
  <c r="P72" i="5"/>
  <c r="O72" i="5"/>
  <c r="N72" i="5"/>
  <c r="M72" i="5"/>
  <c r="H72" i="5"/>
  <c r="P71" i="5"/>
  <c r="O71" i="5"/>
  <c r="N71" i="5"/>
  <c r="M71" i="5"/>
  <c r="L71" i="5"/>
  <c r="H71" i="5"/>
  <c r="G71" i="5"/>
  <c r="P70" i="5"/>
  <c r="O70" i="5"/>
  <c r="N70" i="5"/>
  <c r="M70" i="5"/>
  <c r="L70" i="5"/>
  <c r="H70" i="5"/>
  <c r="G70" i="5"/>
  <c r="P69" i="5"/>
  <c r="O69" i="5"/>
  <c r="N69" i="5"/>
  <c r="M69" i="5"/>
  <c r="H69" i="5"/>
  <c r="G69" i="5"/>
  <c r="P68" i="5"/>
  <c r="O68" i="5"/>
  <c r="N68" i="5"/>
  <c r="M68" i="5"/>
  <c r="L68" i="5"/>
  <c r="H68" i="5"/>
  <c r="G68" i="5"/>
  <c r="R67" i="5"/>
  <c r="Q67" i="5"/>
  <c r="M67" i="5"/>
  <c r="L67" i="5"/>
  <c r="H67" i="5"/>
  <c r="G67" i="5"/>
  <c r="P66" i="5"/>
  <c r="O66" i="5"/>
  <c r="N66" i="5"/>
  <c r="M66" i="5"/>
  <c r="L66" i="5"/>
  <c r="H66" i="5"/>
  <c r="G66" i="5"/>
  <c r="P65" i="5"/>
  <c r="O65" i="5"/>
  <c r="N65" i="5"/>
  <c r="M65" i="5"/>
  <c r="L65" i="5"/>
  <c r="H65" i="5"/>
  <c r="G65" i="5"/>
  <c r="P64" i="5"/>
  <c r="O64" i="5"/>
  <c r="N64" i="5"/>
  <c r="M64" i="5"/>
  <c r="H64" i="5"/>
  <c r="G64" i="5"/>
  <c r="P63" i="5"/>
  <c r="O63" i="5"/>
  <c r="N63" i="5"/>
  <c r="M63" i="5"/>
  <c r="L63" i="5"/>
  <c r="H63" i="5"/>
  <c r="G63" i="5"/>
  <c r="P62" i="5"/>
  <c r="O62" i="5"/>
  <c r="N62" i="5"/>
  <c r="M62" i="5"/>
  <c r="L62" i="5"/>
  <c r="H62" i="5"/>
  <c r="G62" i="5"/>
  <c r="P61" i="5"/>
  <c r="O61" i="5"/>
  <c r="N61" i="5"/>
  <c r="M61" i="5"/>
  <c r="L61" i="5"/>
  <c r="H61" i="5"/>
  <c r="G61" i="5"/>
  <c r="P60" i="5"/>
  <c r="O60" i="5"/>
  <c r="N60" i="5"/>
  <c r="M60" i="5"/>
  <c r="L60" i="5"/>
  <c r="H60" i="5"/>
  <c r="G60" i="5"/>
  <c r="P59" i="5"/>
  <c r="O59" i="5"/>
  <c r="N59" i="5"/>
  <c r="M59" i="5"/>
  <c r="L59" i="5"/>
  <c r="H59" i="5"/>
  <c r="G59" i="5"/>
  <c r="P58" i="5"/>
  <c r="O58" i="5"/>
  <c r="N58" i="5"/>
  <c r="M58" i="5"/>
  <c r="L58" i="5"/>
  <c r="H58" i="5"/>
  <c r="G58" i="5"/>
  <c r="P57" i="5"/>
  <c r="O57" i="5"/>
  <c r="N57" i="5"/>
  <c r="M57" i="5"/>
  <c r="L57" i="5"/>
  <c r="H57" i="5"/>
  <c r="G57" i="5"/>
  <c r="P56" i="5"/>
  <c r="O56" i="5"/>
  <c r="N56" i="5"/>
  <c r="M56" i="5"/>
  <c r="L56" i="5"/>
  <c r="H56" i="5"/>
  <c r="G56" i="5"/>
  <c r="P55" i="5"/>
  <c r="O55" i="5"/>
  <c r="N55" i="5"/>
  <c r="M55" i="5"/>
  <c r="L55" i="5"/>
  <c r="H55" i="5"/>
  <c r="G55" i="5"/>
  <c r="R53" i="5"/>
  <c r="Q53" i="5"/>
  <c r="M53" i="5"/>
  <c r="L53" i="5"/>
  <c r="H53" i="5"/>
  <c r="G53" i="5"/>
  <c r="P51" i="5"/>
  <c r="O51" i="5"/>
  <c r="N51" i="5"/>
  <c r="M51" i="5"/>
  <c r="L51" i="5"/>
  <c r="H51" i="5"/>
  <c r="G51" i="5"/>
  <c r="P50" i="5"/>
  <c r="O50" i="5"/>
  <c r="N50" i="5"/>
  <c r="M50" i="5"/>
  <c r="L50" i="5"/>
  <c r="G50" i="5"/>
  <c r="P49" i="5"/>
  <c r="O49" i="5"/>
  <c r="N49" i="5"/>
  <c r="M49" i="5"/>
  <c r="L49" i="5"/>
  <c r="H49" i="5"/>
  <c r="G49" i="5"/>
  <c r="R48" i="5"/>
  <c r="Q48" i="5"/>
  <c r="M48" i="5"/>
  <c r="L48" i="5"/>
  <c r="H48" i="5"/>
  <c r="G48" i="5"/>
  <c r="O47" i="5"/>
  <c r="N47" i="5"/>
  <c r="M47" i="5"/>
  <c r="L47" i="5"/>
  <c r="H47" i="5"/>
  <c r="G47" i="5"/>
  <c r="P46" i="5"/>
  <c r="O46" i="5"/>
  <c r="N46" i="5"/>
  <c r="M46" i="5"/>
  <c r="H46" i="5"/>
  <c r="G46" i="5"/>
  <c r="P45" i="5"/>
  <c r="O45" i="5"/>
  <c r="N45" i="5"/>
  <c r="M45" i="5"/>
  <c r="L45" i="5"/>
  <c r="H45" i="5"/>
  <c r="G45" i="5"/>
  <c r="O44" i="5"/>
  <c r="N44" i="5"/>
  <c r="Q44" i="5" s="1"/>
  <c r="M44" i="5"/>
  <c r="H44" i="5"/>
  <c r="G44" i="5"/>
  <c r="P43" i="5"/>
  <c r="O43" i="5"/>
  <c r="N43" i="5"/>
  <c r="M43" i="5"/>
  <c r="L43" i="5"/>
  <c r="H43" i="5"/>
  <c r="G43" i="5"/>
  <c r="P42" i="5"/>
  <c r="O42" i="5"/>
  <c r="N42" i="5"/>
  <c r="M42" i="5"/>
  <c r="L42" i="5"/>
  <c r="H42" i="5"/>
  <c r="G42" i="5"/>
  <c r="P37" i="5"/>
  <c r="O37" i="5"/>
  <c r="M37" i="5"/>
  <c r="L37" i="5"/>
  <c r="H37" i="5"/>
  <c r="G37" i="5"/>
  <c r="P36" i="5"/>
  <c r="O36" i="5"/>
  <c r="N36" i="5"/>
  <c r="M36" i="5"/>
  <c r="L36" i="5"/>
  <c r="H36" i="5"/>
  <c r="G36" i="5"/>
  <c r="P35" i="5"/>
  <c r="O35" i="5"/>
  <c r="N35" i="5"/>
  <c r="M35" i="5"/>
  <c r="L35" i="5"/>
  <c r="H35" i="5"/>
  <c r="G35" i="5"/>
  <c r="P32" i="5"/>
  <c r="O32" i="5"/>
  <c r="N32" i="5"/>
  <c r="P31" i="5"/>
  <c r="O31" i="5"/>
  <c r="N31" i="5"/>
  <c r="M31" i="5"/>
  <c r="L31" i="5"/>
  <c r="H31" i="5"/>
  <c r="G31" i="5"/>
  <c r="P30" i="5"/>
  <c r="O30" i="5"/>
  <c r="N30" i="5"/>
  <c r="P29" i="5"/>
  <c r="O29" i="5"/>
  <c r="N29" i="5"/>
  <c r="M29" i="5"/>
  <c r="L29" i="5"/>
  <c r="H29" i="5"/>
  <c r="G29" i="5"/>
  <c r="P27" i="5"/>
  <c r="O27" i="5"/>
  <c r="N27" i="5"/>
  <c r="M27" i="5"/>
  <c r="L27" i="5"/>
  <c r="H27" i="5"/>
  <c r="G27" i="5"/>
  <c r="P26" i="5"/>
  <c r="O26" i="5"/>
  <c r="N26" i="5"/>
  <c r="M26" i="5"/>
  <c r="L26" i="5"/>
  <c r="H26" i="5"/>
  <c r="G26" i="5"/>
  <c r="N25" i="5"/>
  <c r="M25" i="5"/>
  <c r="L25" i="5"/>
  <c r="H25" i="5"/>
  <c r="G25" i="5"/>
  <c r="P24" i="5"/>
  <c r="O24" i="5"/>
  <c r="N24" i="5"/>
  <c r="M24" i="5"/>
  <c r="L24" i="5"/>
  <c r="H24" i="5"/>
  <c r="G24" i="5"/>
  <c r="P22" i="5"/>
  <c r="O22" i="5"/>
  <c r="M22" i="5"/>
  <c r="L22" i="5"/>
  <c r="H22" i="5"/>
  <c r="G22" i="5"/>
  <c r="P21" i="5"/>
  <c r="O21" i="5"/>
  <c r="N21" i="5"/>
  <c r="M21" i="5"/>
  <c r="L21" i="5"/>
  <c r="H21" i="5"/>
  <c r="G21" i="5"/>
  <c r="P19" i="5"/>
  <c r="O19" i="5"/>
  <c r="N19" i="5"/>
  <c r="M19" i="5"/>
  <c r="L19" i="5"/>
  <c r="H19" i="5"/>
  <c r="G19" i="5"/>
  <c r="P18" i="5"/>
  <c r="O18" i="5"/>
  <c r="N18" i="5"/>
  <c r="H18" i="5"/>
  <c r="G18" i="5"/>
  <c r="P17" i="5"/>
  <c r="O17" i="5"/>
  <c r="N17" i="5"/>
  <c r="M17" i="5"/>
  <c r="L17" i="5"/>
  <c r="H17" i="5"/>
  <c r="G17" i="5"/>
  <c r="P16" i="5"/>
  <c r="O16" i="5"/>
  <c r="N16" i="5"/>
  <c r="M16" i="5"/>
  <c r="L16" i="5"/>
  <c r="G16" i="5"/>
  <c r="P15" i="5"/>
  <c r="O15" i="5"/>
  <c r="N15" i="5"/>
  <c r="M15" i="5"/>
  <c r="L15" i="5"/>
  <c r="H15" i="5"/>
  <c r="G15" i="5"/>
  <c r="P14" i="5"/>
  <c r="O14" i="5"/>
  <c r="N14" i="5"/>
  <c r="M14" i="5"/>
  <c r="L14" i="5"/>
  <c r="H14" i="5"/>
  <c r="G14" i="5"/>
  <c r="P13" i="5"/>
  <c r="O13" i="5"/>
  <c r="N13" i="5"/>
  <c r="M13" i="5"/>
  <c r="L13" i="5"/>
  <c r="H13" i="5"/>
  <c r="G13" i="5"/>
  <c r="P12" i="5"/>
  <c r="O12" i="5"/>
  <c r="N12" i="5"/>
  <c r="M12" i="5"/>
  <c r="L12" i="5"/>
  <c r="H12" i="5"/>
  <c r="G12" i="5"/>
  <c r="P11" i="5"/>
  <c r="O11" i="5"/>
  <c r="N11" i="5"/>
  <c r="M11" i="5"/>
  <c r="L11" i="5"/>
  <c r="H11" i="5"/>
  <c r="G11" i="5"/>
  <c r="P9" i="5"/>
  <c r="O9" i="5"/>
  <c r="N9" i="5"/>
  <c r="M9" i="5"/>
  <c r="L9" i="5"/>
  <c r="H9" i="5"/>
  <c r="G9" i="5"/>
  <c r="D8" i="5"/>
  <c r="D38" i="5" s="1"/>
  <c r="D52" i="5" s="1"/>
  <c r="R30" i="5" l="1"/>
  <c r="Q87" i="5"/>
  <c r="Q32" i="5"/>
  <c r="R32" i="5"/>
  <c r="Q45" i="5"/>
  <c r="Q72" i="5"/>
  <c r="H33" i="5"/>
  <c r="E38" i="5"/>
  <c r="E52" i="5" s="1"/>
  <c r="E92" i="5" s="1"/>
  <c r="K38" i="5"/>
  <c r="K52" i="5" s="1"/>
  <c r="M33" i="5"/>
  <c r="J38" i="5"/>
  <c r="J52" i="5" s="1"/>
  <c r="J92" i="5" s="1"/>
  <c r="R70" i="5"/>
  <c r="R63" i="5"/>
  <c r="F38" i="5"/>
  <c r="L33" i="5"/>
  <c r="I38" i="5"/>
  <c r="L40" i="5"/>
  <c r="Q40" i="5"/>
  <c r="G33" i="5"/>
  <c r="O8" i="5"/>
  <c r="R14" i="5"/>
  <c r="Q57" i="5"/>
  <c r="Q65" i="5"/>
  <c r="Q56" i="5"/>
  <c r="R61" i="5"/>
  <c r="Q31" i="5"/>
  <c r="Q47" i="5"/>
  <c r="Q50" i="5"/>
  <c r="Q55" i="5"/>
  <c r="Q60" i="5"/>
  <c r="Q71" i="5"/>
  <c r="R84" i="5"/>
  <c r="Q15" i="5"/>
  <c r="Q25" i="5"/>
  <c r="Q83" i="5"/>
  <c r="D92" i="5"/>
  <c r="R13" i="5"/>
  <c r="R69" i="5"/>
  <c r="Q73" i="5"/>
  <c r="Q78" i="5"/>
  <c r="Q80" i="5"/>
  <c r="Q90" i="5"/>
  <c r="R11" i="5"/>
  <c r="R64" i="5"/>
  <c r="R24" i="5"/>
  <c r="R46" i="5"/>
  <c r="Q63" i="5"/>
  <c r="Q70" i="5"/>
  <c r="R75" i="5"/>
  <c r="Q13" i="5"/>
  <c r="Q17" i="5"/>
  <c r="Q22" i="5"/>
  <c r="R35" i="5"/>
  <c r="R44" i="5"/>
  <c r="Q88" i="5"/>
  <c r="R21" i="5"/>
  <c r="R37" i="5"/>
  <c r="R49" i="5"/>
  <c r="R86" i="5"/>
  <c r="N95" i="5"/>
  <c r="Q14" i="5"/>
  <c r="R19" i="5"/>
  <c r="R43" i="5"/>
  <c r="Q59" i="5"/>
  <c r="Q82" i="5"/>
  <c r="Q89" i="5"/>
  <c r="N8" i="5"/>
  <c r="R12" i="5"/>
  <c r="Q18" i="5"/>
  <c r="R22" i="5"/>
  <c r="Q27" i="5"/>
  <c r="R42" i="5"/>
  <c r="R55" i="5"/>
  <c r="R56" i="5"/>
  <c r="R62" i="5"/>
  <c r="R68" i="5"/>
  <c r="R78" i="5"/>
  <c r="R79" i="5"/>
  <c r="Q85" i="5"/>
  <c r="R87" i="5"/>
  <c r="M91" i="5"/>
  <c r="O95" i="5"/>
  <c r="R15" i="5"/>
  <c r="R16" i="5"/>
  <c r="R18" i="5"/>
  <c r="Q19" i="5"/>
  <c r="R27" i="5"/>
  <c r="R31" i="5"/>
  <c r="Q35" i="5"/>
  <c r="Q42" i="5"/>
  <c r="R47" i="5"/>
  <c r="Q49" i="5"/>
  <c r="R57" i="5"/>
  <c r="R58" i="5"/>
  <c r="R60" i="5"/>
  <c r="Q61" i="5"/>
  <c r="Q68" i="5"/>
  <c r="R73" i="5"/>
  <c r="Q79" i="5"/>
  <c r="R80" i="5"/>
  <c r="Q81" i="5"/>
  <c r="R83" i="5"/>
  <c r="Q84" i="5"/>
  <c r="R90" i="5"/>
  <c r="P91" i="5"/>
  <c r="T91" i="5" s="1"/>
  <c r="Q9" i="5"/>
  <c r="Q29" i="5"/>
  <c r="Q74" i="5"/>
  <c r="Q77" i="5"/>
  <c r="G91" i="5"/>
  <c r="G8" i="5"/>
  <c r="R9" i="5"/>
  <c r="Q11" i="5"/>
  <c r="R17" i="5"/>
  <c r="Q24" i="5"/>
  <c r="R25" i="5"/>
  <c r="R26" i="5"/>
  <c r="R29" i="5"/>
  <c r="R45" i="5"/>
  <c r="R50" i="5"/>
  <c r="R51" i="5"/>
  <c r="R59" i="5"/>
  <c r="Q64" i="5"/>
  <c r="R65" i="5"/>
  <c r="R66" i="5"/>
  <c r="R71" i="5"/>
  <c r="R74" i="5"/>
  <c r="Q75" i="5"/>
  <c r="R82" i="5"/>
  <c r="R88" i="5"/>
  <c r="H91" i="5"/>
  <c r="L91" i="5"/>
  <c r="N93" i="5"/>
  <c r="R72" i="5"/>
  <c r="R77" i="5"/>
  <c r="R81" i="5"/>
  <c r="R85" i="5"/>
  <c r="R89" i="5"/>
  <c r="H8" i="5"/>
  <c r="L8" i="5"/>
  <c r="P8" i="5"/>
  <c r="Q12" i="5"/>
  <c r="Q16" i="5"/>
  <c r="Q21" i="5"/>
  <c r="Q26" i="5"/>
  <c r="Q36" i="5"/>
  <c r="Q37" i="5"/>
  <c r="Q43" i="5"/>
  <c r="Q51" i="5"/>
  <c r="Q58" i="5"/>
  <c r="Q62" i="5"/>
  <c r="Q66" i="5"/>
  <c r="M8" i="5"/>
  <c r="O92" i="5" l="1"/>
  <c r="O38" i="5"/>
  <c r="Q33" i="5"/>
  <c r="Q91" i="5"/>
  <c r="I52" i="5"/>
  <c r="I92" i="5" s="1"/>
  <c r="R33" i="5"/>
  <c r="P38" i="5"/>
  <c r="P52" i="5" s="1"/>
  <c r="G38" i="5"/>
  <c r="F52" i="5"/>
  <c r="H52" i="5" s="1"/>
  <c r="N38" i="5"/>
  <c r="N52" i="5" s="1"/>
  <c r="H38" i="5"/>
  <c r="L38" i="5"/>
  <c r="M38" i="5"/>
  <c r="R91" i="5"/>
  <c r="R8" i="5"/>
  <c r="Q8" i="5"/>
  <c r="K92" i="5"/>
  <c r="M52" i="5"/>
  <c r="T52" i="5" l="1"/>
  <c r="L52" i="5"/>
  <c r="N92" i="5"/>
  <c r="F92" i="5"/>
  <c r="P92" i="5" s="1"/>
  <c r="G52" i="5"/>
  <c r="R38" i="5"/>
  <c r="Q38" i="5"/>
  <c r="R52" i="5" l="1"/>
  <c r="Q52" i="5"/>
  <c r="T21" i="4" l="1"/>
  <c r="S21" i="4"/>
  <c r="R21" i="4"/>
  <c r="T17" i="4"/>
  <c r="S17" i="4"/>
  <c r="T12" i="4"/>
  <c r="S12" i="4"/>
  <c r="T24" i="4" l="1"/>
  <c r="S24" i="4"/>
  <c r="R24" i="4"/>
  <c r="T23" i="4"/>
  <c r="S23" i="4"/>
  <c r="R23" i="4"/>
  <c r="S18" i="4"/>
  <c r="R18" i="4" l="1"/>
  <c r="T18" i="4"/>
  <c r="S13" i="4" l="1"/>
  <c r="S20" i="4" s="1"/>
  <c r="T13" i="4"/>
  <c r="T20" i="4" s="1"/>
  <c r="R13" i="4"/>
  <c r="R20" i="4"/>
</calcChain>
</file>

<file path=xl/sharedStrings.xml><?xml version="1.0" encoding="utf-8"?>
<sst xmlns="http://schemas.openxmlformats.org/spreadsheetml/2006/main" count="288" uniqueCount="175">
  <si>
    <t xml:space="preserve"> </t>
  </si>
  <si>
    <t>% plnění</t>
  </si>
  <si>
    <t xml:space="preserve">       Rozpočet</t>
  </si>
  <si>
    <t>schválený</t>
  </si>
  <si>
    <t>upravený</t>
  </si>
  <si>
    <t xml:space="preserve"> skutečnost</t>
  </si>
  <si>
    <t>na SR</t>
  </si>
  <si>
    <t>na UR</t>
  </si>
  <si>
    <t xml:space="preserve">  v tom např.:</t>
  </si>
  <si>
    <t>x</t>
  </si>
  <si>
    <t xml:space="preserve">  Kapitálové výdaje celkem</t>
  </si>
  <si>
    <t xml:space="preserve">  R O Z D Í L</t>
  </si>
  <si>
    <t>Konsolidace financování</t>
  </si>
  <si>
    <t>UKAZATEL</t>
  </si>
  <si>
    <t>Rozpočet</t>
  </si>
  <si>
    <t>OBVODY</t>
  </si>
  <si>
    <t>skutečnost</t>
  </si>
  <si>
    <t>133x</t>
  </si>
  <si>
    <t>daň z příjmů právnických osob</t>
  </si>
  <si>
    <t>daň z přidané hodnoty</t>
  </si>
  <si>
    <t>místní poplatky z vybraných činností a služeb</t>
  </si>
  <si>
    <t>134x</t>
  </si>
  <si>
    <t>135x</t>
  </si>
  <si>
    <t>ostatní odvody z vybraných činností a služeb</t>
  </si>
  <si>
    <t>správní poplatky</t>
  </si>
  <si>
    <t>poplatky a odvody v oblasti životního prostředí</t>
  </si>
  <si>
    <t>211x</t>
  </si>
  <si>
    <t>212x</t>
  </si>
  <si>
    <t>213x</t>
  </si>
  <si>
    <t>221x</t>
  </si>
  <si>
    <t>232x</t>
  </si>
  <si>
    <t>24xx</t>
  </si>
  <si>
    <t>příjmy z vlastní činnosti</t>
  </si>
  <si>
    <t>příjmy z pronájmu majetku</t>
  </si>
  <si>
    <t xml:space="preserve">příjmy z úroků </t>
  </si>
  <si>
    <t>přijaté sankční platby</t>
  </si>
  <si>
    <t xml:space="preserve">ostatní přijaté vratky transferů </t>
  </si>
  <si>
    <t>ostatní nedaňové příjmy</t>
  </si>
  <si>
    <t>přijaté splátky půjčených prostředků</t>
  </si>
  <si>
    <t>311x</t>
  </si>
  <si>
    <t>312x</t>
  </si>
  <si>
    <t>320x</t>
  </si>
  <si>
    <t>příjmy z prodeje dlouhodobého majetku</t>
  </si>
  <si>
    <t>ostatní kapitálové příjmy</t>
  </si>
  <si>
    <t>příjmy z prodeje dlouhodobého finančního majetku</t>
  </si>
  <si>
    <t>odvody přebytků organizací s přímým vztahem</t>
  </si>
  <si>
    <t>neinvestiční přijaté transfery z VPS SR</t>
  </si>
  <si>
    <t>neinvestiční přijaté transfery od krajů</t>
  </si>
  <si>
    <t>neinvestiční přijaté transfery ze SR v rámci SDV</t>
  </si>
  <si>
    <t>ostatní neinvestiční přijaté transfery ze SR</t>
  </si>
  <si>
    <t>převody z vlastních fondů hospodářské činnosti</t>
  </si>
  <si>
    <t>investiční přijaté transfery ze státních fondů</t>
  </si>
  <si>
    <t>ostatní investiční přijaté transfery ze SR</t>
  </si>
  <si>
    <t>502x</t>
  </si>
  <si>
    <t>503x</t>
  </si>
  <si>
    <t>515x</t>
  </si>
  <si>
    <t>516x</t>
  </si>
  <si>
    <t>517x</t>
  </si>
  <si>
    <t>521x</t>
  </si>
  <si>
    <t>522x</t>
  </si>
  <si>
    <t>533x</t>
  </si>
  <si>
    <t>542x</t>
  </si>
  <si>
    <t>549x</t>
  </si>
  <si>
    <t>56xx</t>
  </si>
  <si>
    <t>platy zaměstnanců v pracovním poměru</t>
  </si>
  <si>
    <t>ostatní platby za provedenou práci</t>
  </si>
  <si>
    <t>nákup materiálu</t>
  </si>
  <si>
    <t>úroky vlastní</t>
  </si>
  <si>
    <t>nákup vody, paliv a energie</t>
  </si>
  <si>
    <t>nákup služeb</t>
  </si>
  <si>
    <t>ostatní nákupy</t>
  </si>
  <si>
    <t>výdaje na dopravní územní obslužnost</t>
  </si>
  <si>
    <t>platby daní a poplatků SR</t>
  </si>
  <si>
    <t>úhrady sankcí jiným rozpočtům</t>
  </si>
  <si>
    <t>náhrady placené obyvatelstvu</t>
  </si>
  <si>
    <t>neinvestiční půjčené prostředky</t>
  </si>
  <si>
    <t>povinné pojistné placené zaměstnavatelem</t>
  </si>
  <si>
    <t>513x</t>
  </si>
  <si>
    <t>neinvestiční transfery podnikatelským subjektům</t>
  </si>
  <si>
    <t>neinvestiční transfery neziskovým a podobným org.</t>
  </si>
  <si>
    <t>neinvestiční transfery příspěvkovým organizacím</t>
  </si>
  <si>
    <t>ostatní neinvestiční transfery obyvatelstvu</t>
  </si>
  <si>
    <t>nespecifikované rezervy</t>
  </si>
  <si>
    <t>ostatní neinvestiční výdaje jinde nezařazené</t>
  </si>
  <si>
    <t>611x</t>
  </si>
  <si>
    <t>632x</t>
  </si>
  <si>
    <t>635x</t>
  </si>
  <si>
    <t>64xx</t>
  </si>
  <si>
    <t>budovy, haly a stavby</t>
  </si>
  <si>
    <t>stroje, přístroje a zařízení</t>
  </si>
  <si>
    <t>dopravní prostředky</t>
  </si>
  <si>
    <t>výpočetní technika</t>
  </si>
  <si>
    <t>pozemky</t>
  </si>
  <si>
    <t>nákup akcií</t>
  </si>
  <si>
    <t>nákup majetkových podílů</t>
  </si>
  <si>
    <t>investiční půjčené prostředky</t>
  </si>
  <si>
    <t>pořízení dlouhodobého nehmotného majetku</t>
  </si>
  <si>
    <t>631x</t>
  </si>
  <si>
    <t>investiční transfery podnikatelským subjektům</t>
  </si>
  <si>
    <t>investiční transfery neziskovým a podobným org.</t>
  </si>
  <si>
    <t>investiční transfery příspěvkovým organizacím</t>
  </si>
  <si>
    <t>rezervy kapitálových výdajů</t>
  </si>
  <si>
    <t>ostatní kapitálové výdaje jinde nezařazené</t>
  </si>
  <si>
    <t>811x</t>
  </si>
  <si>
    <t>z toho</t>
  </si>
  <si>
    <t>812x</t>
  </si>
  <si>
    <t>82xx</t>
  </si>
  <si>
    <t>890x</t>
  </si>
  <si>
    <t>krátkodobé financování</t>
  </si>
  <si>
    <t>8117 aktivní operace řízení likvidity - příjmy</t>
  </si>
  <si>
    <t>8118 aktivní operace řízení likvidity - výdaje</t>
  </si>
  <si>
    <t>dlouhodobé financování</t>
  </si>
  <si>
    <t>financování ze zahraničí</t>
  </si>
  <si>
    <t>opravné položky k peněžním operacím</t>
  </si>
  <si>
    <t>8113 přijaté půjčené prostředky</t>
  </si>
  <si>
    <t>8115 změna stavu prostředků na bankovních účtech</t>
  </si>
  <si>
    <t>převody mezi stat. městy a jejich MOb - příjmy</t>
  </si>
  <si>
    <t>převody mezi stat. městy a jejich MOb - výdaje</t>
  </si>
  <si>
    <t>8114 uhrazené splátky půjčených prostředků</t>
  </si>
  <si>
    <t>Magistrát města Ostravy</t>
  </si>
  <si>
    <t>Městské obvody</t>
  </si>
  <si>
    <t>Statutární město Ostrava - vzorce</t>
  </si>
  <si>
    <t>Staturární město Ostrava - ruční</t>
  </si>
  <si>
    <t>SMO - kontrola</t>
  </si>
  <si>
    <t>SR</t>
  </si>
  <si>
    <t>UR</t>
  </si>
  <si>
    <t>Skutečnost</t>
  </si>
  <si>
    <t>Daňové</t>
  </si>
  <si>
    <t>Nedaňové</t>
  </si>
  <si>
    <t>Běžné</t>
  </si>
  <si>
    <t>Kapitálové</t>
  </si>
  <si>
    <t>Vlastní</t>
  </si>
  <si>
    <t>Dotace</t>
  </si>
  <si>
    <t>∑ Příjmy</t>
  </si>
  <si>
    <t>KONměsto</t>
  </si>
  <si>
    <t>Příjmy po KON</t>
  </si>
  <si>
    <t>Bvýdaje</t>
  </si>
  <si>
    <t>Kvýdaje</t>
  </si>
  <si>
    <t>∑ Výdaje</t>
  </si>
  <si>
    <t>Výdaje po KON</t>
  </si>
  <si>
    <t>Rozdíl</t>
  </si>
  <si>
    <t>Financování</t>
  </si>
  <si>
    <t>4KON</t>
  </si>
  <si>
    <t>BVKON</t>
  </si>
  <si>
    <t>v tis.Kč</t>
  </si>
  <si>
    <t>neinvestiční přijaté transfery ze státních fondů</t>
  </si>
  <si>
    <t>investiční přijaté transfery od krajů</t>
  </si>
  <si>
    <t>MAGISTRÁT MĚSTA OSTRAVY</t>
  </si>
  <si>
    <t>xxx*</t>
  </si>
  <si>
    <t>ÚHRN*   po konsolidaci na úrovni obce</t>
  </si>
  <si>
    <t xml:space="preserve">  Běžné výdaje celkem</t>
  </si>
  <si>
    <t>Bilance příjmů, výdajů a financování statutárního města Ostrava</t>
  </si>
  <si>
    <t xml:space="preserve">  V l a s t n í   příjmy celkem</t>
  </si>
  <si>
    <t xml:space="preserve">  Kapitálové příjmy</t>
  </si>
  <si>
    <t xml:space="preserve"> Běžné příjmy</t>
  </si>
  <si>
    <t xml:space="preserve"> Přijaté transfery celkem</t>
  </si>
  <si>
    <t>138x</t>
  </si>
  <si>
    <t>daň z příjmů FO placená plátci</t>
  </si>
  <si>
    <t>daň z příjmů FO placená poplatníky</t>
  </si>
  <si>
    <t>daň z příjmů FO vybíramá srážkou</t>
  </si>
  <si>
    <t>daně, poplatky v oblasti hazardních her</t>
  </si>
  <si>
    <t>daň z nemovitých věcí</t>
  </si>
  <si>
    <r>
      <t xml:space="preserve">  </t>
    </r>
    <r>
      <rPr>
        <b/>
        <sz val="8"/>
        <rFont val="Arial CE"/>
        <charset val="238"/>
      </rPr>
      <t>Třída 1</t>
    </r>
    <r>
      <rPr>
        <sz val="8"/>
        <rFont val="Arial CE"/>
        <charset val="238"/>
      </rPr>
      <t xml:space="preserve">  daňové příjmy celkem</t>
    </r>
  </si>
  <si>
    <r>
      <t xml:space="preserve">  </t>
    </r>
    <r>
      <rPr>
        <b/>
        <sz val="8"/>
        <rFont val="Arial CE"/>
        <charset val="238"/>
      </rPr>
      <t>Třída 2</t>
    </r>
    <r>
      <rPr>
        <sz val="8"/>
        <rFont val="Arial CE"/>
        <charset val="238"/>
      </rPr>
      <t xml:space="preserve">  nedaňové příjmy celkem</t>
    </r>
  </si>
  <si>
    <r>
      <t xml:space="preserve">  </t>
    </r>
    <r>
      <rPr>
        <b/>
        <sz val="8"/>
        <rFont val="Arial CE"/>
        <charset val="238"/>
      </rPr>
      <t>Třída 3</t>
    </r>
  </si>
  <si>
    <r>
      <rPr>
        <b/>
        <sz val="8"/>
        <rFont val="Arial CE"/>
        <charset val="238"/>
      </rPr>
      <t xml:space="preserve">  Třída 4 </t>
    </r>
    <r>
      <rPr>
        <sz val="8"/>
        <rFont val="Arial CE"/>
        <charset val="238"/>
      </rPr>
      <t xml:space="preserve"> v tom např.:</t>
    </r>
  </si>
  <si>
    <r>
      <t xml:space="preserve">PŘÍJMY CELKEM  </t>
    </r>
    <r>
      <rPr>
        <sz val="8"/>
        <rFont val="Arial CE"/>
        <charset val="238"/>
      </rPr>
      <t>po konsolidaci</t>
    </r>
  </si>
  <si>
    <r>
      <t xml:space="preserve">   </t>
    </r>
    <r>
      <rPr>
        <b/>
        <sz val="8"/>
        <rFont val="Arial CE"/>
        <charset val="238"/>
      </rPr>
      <t>Třída 5</t>
    </r>
    <r>
      <rPr>
        <sz val="8"/>
        <rFont val="Arial CE"/>
        <charset val="238"/>
      </rPr>
      <t xml:space="preserve">  - v tom např.:</t>
    </r>
  </si>
  <si>
    <r>
      <t xml:space="preserve">   </t>
    </r>
    <r>
      <rPr>
        <b/>
        <sz val="8"/>
        <rFont val="Arial CE"/>
        <charset val="238"/>
      </rPr>
      <t>Třída 6</t>
    </r>
    <r>
      <rPr>
        <sz val="8"/>
        <rFont val="Arial CE"/>
        <charset val="238"/>
      </rPr>
      <t xml:space="preserve">  - v tom např.:</t>
    </r>
  </si>
  <si>
    <r>
      <t xml:space="preserve">  VÝDAJE CELKEM  </t>
    </r>
    <r>
      <rPr>
        <sz val="8"/>
        <rFont val="Arial CE"/>
        <charset val="238"/>
      </rPr>
      <t>po konsolidaci</t>
    </r>
  </si>
  <si>
    <r>
      <t xml:space="preserve">  FINANCOVÁNÍ  </t>
    </r>
    <r>
      <rPr>
        <sz val="8"/>
        <rFont val="Arial CE"/>
        <charset val="238"/>
      </rPr>
      <t>po konsolidaci</t>
    </r>
  </si>
  <si>
    <r>
      <t xml:space="preserve">   </t>
    </r>
    <r>
      <rPr>
        <b/>
        <sz val="8"/>
        <rFont val="Arial CE"/>
        <charset val="238"/>
      </rPr>
      <t>Třída 8</t>
    </r>
    <r>
      <rPr>
        <sz val="8"/>
        <rFont val="Arial CE"/>
        <charset val="238"/>
      </rPr>
      <t xml:space="preserve">  </t>
    </r>
  </si>
  <si>
    <t>příjmy z podílů na zisku a dividend</t>
  </si>
  <si>
    <t xml:space="preserve">* v části ÚHRN vyloučeny v rámci konsolidace i přesuny v rámci SMO , tj. mezi Magistrátem a obvody (položky 4137 a 5347; očištěny dvojnásobné výdaje a příjmy), v části MMO a OBVODY konsolidační přesuny v rámci SMO pro lepší přehled ponechány, z tohoto důvodu nesedí některé součty v ÚHRNu o výši této konsolidace </t>
  </si>
  <si>
    <t>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</si>
</sst>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 CE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4"/>
      <name val="Arial CE"/>
      <charset val="238"/>
    </font>
    <font>
      <b/>
      <sz val="16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24"/>
      <name val="Book Antiqua"/>
      <family val="1"/>
      <charset val="238"/>
    </font>
    <font>
      <sz val="24"/>
      <name val="Book Antiqua"/>
      <family val="1"/>
      <charset val="238"/>
    </font>
    <font>
      <sz val="8"/>
      <color rgb="FFFF0000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0" borderId="0" xfId="0" applyFont="1" applyFill="1" applyProtection="1"/>
    <xf numFmtId="4" fontId="2" fillId="0" borderId="0" xfId="0" applyNumberFormat="1" applyFont="1" applyFill="1" applyProtection="1"/>
    <xf numFmtId="0" fontId="2" fillId="0" borderId="0" xfId="0" applyFont="1" applyFill="1" applyProtection="1"/>
    <xf numFmtId="0" fontId="0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Border="1" applyAlignment="1" applyProtection="1"/>
    <xf numFmtId="0" fontId="0" fillId="0" borderId="0" xfId="0" applyFont="1" applyFill="1" applyAlignment="1" applyProtection="1"/>
    <xf numFmtId="0" fontId="7" fillId="0" borderId="0" xfId="0" applyFont="1" applyFill="1" applyAlignment="1" applyProtection="1"/>
    <xf numFmtId="0" fontId="7" fillId="0" borderId="0" xfId="0" quotePrefix="1" applyFont="1" applyFill="1" applyAlignment="1" applyProtection="1">
      <alignment horizontal="left"/>
    </xf>
    <xf numFmtId="0" fontId="8" fillId="0" borderId="0" xfId="0" applyFont="1" applyFill="1" applyAlignment="1" applyProtection="1">
      <alignment horizontal="right"/>
    </xf>
    <xf numFmtId="0" fontId="5" fillId="0" borderId="2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right" vertical="center"/>
    </xf>
    <xf numFmtId="49" fontId="5" fillId="0" borderId="3" xfId="0" quotePrefix="1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left" vertical="center" indent="1"/>
    </xf>
    <xf numFmtId="0" fontId="5" fillId="0" borderId="1" xfId="0" applyFont="1" applyFill="1" applyBorder="1" applyAlignment="1" applyProtection="1">
      <alignment horizontal="right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quotePrefix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Fill="1" applyBorder="1" applyProtection="1"/>
    <xf numFmtId="3" fontId="0" fillId="0" borderId="0" xfId="0" applyNumberFormat="1" applyFont="1" applyFill="1" applyProtection="1"/>
    <xf numFmtId="0" fontId="11" fillId="0" borderId="0" xfId="0" applyFont="1" applyFill="1" applyProtection="1"/>
    <xf numFmtId="4" fontId="12" fillId="0" borderId="0" xfId="0" applyNumberFormat="1" applyFont="1" applyFill="1" applyProtection="1"/>
    <xf numFmtId="0" fontId="12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4" fontId="11" fillId="0" borderId="2" xfId="0" applyNumberFormat="1" applyFont="1" applyFill="1" applyBorder="1" applyAlignment="1" applyProtection="1">
      <alignment horizontal="center"/>
    </xf>
    <xf numFmtId="4" fontId="11" fillId="0" borderId="77" xfId="0" applyNumberFormat="1" applyFont="1" applyFill="1" applyBorder="1" applyAlignment="1" applyProtection="1">
      <alignment horizontal="center"/>
    </xf>
    <xf numFmtId="4" fontId="11" fillId="0" borderId="78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/>
    </xf>
    <xf numFmtId="4" fontId="11" fillId="0" borderId="79" xfId="0" applyNumberFormat="1" applyFont="1" applyFill="1" applyBorder="1" applyAlignment="1" applyProtection="1">
      <alignment horizontal="center"/>
    </xf>
    <xf numFmtId="4" fontId="11" fillId="0" borderId="3" xfId="0" applyNumberFormat="1" applyFont="1" applyFill="1" applyBorder="1" applyAlignment="1" applyProtection="1">
      <alignment horizontal="center"/>
    </xf>
    <xf numFmtId="4" fontId="11" fillId="0" borderId="80" xfId="0" applyNumberFormat="1" applyFont="1" applyFill="1" applyBorder="1" applyAlignment="1" applyProtection="1">
      <alignment horizontal="center"/>
    </xf>
    <xf numFmtId="0" fontId="11" fillId="0" borderId="81" xfId="0" applyFont="1" applyFill="1" applyBorder="1" applyProtection="1"/>
    <xf numFmtId="4" fontId="12" fillId="0" borderId="82" xfId="0" applyNumberFormat="1" applyFont="1" applyFill="1" applyBorder="1" applyProtection="1">
      <protection locked="0"/>
    </xf>
    <xf numFmtId="4" fontId="12" fillId="0" borderId="83" xfId="0" applyNumberFormat="1" applyFont="1" applyFill="1" applyBorder="1" applyProtection="1">
      <protection locked="0"/>
    </xf>
    <xf numFmtId="4" fontId="12" fillId="0" borderId="75" xfId="0" applyNumberFormat="1" applyFont="1" applyFill="1" applyBorder="1" applyProtection="1">
      <protection locked="0"/>
    </xf>
    <xf numFmtId="4" fontId="12" fillId="0" borderId="82" xfId="0" applyNumberFormat="1" applyFont="1" applyFill="1" applyBorder="1" applyProtection="1"/>
    <xf numFmtId="4" fontId="12" fillId="0" borderId="83" xfId="0" applyNumberFormat="1" applyFont="1" applyFill="1" applyBorder="1" applyProtection="1"/>
    <xf numFmtId="4" fontId="12" fillId="0" borderId="75" xfId="0" applyNumberFormat="1" applyFont="1" applyFill="1" applyBorder="1" applyProtection="1"/>
    <xf numFmtId="0" fontId="11" fillId="0" borderId="84" xfId="0" applyFont="1" applyFill="1" applyBorder="1" applyProtection="1"/>
    <xf numFmtId="4" fontId="12" fillId="0" borderId="85" xfId="0" applyNumberFormat="1" applyFont="1" applyFill="1" applyBorder="1" applyProtection="1">
      <protection locked="0"/>
    </xf>
    <xf numFmtId="4" fontId="12" fillId="0" borderId="86" xfId="0" applyNumberFormat="1" applyFont="1" applyFill="1" applyBorder="1" applyProtection="1">
      <protection locked="0"/>
    </xf>
    <xf numFmtId="4" fontId="12" fillId="0" borderId="87" xfId="0" applyNumberFormat="1" applyFont="1" applyFill="1" applyBorder="1" applyProtection="1">
      <protection locked="0"/>
    </xf>
    <xf numFmtId="4" fontId="12" fillId="0" borderId="85" xfId="0" applyNumberFormat="1" applyFont="1" applyFill="1" applyBorder="1" applyProtection="1"/>
    <xf numFmtId="4" fontId="12" fillId="0" borderId="86" xfId="0" applyNumberFormat="1" applyFont="1" applyFill="1" applyBorder="1" applyProtection="1"/>
    <xf numFmtId="4" fontId="12" fillId="0" borderId="87" xfId="0" applyNumberFormat="1" applyFont="1" applyFill="1" applyBorder="1" applyProtection="1"/>
    <xf numFmtId="4" fontId="12" fillId="0" borderId="80" xfId="0" applyNumberFormat="1" applyFont="1" applyFill="1" applyBorder="1" applyProtection="1"/>
    <xf numFmtId="0" fontId="11" fillId="0" borderId="88" xfId="0" applyFont="1" applyFill="1" applyBorder="1" applyProtection="1"/>
    <xf numFmtId="0" fontId="11" fillId="0" borderId="89" xfId="0" applyFont="1" applyFill="1" applyBorder="1" applyProtection="1"/>
    <xf numFmtId="4" fontId="12" fillId="0" borderId="79" xfId="0" applyNumberFormat="1" applyFont="1" applyFill="1" applyBorder="1" applyProtection="1"/>
    <xf numFmtId="4" fontId="12" fillId="0" borderId="3" xfId="0" applyNumberFormat="1" applyFont="1" applyFill="1" applyBorder="1" applyProtection="1"/>
    <xf numFmtId="4" fontId="12" fillId="0" borderId="2" xfId="0" applyNumberFormat="1" applyFont="1" applyFill="1" applyBorder="1" applyProtection="1"/>
    <xf numFmtId="4" fontId="12" fillId="0" borderId="0" xfId="0" applyNumberFormat="1" applyFont="1" applyFill="1" applyBorder="1" applyProtection="1"/>
    <xf numFmtId="4" fontId="12" fillId="0" borderId="90" xfId="0" applyNumberFormat="1" applyFont="1" applyFill="1" applyBorder="1" applyProtection="1"/>
    <xf numFmtId="4" fontId="12" fillId="0" borderId="80" xfId="0" applyNumberFormat="1" applyFont="1" applyFill="1" applyBorder="1" applyProtection="1">
      <protection locked="0"/>
    </xf>
    <xf numFmtId="4" fontId="12" fillId="0" borderId="91" xfId="0" applyNumberFormat="1" applyFont="1" applyFill="1" applyBorder="1" applyProtection="1">
      <protection locked="0"/>
    </xf>
    <xf numFmtId="4" fontId="12" fillId="0" borderId="3" xfId="0" applyNumberFormat="1" applyFont="1" applyFill="1" applyBorder="1" applyProtection="1">
      <protection locked="0"/>
    </xf>
    <xf numFmtId="4" fontId="12" fillId="0" borderId="79" xfId="0" applyNumberFormat="1" applyFont="1" applyFill="1" applyBorder="1" applyProtection="1">
      <protection locked="0"/>
    </xf>
    <xf numFmtId="4" fontId="12" fillId="0" borderId="92" xfId="0" applyNumberFormat="1" applyFont="1" applyFill="1" applyBorder="1" applyProtection="1"/>
    <xf numFmtId="0" fontId="11" fillId="0" borderId="93" xfId="0" applyFont="1" applyFill="1" applyBorder="1" applyProtection="1"/>
    <xf numFmtId="4" fontId="12" fillId="0" borderId="94" xfId="0" applyNumberFormat="1" applyFont="1" applyFill="1" applyBorder="1" applyProtection="1"/>
    <xf numFmtId="4" fontId="12" fillId="0" borderId="95" xfId="0" applyNumberFormat="1" applyFont="1" applyFill="1" applyBorder="1" applyProtection="1"/>
    <xf numFmtId="4" fontId="12" fillId="0" borderId="5" xfId="0" applyNumberFormat="1" applyFont="1" applyFill="1" applyBorder="1" applyProtection="1"/>
    <xf numFmtId="3" fontId="9" fillId="2" borderId="54" xfId="0" applyNumberFormat="1" applyFont="1" applyFill="1" applyBorder="1" applyAlignment="1" applyProtection="1">
      <alignment vertical="center"/>
      <protection locked="0"/>
    </xf>
    <xf numFmtId="164" fontId="9" fillId="2" borderId="5" xfId="0" applyNumberFormat="1" applyFont="1" applyFill="1" applyBorder="1" applyAlignment="1" applyProtection="1">
      <alignment horizontal="center" vertical="center"/>
    </xf>
    <xf numFmtId="165" fontId="9" fillId="2" borderId="18" xfId="0" applyNumberFormat="1" applyFont="1" applyFill="1" applyBorder="1" applyAlignment="1" applyProtection="1">
      <alignment horizontal="center" vertical="center"/>
    </xf>
    <xf numFmtId="164" fontId="9" fillId="2" borderId="110" xfId="0" applyNumberFormat="1" applyFont="1" applyFill="1" applyBorder="1" applyAlignment="1" applyProtection="1">
      <alignment horizontal="center" vertical="center"/>
    </xf>
    <xf numFmtId="3" fontId="9" fillId="2" borderId="1" xfId="0" applyNumberFormat="1" applyFont="1" applyFill="1" applyBorder="1" applyAlignment="1" applyProtection="1">
      <alignment vertical="center"/>
    </xf>
    <xf numFmtId="3" fontId="9" fillId="2" borderId="55" xfId="0" applyNumberFormat="1" applyFont="1" applyFill="1" applyBorder="1" applyAlignment="1" applyProtection="1">
      <alignment vertical="center"/>
    </xf>
    <xf numFmtId="164" fontId="9" fillId="2" borderId="55" xfId="0" applyNumberFormat="1" applyFont="1" applyFill="1" applyBorder="1" applyAlignment="1" applyProtection="1">
      <alignment horizontal="center" vertical="center"/>
    </xf>
    <xf numFmtId="3" fontId="5" fillId="2" borderId="33" xfId="0" applyNumberFormat="1" applyFont="1" applyFill="1" applyBorder="1" applyAlignment="1" applyProtection="1">
      <alignment vertical="center"/>
      <protection locked="0"/>
    </xf>
    <xf numFmtId="3" fontId="5" fillId="2" borderId="36" xfId="0" applyNumberFormat="1" applyFont="1" applyFill="1" applyBorder="1" applyAlignment="1" applyProtection="1">
      <alignment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</xf>
    <xf numFmtId="3" fontId="5" fillId="2" borderId="34" xfId="0" applyNumberFormat="1" applyFont="1" applyFill="1" applyBorder="1" applyAlignment="1" applyProtection="1">
      <alignment vertical="center"/>
      <protection locked="0"/>
    </xf>
    <xf numFmtId="165" fontId="5" fillId="2" borderId="34" xfId="0" applyNumberFormat="1" applyFont="1" applyFill="1" applyBorder="1" applyAlignment="1" applyProtection="1">
      <alignment horizontal="center" vertical="center"/>
    </xf>
    <xf numFmtId="164" fontId="5" fillId="2" borderId="112" xfId="0" applyNumberFormat="1" applyFont="1" applyFill="1" applyBorder="1" applyAlignment="1" applyProtection="1">
      <alignment horizontal="center" vertical="center"/>
    </xf>
    <xf numFmtId="3" fontId="5" fillId="2" borderId="109" xfId="0" applyNumberFormat="1" applyFont="1" applyFill="1" applyBorder="1" applyAlignment="1" applyProtection="1">
      <alignment vertical="center"/>
    </xf>
    <xf numFmtId="3" fontId="5" fillId="2" borderId="37" xfId="0" applyNumberFormat="1" applyFont="1" applyFill="1" applyBorder="1" applyAlignment="1" applyProtection="1">
      <alignment vertical="center"/>
    </xf>
    <xf numFmtId="3" fontId="5" fillId="2" borderId="34" xfId="0" applyNumberFormat="1" applyFont="1" applyFill="1" applyBorder="1" applyAlignment="1" applyProtection="1">
      <alignment vertical="center"/>
    </xf>
    <xf numFmtId="164" fontId="5" fillId="2" borderId="36" xfId="0" applyNumberFormat="1" applyFont="1" applyFill="1" applyBorder="1" applyAlignment="1" applyProtection="1">
      <alignment horizontal="center" vertical="center"/>
    </xf>
    <xf numFmtId="164" fontId="5" fillId="2" borderId="35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164" fontId="5" fillId="2" borderId="43" xfId="0" applyNumberFormat="1" applyFont="1" applyFill="1" applyBorder="1" applyAlignment="1" applyProtection="1">
      <alignment horizontal="center" vertical="center"/>
    </xf>
    <xf numFmtId="164" fontId="5" fillId="2" borderId="44" xfId="0" applyNumberFormat="1" applyFont="1" applyFill="1" applyBorder="1" applyAlignment="1" applyProtection="1">
      <alignment horizontal="center" vertical="center"/>
    </xf>
    <xf numFmtId="3" fontId="5" fillId="2" borderId="43" xfId="0" applyNumberFormat="1" applyFont="1" applyFill="1" applyBorder="1" applyAlignment="1" applyProtection="1">
      <alignment vertical="center"/>
    </xf>
    <xf numFmtId="3" fontId="5" fillId="2" borderId="18" xfId="0" applyNumberFormat="1" applyFont="1" applyFill="1" applyBorder="1" applyAlignment="1" applyProtection="1">
      <alignment vertical="center"/>
    </xf>
    <xf numFmtId="164" fontId="5" fillId="2" borderId="18" xfId="0" applyNumberFormat="1" applyFont="1" applyFill="1" applyBorder="1" applyAlignment="1" applyProtection="1">
      <alignment horizontal="center" vertical="center"/>
    </xf>
    <xf numFmtId="164" fontId="5" fillId="2" borderId="56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164" fontId="5" fillId="2" borderId="9" xfId="0" applyNumberFormat="1" applyFont="1" applyFill="1" applyBorder="1" applyAlignment="1" applyProtection="1">
      <alignment horizontal="center" vertical="center"/>
    </xf>
    <xf numFmtId="164" fontId="5" fillId="2" borderId="59" xfId="0" applyNumberFormat="1" applyFont="1" applyFill="1" applyBorder="1" applyAlignment="1" applyProtection="1">
      <alignment horizontal="center" vertical="center"/>
    </xf>
    <xf numFmtId="3" fontId="5" fillId="2" borderId="48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0" fontId="5" fillId="2" borderId="3" xfId="0" quotePrefix="1" applyFont="1" applyFill="1" applyBorder="1" applyAlignment="1" applyProtection="1">
      <alignment horizontal="left" vertical="center"/>
    </xf>
    <xf numFmtId="3" fontId="5" fillId="2" borderId="50" xfId="0" applyNumberFormat="1" applyFont="1" applyFill="1" applyBorder="1" applyAlignment="1" applyProtection="1">
      <alignment vertical="center"/>
      <protection locked="0"/>
    </xf>
    <xf numFmtId="3" fontId="5" fillId="2" borderId="46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/>
    </xf>
    <xf numFmtId="49" fontId="5" fillId="2" borderId="3" xfId="0" quotePrefix="1" applyNumberFormat="1" applyFont="1" applyFill="1" applyBorder="1" applyAlignment="1" applyProtection="1">
      <alignment vertical="center"/>
    </xf>
    <xf numFmtId="0" fontId="5" fillId="2" borderId="31" xfId="0" applyFont="1" applyFill="1" applyBorder="1" applyAlignment="1" applyProtection="1">
      <alignment horizontal="left" vertical="center" indent="1"/>
    </xf>
    <xf numFmtId="0" fontId="5" fillId="2" borderId="1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164" fontId="5" fillId="2" borderId="54" xfId="0" applyNumberFormat="1" applyFont="1" applyFill="1" applyBorder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164" fontId="9" fillId="2" borderId="15" xfId="0" applyNumberFormat="1" applyFont="1" applyFill="1" applyBorder="1" applyAlignment="1" applyProtection="1">
      <alignment horizontal="center" vertical="center"/>
    </xf>
    <xf numFmtId="164" fontId="9" fillId="2" borderId="16" xfId="0" applyNumberFormat="1" applyFont="1" applyFill="1" applyBorder="1" applyAlignment="1" applyProtection="1">
      <alignment horizontal="center" vertical="center"/>
    </xf>
    <xf numFmtId="164" fontId="9" fillId="2" borderId="100" xfId="0" applyNumberFormat="1" applyFont="1" applyFill="1" applyBorder="1" applyAlignment="1" applyProtection="1">
      <alignment horizontal="center" vertical="center"/>
    </xf>
    <xf numFmtId="3" fontId="5" fillId="2" borderId="30" xfId="0" applyNumberFormat="1" applyFont="1" applyFill="1" applyBorder="1" applyAlignment="1" applyProtection="1">
      <alignment vertical="center"/>
    </xf>
    <xf numFmtId="164" fontId="5" fillId="2" borderId="19" xfId="0" applyNumberFormat="1" applyFont="1" applyFill="1" applyBorder="1" applyAlignment="1" applyProtection="1">
      <alignment horizontal="center" vertical="center"/>
    </xf>
    <xf numFmtId="164" fontId="5" fillId="2" borderId="23" xfId="0" applyNumberFormat="1" applyFont="1" applyFill="1" applyBorder="1" applyAlignment="1" applyProtection="1">
      <alignment horizontal="center" vertical="center"/>
    </xf>
    <xf numFmtId="3" fontId="5" fillId="2" borderId="33" xfId="0" applyNumberFormat="1" applyFont="1" applyFill="1" applyBorder="1" applyAlignment="1" applyProtection="1">
      <alignment vertical="center"/>
    </xf>
    <xf numFmtId="3" fontId="5" fillId="2" borderId="36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3" fontId="5" fillId="2" borderId="17" xfId="0" applyNumberFormat="1" applyFont="1" applyFill="1" applyBorder="1" applyAlignment="1" applyProtection="1">
      <alignment vertical="center"/>
    </xf>
    <xf numFmtId="164" fontId="5" fillId="2" borderId="46" xfId="0" applyNumberFormat="1" applyFont="1" applyFill="1" applyBorder="1" applyAlignment="1" applyProtection="1">
      <alignment horizontal="center" vertical="center"/>
    </xf>
    <xf numFmtId="164" fontId="5" fillId="2" borderId="114" xfId="0" applyNumberFormat="1" applyFont="1" applyFill="1" applyBorder="1" applyAlignment="1" applyProtection="1">
      <alignment horizontal="center" vertical="center"/>
    </xf>
    <xf numFmtId="3" fontId="5" fillId="2" borderId="51" xfId="0" applyNumberFormat="1" applyFont="1" applyFill="1" applyBorder="1" applyAlignment="1" applyProtection="1">
      <alignment vertical="center"/>
    </xf>
    <xf numFmtId="164" fontId="5" fillId="2" borderId="20" xfId="0" applyNumberFormat="1" applyFont="1" applyFill="1" applyBorder="1" applyAlignment="1" applyProtection="1">
      <alignment horizontal="center" vertical="center"/>
    </xf>
    <xf numFmtId="164" fontId="5" fillId="2" borderId="10" xfId="0" applyNumberFormat="1" applyFont="1" applyFill="1" applyBorder="1" applyAlignment="1" applyProtection="1">
      <alignment horizontal="center" vertical="center"/>
    </xf>
    <xf numFmtId="164" fontId="5" fillId="2" borderId="97" xfId="0" applyNumberFormat="1" applyFont="1" applyFill="1" applyBorder="1" applyAlignment="1" applyProtection="1">
      <alignment horizontal="center" vertical="center"/>
    </xf>
    <xf numFmtId="3" fontId="10" fillId="2" borderId="38" xfId="0" applyNumberFormat="1" applyFont="1" applyFill="1" applyBorder="1" applyAlignment="1" applyProtection="1">
      <alignment vertical="center"/>
    </xf>
    <xf numFmtId="3" fontId="10" fillId="2" borderId="39" xfId="0" applyNumberFormat="1" applyFont="1" applyFill="1" applyBorder="1" applyAlignment="1" applyProtection="1">
      <alignment vertical="center"/>
    </xf>
    <xf numFmtId="3" fontId="10" fillId="2" borderId="15" xfId="0" applyNumberFormat="1" applyFont="1" applyFill="1" applyBorder="1" applyAlignment="1" applyProtection="1">
      <alignment vertical="center"/>
    </xf>
    <xf numFmtId="164" fontId="10" fillId="2" borderId="15" xfId="0" applyNumberFormat="1" applyFont="1" applyFill="1" applyBorder="1" applyAlignment="1" applyProtection="1">
      <alignment horizontal="center" vertical="center"/>
    </xf>
    <xf numFmtId="164" fontId="10" fillId="2" borderId="16" xfId="0" applyNumberFormat="1" applyFont="1" applyFill="1" applyBorder="1" applyAlignment="1" applyProtection="1">
      <alignment horizontal="center" vertical="center"/>
    </xf>
    <xf numFmtId="164" fontId="10" fillId="2" borderId="100" xfId="0" applyNumberFormat="1" applyFont="1" applyFill="1" applyBorder="1" applyAlignment="1" applyProtection="1">
      <alignment horizontal="center" vertical="center"/>
    </xf>
    <xf numFmtId="3" fontId="10" fillId="2" borderId="66" xfId="0" applyNumberFormat="1" applyFont="1" applyFill="1" applyBorder="1" applyAlignment="1" applyProtection="1">
      <alignment vertical="center"/>
    </xf>
    <xf numFmtId="3" fontId="5" fillId="2" borderId="21" xfId="0" applyNumberFormat="1" applyFont="1" applyFill="1" applyBorder="1" applyAlignment="1" applyProtection="1">
      <alignment vertical="center"/>
    </xf>
    <xf numFmtId="3" fontId="5" fillId="2" borderId="19" xfId="0" applyNumberFormat="1" applyFont="1" applyFill="1" applyBorder="1" applyAlignment="1" applyProtection="1">
      <alignment vertical="center"/>
    </xf>
    <xf numFmtId="164" fontId="5" fillId="2" borderId="102" xfId="0" applyNumberFormat="1" applyFont="1" applyFill="1" applyBorder="1" applyAlignment="1" applyProtection="1">
      <alignment horizontal="center" vertical="center"/>
    </xf>
    <xf numFmtId="3" fontId="5" fillId="2" borderId="22" xfId="0" applyNumberFormat="1" applyFont="1" applyFill="1" applyBorder="1" applyAlignment="1" applyProtection="1">
      <alignment vertical="center"/>
    </xf>
    <xf numFmtId="0" fontId="5" fillId="2" borderId="28" xfId="0" applyFont="1" applyFill="1" applyBorder="1" applyAlignment="1" applyProtection="1">
      <alignment horizontal="left" indent="1"/>
    </xf>
    <xf numFmtId="0" fontId="5" fillId="2" borderId="75" xfId="0" applyFont="1" applyFill="1" applyBorder="1" applyAlignment="1" applyProtection="1">
      <alignment vertical="center"/>
    </xf>
    <xf numFmtId="164" fontId="5" fillId="2" borderId="26" xfId="0" applyNumberFormat="1" applyFont="1" applyFill="1" applyBorder="1" applyAlignment="1" applyProtection="1">
      <alignment horizontal="center" vertical="center"/>
    </xf>
    <xf numFmtId="164" fontId="5" fillId="2" borderId="25" xfId="0" applyNumberFormat="1" applyFont="1" applyFill="1" applyBorder="1" applyAlignment="1" applyProtection="1">
      <alignment horizontal="center" vertical="center"/>
    </xf>
    <xf numFmtId="3" fontId="5" fillId="2" borderId="28" xfId="0" applyNumberFormat="1" applyFont="1" applyFill="1" applyBorder="1" applyAlignment="1" applyProtection="1">
      <alignment vertical="center"/>
    </xf>
    <xf numFmtId="3" fontId="5" fillId="2" borderId="64" xfId="0" applyNumberFormat="1" applyFont="1" applyFill="1" applyBorder="1" applyAlignment="1" applyProtection="1">
      <alignment vertical="center"/>
    </xf>
    <xf numFmtId="3" fontId="5" fillId="2" borderId="26" xfId="0" applyNumberFormat="1" applyFont="1" applyFill="1" applyBorder="1" applyAlignment="1" applyProtection="1">
      <alignment vertical="center"/>
    </xf>
    <xf numFmtId="164" fontId="5" fillId="2" borderId="103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indent="1"/>
    </xf>
    <xf numFmtId="3" fontId="5" fillId="2" borderId="3" xfId="0" quotePrefix="1" applyNumberFormat="1" applyFont="1" applyFill="1" applyBorder="1" applyAlignment="1" applyProtection="1">
      <alignment horizontal="left" vertical="center"/>
    </xf>
    <xf numFmtId="3" fontId="5" fillId="2" borderId="52" xfId="0" applyNumberFormat="1" applyFont="1" applyFill="1" applyBorder="1" applyAlignment="1" applyProtection="1">
      <alignment vertical="center"/>
    </xf>
    <xf numFmtId="3" fontId="5" fillId="2" borderId="67" xfId="0" applyNumberFormat="1" applyFont="1" applyFill="1" applyBorder="1" applyAlignment="1" applyProtection="1">
      <alignment vertical="center"/>
    </xf>
    <xf numFmtId="3" fontId="5" fillId="2" borderId="46" xfId="0" applyNumberFormat="1" applyFont="1" applyFill="1" applyBorder="1" applyAlignment="1" applyProtection="1">
      <alignment vertical="center"/>
    </xf>
    <xf numFmtId="164" fontId="5" fillId="2" borderId="55" xfId="0" applyNumberFormat="1" applyFont="1" applyFill="1" applyBorder="1" applyAlignment="1" applyProtection="1">
      <alignment horizontal="center" vertical="center"/>
    </xf>
    <xf numFmtId="164" fontId="5" fillId="2" borderId="57" xfId="0" applyNumberFormat="1" applyFont="1" applyFill="1" applyBorder="1" applyAlignment="1" applyProtection="1">
      <alignment horizontal="center" vertical="center"/>
    </xf>
    <xf numFmtId="164" fontId="5" fillId="2" borderId="106" xfId="0" applyNumberFormat="1" applyFont="1" applyFill="1" applyBorder="1" applyAlignment="1" applyProtection="1">
      <alignment horizontal="center" vertical="center"/>
    </xf>
    <xf numFmtId="3" fontId="9" fillId="2" borderId="66" xfId="0" applyNumberFormat="1" applyFont="1" applyFill="1" applyBorder="1" applyAlignment="1" applyProtection="1">
      <alignment vertical="center"/>
      <protection locked="0"/>
    </xf>
    <xf numFmtId="3" fontId="9" fillId="2" borderId="66" xfId="0" applyNumberFormat="1" applyFont="1" applyFill="1" applyBorder="1" applyAlignment="1" applyProtection="1">
      <alignment vertical="center"/>
    </xf>
    <xf numFmtId="0" fontId="5" fillId="2" borderId="0" xfId="0" applyFont="1" applyFill="1" applyProtection="1"/>
    <xf numFmtId="3" fontId="5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0" fillId="2" borderId="0" xfId="0" applyFont="1" applyFill="1" applyProtection="1"/>
    <xf numFmtId="3" fontId="5" fillId="2" borderId="0" xfId="0" quotePrefix="1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/>
    <xf numFmtId="3" fontId="0" fillId="2" borderId="0" xfId="0" applyNumberFormat="1" applyFont="1" applyFill="1" applyProtection="1"/>
    <xf numFmtId="164" fontId="9" fillId="2" borderId="19" xfId="0" applyNumberFormat="1" applyFont="1" applyFill="1" applyBorder="1" applyAlignment="1" applyProtection="1">
      <alignment horizontal="center" vertical="center"/>
    </xf>
    <xf numFmtId="164" fontId="9" fillId="2" borderId="41" xfId="0" applyNumberFormat="1" applyFont="1" applyFill="1" applyBorder="1" applyAlignment="1" applyProtection="1">
      <alignment horizontal="center" vertical="center"/>
    </xf>
    <xf numFmtId="164" fontId="5" fillId="2" borderId="12" xfId="0" applyNumberFormat="1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3" fontId="5" fillId="2" borderId="33" xfId="0" applyNumberFormat="1" applyFont="1" applyFill="1" applyBorder="1" applyAlignment="1" applyProtection="1">
      <alignment horizontal="right" vertical="center"/>
    </xf>
    <xf numFmtId="3" fontId="5" fillId="2" borderId="34" xfId="0" applyNumberFormat="1" applyFont="1" applyFill="1" applyBorder="1" applyAlignment="1" applyProtection="1">
      <alignment horizontal="right" vertical="center"/>
    </xf>
    <xf numFmtId="164" fontId="5" fillId="2" borderId="34" xfId="0" applyNumberFormat="1" applyFont="1" applyFill="1" applyBorder="1" applyAlignment="1" applyProtection="1">
      <alignment horizontal="center" vertical="center"/>
    </xf>
    <xf numFmtId="3" fontId="5" fillId="2" borderId="36" xfId="0" applyNumberFormat="1" applyFont="1" applyFill="1" applyBorder="1" applyAlignment="1" applyProtection="1">
      <alignment horizontal="right" vertical="center"/>
    </xf>
    <xf numFmtId="164" fontId="5" fillId="2" borderId="4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164" fontId="9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3" fontId="5" fillId="2" borderId="8" xfId="0" applyNumberFormat="1" applyFont="1" applyFill="1" applyBorder="1" applyAlignment="1" applyProtection="1">
      <alignment vertical="center"/>
    </xf>
    <xf numFmtId="3" fontId="5" fillId="2" borderId="63" xfId="0" applyNumberFormat="1" applyFont="1" applyFill="1" applyBorder="1" applyAlignment="1" applyProtection="1">
      <alignment horizontal="right" vertical="center"/>
    </xf>
    <xf numFmtId="3" fontId="5" fillId="2" borderId="43" xfId="0" applyNumberFormat="1" applyFont="1" applyFill="1" applyBorder="1" applyAlignment="1" applyProtection="1">
      <alignment horizontal="right" vertical="center"/>
    </xf>
    <xf numFmtId="3" fontId="5" fillId="2" borderId="48" xfId="0" applyNumberFormat="1" applyFont="1" applyFill="1" applyBorder="1" applyAlignment="1" applyProtection="1">
      <alignment horizontal="right" vertical="center"/>
    </xf>
    <xf numFmtId="3" fontId="5" fillId="2" borderId="9" xfId="0" applyNumberFormat="1" applyFont="1" applyFill="1" applyBorder="1" applyAlignment="1" applyProtection="1">
      <alignment horizontal="right" vertical="center"/>
    </xf>
    <xf numFmtId="3" fontId="5" fillId="2" borderId="51" xfId="0" applyNumberFormat="1" applyFont="1" applyFill="1" applyBorder="1" applyAlignment="1" applyProtection="1">
      <alignment horizontal="right" vertical="center"/>
    </xf>
    <xf numFmtId="3" fontId="5" fillId="2" borderId="54" xfId="0" applyNumberFormat="1" applyFont="1" applyFill="1" applyBorder="1" applyAlignment="1" applyProtection="1">
      <alignment horizontal="right" vertical="center"/>
    </xf>
    <xf numFmtId="3" fontId="5" fillId="2" borderId="55" xfId="0" applyNumberFormat="1" applyFont="1" applyFill="1" applyBorder="1" applyAlignment="1" applyProtection="1">
      <alignment horizontal="right" vertical="center"/>
    </xf>
    <xf numFmtId="3" fontId="5" fillId="2" borderId="65" xfId="0" applyNumberFormat="1" applyFont="1" applyFill="1" applyBorder="1" applyAlignment="1" applyProtection="1">
      <alignment horizontal="right" vertical="center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5" fillId="2" borderId="48" xfId="0" applyNumberFormat="1" applyFont="1" applyFill="1" applyBorder="1" applyAlignment="1" applyProtection="1">
      <alignment horizontal="center" vertical="center"/>
    </xf>
    <xf numFmtId="3" fontId="5" fillId="2" borderId="63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horizontal="center" vertical="center"/>
    </xf>
    <xf numFmtId="3" fontId="5" fillId="2" borderId="54" xfId="0" applyNumberFormat="1" applyFont="1" applyFill="1" applyBorder="1" applyAlignment="1" applyProtection="1">
      <alignment vertical="center"/>
    </xf>
    <xf numFmtId="3" fontId="5" fillId="2" borderId="62" xfId="0" applyNumberFormat="1" applyFont="1" applyFill="1" applyBorder="1" applyAlignment="1" applyProtection="1">
      <alignment vertical="center"/>
    </xf>
    <xf numFmtId="3" fontId="5" fillId="2" borderId="40" xfId="0" applyNumberFormat="1" applyFont="1" applyFill="1" applyBorder="1" applyAlignment="1" applyProtection="1">
      <alignment vertical="center"/>
    </xf>
    <xf numFmtId="3" fontId="5" fillId="2" borderId="40" xfId="0" applyNumberFormat="1" applyFont="1" applyFill="1" applyBorder="1" applyAlignment="1" applyProtection="1">
      <alignment horizontal="right" vertical="center"/>
    </xf>
    <xf numFmtId="164" fontId="13" fillId="2" borderId="19" xfId="0" applyNumberFormat="1" applyFont="1" applyFill="1" applyBorder="1" applyAlignment="1" applyProtection="1">
      <alignment horizontal="center" vertical="center"/>
    </xf>
    <xf numFmtId="3" fontId="13" fillId="2" borderId="30" xfId="0" applyNumberFormat="1" applyFont="1" applyFill="1" applyBorder="1" applyAlignment="1" applyProtection="1">
      <alignment vertical="center"/>
    </xf>
    <xf numFmtId="164" fontId="13" fillId="2" borderId="23" xfId="0" applyNumberFormat="1" applyFont="1" applyFill="1" applyBorder="1" applyAlignment="1" applyProtection="1">
      <alignment horizontal="center" vertical="center"/>
    </xf>
    <xf numFmtId="3" fontId="9" fillId="2" borderId="38" xfId="0" applyNumberFormat="1" applyFont="1" applyFill="1" applyBorder="1" applyAlignment="1" applyProtection="1">
      <alignment horizontal="right" vertical="center"/>
    </xf>
    <xf numFmtId="3" fontId="9" fillId="2" borderId="4" xfId="0" applyNumberFormat="1" applyFont="1" applyFill="1" applyBorder="1" applyAlignment="1" applyProtection="1">
      <alignment horizontal="right" vertical="center"/>
    </xf>
    <xf numFmtId="164" fontId="9" fillId="2" borderId="40" xfId="0" applyNumberFormat="1" applyFont="1" applyFill="1" applyBorder="1" applyAlignment="1" applyProtection="1">
      <alignment horizontal="center" vertical="center"/>
    </xf>
    <xf numFmtId="164" fontId="9" fillId="2" borderId="101" xfId="0" applyNumberFormat="1" applyFont="1" applyFill="1" applyBorder="1" applyAlignment="1" applyProtection="1">
      <alignment horizontal="center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3" fontId="9" fillId="2" borderId="19" xfId="0" applyNumberFormat="1" applyFont="1" applyFill="1" applyBorder="1" applyAlignment="1" applyProtection="1">
      <alignment horizontal="right" vertical="center"/>
    </xf>
    <xf numFmtId="3" fontId="5" fillId="2" borderId="17" xfId="0" applyNumberFormat="1" applyFont="1" applyFill="1" applyBorder="1" applyAlignment="1" applyProtection="1">
      <alignment horizontal="right" vertical="center"/>
      <protection locked="0"/>
    </xf>
    <xf numFmtId="3" fontId="5" fillId="2" borderId="18" xfId="0" applyNumberFormat="1" applyFont="1" applyFill="1" applyBorder="1" applyAlignment="1" applyProtection="1">
      <alignment horizontal="right" vertical="center"/>
      <protection locked="0"/>
    </xf>
    <xf numFmtId="3" fontId="5" fillId="2" borderId="21" xfId="0" applyNumberFormat="1" applyFont="1" applyFill="1" applyBorder="1" applyAlignment="1" applyProtection="1">
      <alignment horizontal="right" vertical="center"/>
      <protection locked="0"/>
    </xf>
    <xf numFmtId="3" fontId="5" fillId="2" borderId="22" xfId="0" applyNumberFormat="1" applyFont="1" applyFill="1" applyBorder="1" applyAlignment="1" applyProtection="1">
      <alignment horizontal="right" vertical="center"/>
      <protection locked="0"/>
    </xf>
    <xf numFmtId="3" fontId="5" fillId="2" borderId="22" xfId="0" applyNumberFormat="1" applyFont="1" applyFill="1" applyBorder="1" applyAlignment="1" applyProtection="1">
      <alignment horizontal="right" vertical="center"/>
    </xf>
    <xf numFmtId="0" fontId="5" fillId="2" borderId="18" xfId="0" applyFont="1" applyFill="1" applyBorder="1" applyAlignment="1" applyProtection="1">
      <alignment vertical="center"/>
    </xf>
    <xf numFmtId="3" fontId="5" fillId="2" borderId="42" xfId="0" applyNumberFormat="1" applyFont="1" applyFill="1" applyBorder="1" applyAlignment="1" applyProtection="1">
      <alignment horizontal="right" vertical="center"/>
      <protection locked="0"/>
    </xf>
    <xf numFmtId="3" fontId="5" fillId="2" borderId="43" xfId="0" applyNumberFormat="1" applyFont="1" applyFill="1" applyBorder="1" applyAlignment="1" applyProtection="1">
      <alignment horizontal="right" vertical="center"/>
      <protection locked="0"/>
    </xf>
    <xf numFmtId="3" fontId="5" fillId="2" borderId="45" xfId="0" applyNumberFormat="1" applyFont="1" applyFill="1" applyBorder="1" applyAlignment="1" applyProtection="1">
      <alignment horizontal="right" vertical="center"/>
      <protection locked="0"/>
    </xf>
    <xf numFmtId="0" fontId="5" fillId="2" borderId="43" xfId="0" applyFont="1" applyFill="1" applyBorder="1" applyAlignment="1" applyProtection="1">
      <alignment horizontal="right" vertical="center"/>
      <protection locked="0"/>
    </xf>
    <xf numFmtId="164" fontId="5" fillId="2" borderId="104" xfId="0" applyNumberFormat="1" applyFont="1" applyFill="1" applyBorder="1" applyAlignment="1" applyProtection="1">
      <alignment horizontal="center" vertical="center"/>
    </xf>
    <xf numFmtId="3" fontId="5" fillId="2" borderId="47" xfId="0" applyNumberFormat="1" applyFont="1" applyFill="1" applyBorder="1" applyAlignment="1" applyProtection="1">
      <alignment horizontal="right" vertical="center"/>
      <protection locked="0"/>
    </xf>
    <xf numFmtId="3" fontId="5" fillId="2" borderId="9" xfId="0" applyNumberFormat="1" applyFont="1" applyFill="1" applyBorder="1" applyAlignment="1" applyProtection="1">
      <alignment horizontal="right" vertical="center"/>
      <protection locked="0"/>
    </xf>
    <xf numFmtId="3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99" xfId="0" applyNumberFormat="1" applyFont="1" applyFill="1" applyBorder="1" applyAlignment="1" applyProtection="1">
      <alignment horizontal="center" vertical="center"/>
    </xf>
    <xf numFmtId="3" fontId="5" fillId="2" borderId="48" xfId="0" applyNumberFormat="1" applyFont="1" applyFill="1" applyBorder="1" applyAlignment="1" applyProtection="1">
      <alignment horizontal="right" vertical="center"/>
      <protection locked="0"/>
    </xf>
    <xf numFmtId="3" fontId="5" fillId="2" borderId="49" xfId="0" applyNumberFormat="1" applyFont="1" applyFill="1" applyBorder="1" applyAlignment="1" applyProtection="1">
      <alignment horizontal="right" vertical="center"/>
      <protection locked="0"/>
    </xf>
    <xf numFmtId="3" fontId="5" fillId="2" borderId="40" xfId="0" applyNumberFormat="1" applyFont="1" applyFill="1" applyBorder="1" applyAlignment="1" applyProtection="1">
      <alignment horizontal="right" vertical="center"/>
      <protection locked="0"/>
    </xf>
    <xf numFmtId="3" fontId="5" fillId="2" borderId="50" xfId="0" applyNumberFormat="1" applyFont="1" applyFill="1" applyBorder="1" applyAlignment="1" applyProtection="1">
      <alignment horizontal="right" vertical="center"/>
      <protection locked="0"/>
    </xf>
    <xf numFmtId="3" fontId="5" fillId="2" borderId="51" xfId="0" applyNumberFormat="1" applyFont="1" applyFill="1" applyBorder="1" applyAlignment="1" applyProtection="1">
      <alignment horizontal="right" vertical="center"/>
      <protection locked="0"/>
    </xf>
    <xf numFmtId="3" fontId="5" fillId="2" borderId="52" xfId="0" applyNumberFormat="1" applyFont="1" applyFill="1" applyBorder="1" applyAlignment="1" applyProtection="1">
      <alignment horizontal="right" vertical="center"/>
      <protection locked="0"/>
    </xf>
    <xf numFmtId="3" fontId="5" fillId="2" borderId="53" xfId="0" applyNumberFormat="1" applyFont="1" applyFill="1" applyBorder="1" applyAlignment="1" applyProtection="1">
      <alignment horizontal="right" vertical="center"/>
      <protection locked="0"/>
    </xf>
    <xf numFmtId="3" fontId="5" fillId="2" borderId="54" xfId="0" applyNumberFormat="1" applyFont="1" applyFill="1" applyBorder="1" applyAlignment="1" applyProtection="1">
      <alignment horizontal="right" vertical="center"/>
      <protection locked="0"/>
    </xf>
    <xf numFmtId="3" fontId="5" fillId="2" borderId="19" xfId="0" applyNumberFormat="1" applyFont="1" applyFill="1" applyBorder="1" applyAlignment="1" applyProtection="1">
      <alignment horizontal="right" vertical="center"/>
      <protection locked="0"/>
    </xf>
    <xf numFmtId="164" fontId="5" fillId="2" borderId="27" xfId="0" applyNumberFormat="1" applyFont="1" applyFill="1" applyBorder="1" applyAlignment="1" applyProtection="1">
      <alignment horizontal="center" vertical="center"/>
    </xf>
    <xf numFmtId="3" fontId="5" fillId="2" borderId="17" xfId="0" applyNumberFormat="1" applyFont="1" applyFill="1" applyBorder="1" applyAlignment="1" applyProtection="1">
      <alignment vertical="center"/>
      <protection locked="0"/>
    </xf>
    <xf numFmtId="3" fontId="5" fillId="2" borderId="24" xfId="0" applyNumberFormat="1" applyFont="1" applyFill="1" applyBorder="1" applyAlignment="1" applyProtection="1">
      <alignment vertical="center"/>
      <protection locked="0"/>
    </xf>
    <xf numFmtId="3" fontId="5" fillId="2" borderId="29" xfId="0" applyNumberFormat="1" applyFont="1" applyFill="1" applyBorder="1" applyAlignment="1" applyProtection="1">
      <alignment vertical="center"/>
      <protection locked="0"/>
    </xf>
    <xf numFmtId="3" fontId="5" fillId="2" borderId="30" xfId="0" applyNumberFormat="1" applyFont="1" applyFill="1" applyBorder="1" applyAlignment="1" applyProtection="1">
      <alignment vertical="center"/>
      <protection locked="0"/>
    </xf>
    <xf numFmtId="3" fontId="5" fillId="2" borderId="9" xfId="0" quotePrefix="1" applyNumberFormat="1" applyFont="1" applyFill="1" applyBorder="1" applyAlignment="1" applyProtection="1">
      <alignment horizontal="right" vertical="center"/>
      <protection locked="0"/>
    </xf>
    <xf numFmtId="3" fontId="5" fillId="2" borderId="11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9" fillId="2" borderId="39" xfId="0" applyNumberFormat="1" applyFont="1" applyFill="1" applyBorder="1" applyAlignment="1" applyProtection="1">
      <alignment horizontal="right" vertical="center"/>
    </xf>
    <xf numFmtId="3" fontId="9" fillId="2" borderId="15" xfId="0" applyNumberFormat="1" applyFont="1" applyFill="1" applyBorder="1" applyAlignment="1" applyProtection="1">
      <alignment horizontal="right" vertical="center"/>
    </xf>
    <xf numFmtId="3" fontId="5" fillId="2" borderId="46" xfId="0" applyNumberFormat="1" applyFont="1" applyFill="1" applyBorder="1" applyAlignment="1" applyProtection="1">
      <alignment horizontal="right" vertical="center"/>
      <protection locked="0"/>
    </xf>
    <xf numFmtId="3" fontId="5" fillId="2" borderId="30" xfId="0" applyNumberFormat="1" applyFont="1" applyFill="1" applyBorder="1" applyAlignment="1" applyProtection="1">
      <alignment horizontal="right" vertical="center"/>
      <protection locked="0"/>
    </xf>
    <xf numFmtId="164" fontId="5" fillId="2" borderId="105" xfId="0" applyNumberFormat="1" applyFont="1" applyFill="1" applyBorder="1" applyAlignment="1" applyProtection="1">
      <alignment horizontal="center" vertical="center"/>
    </xf>
    <xf numFmtId="3" fontId="9" fillId="2" borderId="14" xfId="0" applyNumberFormat="1" applyFont="1" applyFill="1" applyBorder="1" applyAlignment="1" applyProtection="1">
      <alignment horizontal="right" vertical="center"/>
    </xf>
    <xf numFmtId="3" fontId="9" fillId="2" borderId="66" xfId="0" applyNumberFormat="1" applyFont="1" applyFill="1" applyBorder="1" applyAlignment="1" applyProtection="1">
      <alignment horizontal="right" vertical="center"/>
    </xf>
    <xf numFmtId="164" fontId="9" fillId="2" borderId="70" xfId="0" applyNumberFormat="1" applyFont="1" applyFill="1" applyBorder="1" applyAlignment="1" applyProtection="1">
      <alignment horizontal="center" vertical="center"/>
    </xf>
    <xf numFmtId="164" fontId="5" fillId="2" borderId="76" xfId="0" applyNumberFormat="1" applyFont="1" applyFill="1" applyBorder="1" applyAlignment="1" applyProtection="1">
      <alignment horizontal="center" vertical="center"/>
    </xf>
    <xf numFmtId="165" fontId="5" fillId="2" borderId="36" xfId="0" applyNumberFormat="1" applyFont="1" applyFill="1" applyBorder="1" applyAlignment="1" applyProtection="1">
      <alignment horizontal="center" vertical="center"/>
    </xf>
    <xf numFmtId="3" fontId="5" fillId="2" borderId="18" xfId="0" applyNumberFormat="1" applyFont="1" applyFill="1" applyBorder="1" applyAlignment="1" applyProtection="1">
      <alignment vertical="center"/>
      <protection locked="0"/>
    </xf>
    <xf numFmtId="165" fontId="5" fillId="2" borderId="46" xfId="0" applyNumberFormat="1" applyFont="1" applyFill="1" applyBorder="1" applyAlignment="1" applyProtection="1">
      <alignment horizontal="center" vertical="center"/>
    </xf>
    <xf numFmtId="165" fontId="5" fillId="2" borderId="9" xfId="0" applyNumberFormat="1" applyFont="1" applyFill="1" applyBorder="1" applyAlignment="1" applyProtection="1">
      <alignment horizontal="center" vertical="center"/>
    </xf>
    <xf numFmtId="164" fontId="5" fillId="2" borderId="111" xfId="0" applyNumberFormat="1" applyFont="1" applyFill="1" applyBorder="1" applyAlignment="1" applyProtection="1">
      <alignment horizontal="center" vertical="center"/>
    </xf>
    <xf numFmtId="3" fontId="5" fillId="2" borderId="43" xfId="0" applyNumberFormat="1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</xf>
    <xf numFmtId="164" fontId="5" fillId="2" borderId="58" xfId="0" applyNumberFormat="1" applyFont="1" applyFill="1" applyBorder="1" applyAlignment="1" applyProtection="1">
      <alignment horizontal="center" vertical="center"/>
    </xf>
    <xf numFmtId="164" fontId="5" fillId="2" borderId="60" xfId="0" applyNumberFormat="1" applyFont="1" applyFill="1" applyBorder="1" applyAlignment="1" applyProtection="1">
      <alignment horizontal="center" vertical="center"/>
    </xf>
    <xf numFmtId="3" fontId="9" fillId="2" borderId="53" xfId="0" applyNumberFormat="1" applyFont="1" applyFill="1" applyBorder="1" applyAlignment="1" applyProtection="1">
      <alignment vertical="center"/>
      <protection locked="0"/>
    </xf>
    <xf numFmtId="164" fontId="9" fillId="2" borderId="54" xfId="0" applyNumberFormat="1" applyFont="1" applyFill="1" applyBorder="1" applyAlignment="1" applyProtection="1">
      <alignment horizontal="center" vertical="center"/>
    </xf>
    <xf numFmtId="3" fontId="5" fillId="2" borderId="45" xfId="0" applyNumberFormat="1" applyFont="1" applyFill="1" applyBorder="1" applyAlignment="1" applyProtection="1">
      <alignment vertical="center"/>
      <protection locked="0"/>
    </xf>
    <xf numFmtId="3" fontId="5" fillId="2" borderId="48" xfId="0" applyNumberFormat="1" applyFont="1" applyFill="1" applyBorder="1" applyAlignment="1" applyProtection="1">
      <alignment vertical="center"/>
      <protection locked="0"/>
    </xf>
    <xf numFmtId="3" fontId="5" fillId="2" borderId="47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3" fontId="5" fillId="2" borderId="62" xfId="0" quotePrefix="1" applyNumberFormat="1" applyFont="1" applyFill="1" applyBorder="1" applyAlignment="1" applyProtection="1">
      <alignment horizontal="right" vertical="center"/>
      <protection locked="0"/>
    </xf>
    <xf numFmtId="3" fontId="5" fillId="2" borderId="40" xfId="0" applyNumberFormat="1" applyFont="1" applyFill="1" applyBorder="1" applyAlignment="1" applyProtection="1">
      <alignment vertical="center"/>
      <protection locked="0"/>
    </xf>
    <xf numFmtId="3" fontId="5" fillId="2" borderId="62" xfId="0" applyNumberFormat="1" applyFont="1" applyFill="1" applyBorder="1" applyAlignment="1" applyProtection="1">
      <alignment vertical="center"/>
      <protection locked="0"/>
    </xf>
    <xf numFmtId="3" fontId="5" fillId="2" borderId="40" xfId="0" quotePrefix="1" applyNumberFormat="1" applyFont="1" applyFill="1" applyBorder="1" applyAlignment="1" applyProtection="1">
      <alignment horizontal="right" vertical="center"/>
      <protection locked="0"/>
    </xf>
    <xf numFmtId="3" fontId="5" fillId="2" borderId="11" xfId="0" quotePrefix="1" applyNumberFormat="1" applyFont="1" applyFill="1" applyBorder="1" applyAlignment="1" applyProtection="1">
      <alignment horizontal="right" vertical="center"/>
      <protection locked="0"/>
    </xf>
    <xf numFmtId="3" fontId="5" fillId="2" borderId="12" xfId="0" quotePrefix="1" applyNumberFormat="1" applyFont="1" applyFill="1" applyBorder="1" applyAlignment="1" applyProtection="1">
      <alignment horizontal="right" vertical="center"/>
      <protection locked="0"/>
    </xf>
    <xf numFmtId="165" fontId="5" fillId="2" borderId="54" xfId="0" applyNumberFormat="1" applyFont="1" applyFill="1" applyBorder="1" applyAlignment="1" applyProtection="1">
      <alignment horizontal="center" vertical="center"/>
    </xf>
    <xf numFmtId="164" fontId="5" fillId="2" borderId="108" xfId="0" applyNumberFormat="1" applyFont="1" applyFill="1" applyBorder="1" applyAlignment="1" applyProtection="1">
      <alignment horizontal="center" vertical="center"/>
    </xf>
    <xf numFmtId="3" fontId="9" fillId="2" borderId="14" xfId="0" applyNumberFormat="1" applyFont="1" applyFill="1" applyBorder="1" applyAlignment="1" applyProtection="1">
      <alignment vertical="center"/>
    </xf>
    <xf numFmtId="3" fontId="9" fillId="2" borderId="15" xfId="0" applyNumberFormat="1" applyFont="1" applyFill="1" applyBorder="1" applyAlignment="1" applyProtection="1">
      <alignment vertical="center"/>
    </xf>
    <xf numFmtId="3" fontId="9" fillId="2" borderId="69" xfId="0" applyNumberFormat="1" applyFont="1" applyFill="1" applyBorder="1" applyAlignment="1" applyProtection="1">
      <alignment horizontal="right" vertical="center"/>
    </xf>
    <xf numFmtId="164" fontId="5" fillId="2" borderId="41" xfId="0" applyNumberFormat="1" applyFont="1" applyFill="1" applyBorder="1" applyAlignment="1" applyProtection="1">
      <alignment horizontal="center" vertical="center"/>
    </xf>
    <xf numFmtId="3" fontId="5" fillId="2" borderId="26" xfId="0" quotePrefix="1" applyNumberFormat="1" applyFont="1" applyFill="1" applyBorder="1" applyAlignment="1" applyProtection="1">
      <alignment horizontal="right" vertical="center"/>
    </xf>
    <xf numFmtId="3" fontId="5" fillId="2" borderId="45" xfId="0" quotePrefix="1" applyNumberFormat="1" applyFont="1" applyFill="1" applyBorder="1" applyAlignment="1" applyProtection="1">
      <alignment horizontal="right" vertical="center"/>
    </xf>
    <xf numFmtId="3" fontId="5" fillId="2" borderId="43" xfId="0" quotePrefix="1" applyNumberFormat="1" applyFont="1" applyFill="1" applyBorder="1" applyAlignment="1" applyProtection="1">
      <alignment horizontal="right" vertical="center"/>
    </xf>
    <xf numFmtId="3" fontId="5" fillId="2" borderId="8" xfId="0" quotePrefix="1" applyNumberFormat="1" applyFont="1" applyFill="1" applyBorder="1" applyAlignment="1" applyProtection="1">
      <alignment horizontal="right" vertical="center"/>
    </xf>
    <xf numFmtId="3" fontId="5" fillId="2" borderId="9" xfId="0" quotePrefix="1" applyNumberFormat="1" applyFont="1" applyFill="1" applyBorder="1" applyAlignment="1" applyProtection="1">
      <alignment horizontal="right" vertical="center"/>
    </xf>
    <xf numFmtId="3" fontId="5" fillId="2" borderId="30" xfId="0" quotePrefix="1" applyNumberFormat="1" applyFont="1" applyFill="1" applyBorder="1" applyAlignment="1" applyProtection="1">
      <alignment horizontal="right" vertical="center"/>
      <protection locked="0"/>
    </xf>
    <xf numFmtId="3" fontId="5" fillId="2" borderId="26" xfId="0" quotePrefix="1" applyNumberFormat="1" applyFont="1" applyFill="1" applyBorder="1" applyAlignment="1" applyProtection="1">
      <alignment horizontal="right" vertical="center"/>
      <protection locked="0"/>
    </xf>
    <xf numFmtId="0" fontId="5" fillId="2" borderId="48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65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9" fillId="2" borderId="66" xfId="0" applyFont="1" applyFill="1" applyBorder="1" applyAlignment="1" applyProtection="1">
      <alignment vertical="center"/>
      <protection locked="0"/>
    </xf>
    <xf numFmtId="0" fontId="9" fillId="3" borderId="98" xfId="0" applyFont="1" applyFill="1" applyBorder="1" applyAlignment="1" applyProtection="1">
      <alignment horizontal="centerContinuous" vertical="center"/>
    </xf>
    <xf numFmtId="0" fontId="9" fillId="3" borderId="7" xfId="0" applyFont="1" applyFill="1" applyBorder="1" applyAlignment="1" applyProtection="1">
      <alignment horizontal="centerContinuous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99" xfId="0" applyFont="1" applyFill="1" applyBorder="1" applyAlignment="1" applyProtection="1">
      <alignment horizontal="center" vertical="center"/>
    </xf>
    <xf numFmtId="0" fontId="9" fillId="3" borderId="65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Continuous" vertical="center"/>
    </xf>
    <xf numFmtId="0" fontId="5" fillId="3" borderId="16" xfId="0" applyFont="1" applyFill="1" applyBorder="1" applyAlignment="1" applyProtection="1">
      <alignment horizontal="centerContinuous" vertical="center"/>
    </xf>
    <xf numFmtId="0" fontId="5" fillId="3" borderId="100" xfId="0" applyFont="1" applyFill="1" applyBorder="1" applyAlignment="1" applyProtection="1">
      <alignment horizontal="centerContinuous" vertical="center"/>
    </xf>
    <xf numFmtId="0" fontId="5" fillId="3" borderId="66" xfId="0" applyFont="1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vertical="center"/>
    </xf>
    <xf numFmtId="3" fontId="10" fillId="3" borderId="15" xfId="0" applyNumberFormat="1" applyFont="1" applyFill="1" applyBorder="1" applyAlignment="1" applyProtection="1">
      <alignment vertical="center"/>
    </xf>
    <xf numFmtId="164" fontId="10" fillId="3" borderId="66" xfId="0" applyNumberFormat="1" applyFont="1" applyFill="1" applyBorder="1" applyAlignment="1" applyProtection="1">
      <alignment horizontal="center" vertical="center"/>
    </xf>
    <xf numFmtId="164" fontId="10" fillId="3" borderId="70" xfId="0" applyNumberFormat="1" applyFont="1" applyFill="1" applyBorder="1" applyAlignment="1" applyProtection="1">
      <alignment horizontal="center" vertical="center"/>
    </xf>
    <xf numFmtId="3" fontId="10" fillId="3" borderId="66" xfId="0" applyNumberFormat="1" applyFont="1" applyFill="1" applyBorder="1" applyAlignment="1" applyProtection="1">
      <alignment vertical="center"/>
    </xf>
    <xf numFmtId="165" fontId="10" fillId="3" borderId="66" xfId="0" applyNumberFormat="1" applyFont="1" applyFill="1" applyBorder="1" applyAlignment="1" applyProtection="1">
      <alignment horizontal="center" vertical="center"/>
    </xf>
    <xf numFmtId="164" fontId="10" fillId="3" borderId="113" xfId="0" applyNumberFormat="1" applyFont="1" applyFill="1" applyBorder="1" applyAlignment="1" applyProtection="1">
      <alignment horizontal="center" vertical="center"/>
    </xf>
    <xf numFmtId="3" fontId="10" fillId="3" borderId="69" xfId="0" applyNumberFormat="1" applyFont="1" applyFill="1" applyBorder="1" applyAlignment="1" applyProtection="1">
      <alignment vertical="center"/>
    </xf>
    <xf numFmtId="3" fontId="10" fillId="3" borderId="39" xfId="0" applyNumberFormat="1" applyFont="1" applyFill="1" applyBorder="1" applyAlignment="1" applyProtection="1">
      <alignment vertical="center"/>
    </xf>
    <xf numFmtId="164" fontId="10" fillId="3" borderId="15" xfId="0" applyNumberFormat="1" applyFont="1" applyFill="1" applyBorder="1" applyAlignment="1" applyProtection="1">
      <alignment horizontal="center" vertical="center"/>
    </xf>
    <xf numFmtId="164" fontId="10" fillId="3" borderId="16" xfId="0" applyNumberFormat="1" applyFont="1" applyFill="1" applyBorder="1" applyAlignment="1" applyProtection="1">
      <alignment horizontal="center" vertical="center"/>
    </xf>
    <xf numFmtId="164" fontId="10" fillId="3" borderId="100" xfId="0" applyNumberFormat="1" applyFont="1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vertical="center"/>
    </xf>
    <xf numFmtId="3" fontId="10" fillId="3" borderId="61" xfId="0" applyNumberFormat="1" applyFont="1" applyFill="1" applyBorder="1" applyAlignment="1" applyProtection="1">
      <alignment vertical="center"/>
    </xf>
    <xf numFmtId="3" fontId="10" fillId="3" borderId="55" xfId="0" applyNumberFormat="1" applyFont="1" applyFill="1" applyBorder="1" applyAlignment="1" applyProtection="1">
      <alignment vertical="center"/>
    </xf>
    <xf numFmtId="164" fontId="10" fillId="3" borderId="55" xfId="0" applyNumberFormat="1" applyFont="1" applyFill="1" applyBorder="1" applyAlignment="1" applyProtection="1">
      <alignment horizontal="center" vertical="center"/>
    </xf>
    <xf numFmtId="164" fontId="10" fillId="3" borderId="57" xfId="0" applyNumberFormat="1" applyFont="1" applyFill="1" applyBorder="1" applyAlignment="1" applyProtection="1">
      <alignment horizontal="center" vertical="center"/>
    </xf>
    <xf numFmtId="3" fontId="10" fillId="3" borderId="18" xfId="0" applyNumberFormat="1" applyFont="1" applyFill="1" applyBorder="1" applyAlignment="1" applyProtection="1">
      <alignment vertical="center"/>
    </xf>
    <xf numFmtId="164" fontId="10" fillId="3" borderId="106" xfId="0" applyNumberFormat="1" applyFont="1" applyFill="1" applyBorder="1" applyAlignment="1" applyProtection="1">
      <alignment horizontal="center" vertical="center"/>
    </xf>
    <xf numFmtId="3" fontId="10" fillId="3" borderId="115" xfId="0" applyNumberFormat="1" applyFont="1" applyFill="1" applyBorder="1" applyAlignment="1" applyProtection="1">
      <alignment vertical="center"/>
    </xf>
    <xf numFmtId="3" fontId="10" fillId="3" borderId="1" xfId="0" applyNumberFormat="1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horizontal="left" vertical="center"/>
    </xf>
    <xf numFmtId="0" fontId="0" fillId="0" borderId="69" xfId="0" applyFont="1" applyFill="1" applyBorder="1" applyAlignment="1"/>
    <xf numFmtId="0" fontId="0" fillId="0" borderId="70" xfId="0" applyFont="1" applyFill="1" applyBorder="1" applyAlignment="1"/>
    <xf numFmtId="0" fontId="9" fillId="3" borderId="19" xfId="0" applyFont="1" applyFill="1" applyBorder="1" applyAlignment="1" applyProtection="1">
      <alignment horizontal="center" vertical="center" wrapText="1"/>
    </xf>
    <xf numFmtId="0" fontId="4" fillId="3" borderId="55" xfId="0" applyFont="1" applyFill="1" applyBorder="1" applyAlignment="1" applyProtection="1">
      <alignment horizontal="center" vertical="center" wrapText="1"/>
    </xf>
    <xf numFmtId="0" fontId="5" fillId="0" borderId="4" xfId="0" quotePrefix="1" applyFont="1" applyFill="1" applyBorder="1" applyAlignment="1" applyProtection="1">
      <alignment vertical="center"/>
    </xf>
    <xf numFmtId="0" fontId="0" fillId="0" borderId="72" xfId="0" applyFont="1" applyFill="1" applyBorder="1" applyAlignment="1"/>
    <xf numFmtId="0" fontId="0" fillId="0" borderId="27" xfId="0" applyFont="1" applyFill="1" applyBorder="1" applyAlignment="1"/>
    <xf numFmtId="0" fontId="5" fillId="0" borderId="28" xfId="0" quotePrefix="1" applyFont="1" applyFill="1" applyBorder="1" applyAlignment="1" applyProtection="1">
      <alignment vertical="center"/>
    </xf>
    <xf numFmtId="0" fontId="0" fillId="0" borderId="73" xfId="0" applyFont="1" applyFill="1" applyBorder="1" applyAlignment="1"/>
    <xf numFmtId="0" fontId="0" fillId="0" borderId="75" xfId="0" applyFont="1" applyFill="1" applyBorder="1" applyAlignment="1"/>
    <xf numFmtId="0" fontId="5" fillId="0" borderId="4" xfId="0" quotePrefix="1" applyFont="1" applyFill="1" applyBorder="1" applyAlignment="1" applyProtection="1">
      <alignment horizontal="left" vertical="center"/>
    </xf>
    <xf numFmtId="0" fontId="0" fillId="0" borderId="7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5" fillId="0" borderId="32" xfId="0" quotePrefix="1" applyFont="1" applyFill="1" applyBorder="1" applyAlignment="1" applyProtection="1">
      <alignment horizontal="left" vertical="center"/>
    </xf>
    <xf numFmtId="0" fontId="0" fillId="0" borderId="74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5" fillId="3" borderId="38" xfId="0" applyFont="1" applyFill="1" applyBorder="1" applyAlignment="1" applyProtection="1">
      <alignment horizontal="center" vertical="center"/>
    </xf>
    <xf numFmtId="0" fontId="0" fillId="3" borderId="69" xfId="0" applyFont="1" applyFill="1" applyBorder="1" applyAlignment="1">
      <alignment vertical="center"/>
    </xf>
    <xf numFmtId="0" fontId="0" fillId="3" borderId="70" xfId="0" applyFont="1" applyFill="1" applyBorder="1" applyAlignment="1">
      <alignment vertical="center"/>
    </xf>
    <xf numFmtId="0" fontId="4" fillId="0" borderId="38" xfId="0" quotePrefix="1" applyFont="1" applyFill="1" applyBorder="1" applyAlignment="1" applyProtection="1">
      <alignment vertical="center"/>
    </xf>
    <xf numFmtId="0" fontId="10" fillId="2" borderId="38" xfId="0" quotePrefix="1" applyFont="1" applyFill="1" applyBorder="1" applyAlignment="1" applyProtection="1">
      <alignment horizontal="left" vertical="center"/>
    </xf>
    <xf numFmtId="0" fontId="0" fillId="2" borderId="69" xfId="0" applyFont="1" applyFill="1" applyBorder="1" applyAlignment="1"/>
    <xf numFmtId="0" fontId="0" fillId="2" borderId="70" xfId="0" applyFont="1" applyFill="1" applyBorder="1" applyAlignment="1"/>
    <xf numFmtId="0" fontId="8" fillId="2" borderId="72" xfId="0" applyFont="1" applyFill="1" applyBorder="1" applyAlignment="1" applyProtection="1">
      <alignment vertical="top" wrapText="1"/>
    </xf>
    <xf numFmtId="0" fontId="8" fillId="2" borderId="72" xfId="0" applyFont="1" applyFill="1" applyBorder="1" applyAlignment="1">
      <alignment vertical="top" wrapText="1"/>
    </xf>
    <xf numFmtId="0" fontId="4" fillId="2" borderId="38" xfId="0" applyFont="1" applyFill="1" applyBorder="1" applyAlignment="1" applyProtection="1">
      <alignment vertical="center"/>
    </xf>
    <xf numFmtId="0" fontId="0" fillId="2" borderId="69" xfId="0" applyFont="1" applyFill="1" applyBorder="1" applyAlignment="1">
      <alignment vertical="center"/>
    </xf>
    <xf numFmtId="0" fontId="0" fillId="2" borderId="70" xfId="0" applyFont="1" applyFill="1" applyBorder="1" applyAlignment="1">
      <alignment vertical="center"/>
    </xf>
    <xf numFmtId="0" fontId="5" fillId="2" borderId="32" xfId="0" quotePrefix="1" applyFont="1" applyFill="1" applyBorder="1" applyAlignment="1" applyProtection="1">
      <alignment horizontal="left" vertical="center"/>
    </xf>
    <xf numFmtId="0" fontId="0" fillId="2" borderId="74" xfId="0" applyFont="1" applyFill="1" applyBorder="1" applyAlignment="1">
      <alignment vertical="center"/>
    </xf>
    <xf numFmtId="0" fontId="0" fillId="2" borderId="76" xfId="0" applyFont="1" applyFill="1" applyBorder="1" applyAlignment="1">
      <alignment vertical="center"/>
    </xf>
    <xf numFmtId="0" fontId="4" fillId="3" borderId="38" xfId="0" quotePrefix="1" applyFont="1" applyFill="1" applyBorder="1" applyAlignment="1" applyProtection="1">
      <alignment horizontal="left" vertical="center"/>
    </xf>
    <xf numFmtId="0" fontId="0" fillId="3" borderId="69" xfId="0" applyFont="1" applyFill="1" applyBorder="1" applyAlignment="1"/>
    <xf numFmtId="0" fontId="0" fillId="3" borderId="70" xfId="0" applyFont="1" applyFill="1" applyBorder="1" applyAlignment="1"/>
    <xf numFmtId="0" fontId="4" fillId="2" borderId="38" xfId="0" quotePrefix="1" applyFont="1" applyFill="1" applyBorder="1" applyAlignment="1" applyProtection="1">
      <alignment horizontal="left" vertical="center"/>
    </xf>
    <xf numFmtId="0" fontId="4" fillId="3" borderId="31" xfId="0" quotePrefix="1" applyFont="1" applyFill="1" applyBorder="1" applyAlignment="1" applyProtection="1">
      <alignment horizontal="left" vertical="center"/>
    </xf>
    <xf numFmtId="0" fontId="0" fillId="3" borderId="1" xfId="0" applyFont="1" applyFill="1" applyBorder="1" applyAlignment="1"/>
    <xf numFmtId="0" fontId="0" fillId="3" borderId="5" xfId="0" applyFont="1" applyFill="1" applyBorder="1" applyAlignment="1"/>
    <xf numFmtId="0" fontId="5" fillId="2" borderId="4" xfId="0" quotePrefix="1" applyFont="1" applyFill="1" applyBorder="1" applyAlignment="1" applyProtection="1">
      <alignment horizontal="left" vertical="center"/>
    </xf>
    <xf numFmtId="0" fontId="0" fillId="2" borderId="72" xfId="0" applyFont="1" applyFill="1" applyBorder="1" applyAlignment="1"/>
    <xf numFmtId="0" fontId="0" fillId="2" borderId="27" xfId="0" applyFont="1" applyFill="1" applyBorder="1" applyAlignment="1"/>
    <xf numFmtId="0" fontId="4" fillId="3" borderId="38" xfId="0" quotePrefix="1" applyFont="1" applyFill="1" applyBorder="1" applyAlignment="1" applyProtection="1">
      <alignment horizontal="left" vertical="center" indent="1"/>
    </xf>
    <xf numFmtId="0" fontId="0" fillId="3" borderId="69" xfId="0" applyFont="1" applyFill="1" applyBorder="1" applyAlignment="1">
      <alignment horizontal="left" vertical="center" indent="1"/>
    </xf>
    <xf numFmtId="0" fontId="0" fillId="3" borderId="70" xfId="0" applyFont="1" applyFill="1" applyBorder="1" applyAlignment="1">
      <alignment horizontal="left" vertical="center" indent="1"/>
    </xf>
    <xf numFmtId="0" fontId="4" fillId="2" borderId="31" xfId="0" applyFont="1" applyFill="1" applyBorder="1" applyAlignment="1" applyProtection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0" fillId="3" borderId="72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69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</xf>
    <xf numFmtId="0" fontId="4" fillId="3" borderId="96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9" fillId="3" borderId="55" xfId="0" applyFont="1" applyFill="1" applyBorder="1" applyAlignment="1" applyProtection="1">
      <alignment horizontal="center" vertical="center" wrapText="1"/>
    </xf>
    <xf numFmtId="0" fontId="9" fillId="3" borderId="68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3" borderId="107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Alignment="1">
      <alignment horizontal="center" vertical="top"/>
    </xf>
    <xf numFmtId="4" fontId="11" fillId="0" borderId="4" xfId="0" applyNumberFormat="1" applyFont="1" applyFill="1" applyBorder="1" applyAlignment="1" applyProtection="1">
      <alignment horizontal="center"/>
    </xf>
    <xf numFmtId="4" fontId="11" fillId="0" borderId="72" xfId="0" applyNumberFormat="1" applyFont="1" applyFill="1" applyBorder="1" applyAlignment="1" applyProtection="1">
      <alignment horizontal="center"/>
    </xf>
    <xf numFmtId="4" fontId="11" fillId="0" borderId="27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9"/>
  <sheetViews>
    <sheetView showGridLines="0" tabSelected="1" topLeftCell="A37" zoomScale="150" zoomScaleNormal="150" zoomScaleSheetLayoutView="110" workbookViewId="0">
      <pane xSplit="3" topLeftCell="D1" activePane="topRight" state="frozen"/>
      <selection activeCell="A63" sqref="A63"/>
      <selection pane="topRight" activeCell="C48" sqref="C48"/>
    </sheetView>
  </sheetViews>
  <sheetFormatPr defaultColWidth="9.109375" defaultRowHeight="13.2" x14ac:dyDescent="0.25"/>
  <cols>
    <col min="1" max="1" width="6.33203125" style="5" bestFit="1" customWidth="1"/>
    <col min="2" max="2" width="0.33203125" style="5" customWidth="1"/>
    <col min="3" max="3" width="36.44140625" style="4" customWidth="1"/>
    <col min="4" max="4" width="9.88671875" style="4" bestFit="1" customWidth="1"/>
    <col min="5" max="5" width="11" style="4" bestFit="1" customWidth="1"/>
    <col min="6" max="6" width="9.88671875" style="4" customWidth="1"/>
    <col min="7" max="8" width="5.88671875" style="4" customWidth="1"/>
    <col min="9" max="10" width="9.88671875" style="4" bestFit="1" customWidth="1"/>
    <col min="11" max="11" width="9.44140625" style="4" bestFit="1" customWidth="1"/>
    <col min="12" max="13" width="5.88671875" style="4" customWidth="1"/>
    <col min="14" max="14" width="9.88671875" style="4" bestFit="1" customWidth="1"/>
    <col min="15" max="15" width="10" style="4" bestFit="1" customWidth="1"/>
    <col min="16" max="16" width="10.88671875" style="4" customWidth="1"/>
    <col min="17" max="17" width="6.5546875" style="4" customWidth="1"/>
    <col min="18" max="18" width="5.88671875" style="4" customWidth="1"/>
    <col min="19" max="19" width="9.109375" style="4"/>
    <col min="20" max="20" width="11.33203125" style="4" bestFit="1" customWidth="1"/>
    <col min="21" max="22" width="11" style="4" bestFit="1" customWidth="1"/>
    <col min="23" max="16384" width="9.109375" style="4"/>
  </cols>
  <sheetData>
    <row r="1" spans="1:20" ht="26.1" customHeight="1" x14ac:dyDescent="0.25">
      <c r="A1" s="373" t="s">
        <v>151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20" ht="20.100000000000001" customHeight="1" x14ac:dyDescent="0.25">
      <c r="A2" s="394" t="s">
        <v>174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20" ht="15" customHeight="1" thickBot="1" x14ac:dyDescent="0.45">
      <c r="C3" s="6"/>
      <c r="E3" s="6"/>
      <c r="F3" s="7"/>
      <c r="G3" s="8"/>
      <c r="H3" s="8"/>
      <c r="I3" s="9"/>
      <c r="J3" s="8"/>
      <c r="K3" s="8"/>
      <c r="L3" s="7"/>
      <c r="M3" s="7"/>
      <c r="N3" s="7"/>
      <c r="O3" s="7"/>
      <c r="P3" s="7"/>
      <c r="Q3" s="7"/>
      <c r="R3" s="10" t="s">
        <v>144</v>
      </c>
    </row>
    <row r="4" spans="1:20" ht="27" customHeight="1" thickBot="1" x14ac:dyDescent="0.3">
      <c r="A4" s="375" t="s">
        <v>13</v>
      </c>
      <c r="B4" s="376"/>
      <c r="C4" s="377"/>
      <c r="D4" s="384" t="s">
        <v>147</v>
      </c>
      <c r="E4" s="385"/>
      <c r="F4" s="385"/>
      <c r="G4" s="385"/>
      <c r="H4" s="386"/>
      <c r="I4" s="384" t="s">
        <v>15</v>
      </c>
      <c r="J4" s="385"/>
      <c r="K4" s="385"/>
      <c r="L4" s="385"/>
      <c r="M4" s="385"/>
      <c r="N4" s="387" t="s">
        <v>149</v>
      </c>
      <c r="O4" s="385"/>
      <c r="P4" s="385"/>
      <c r="Q4" s="385"/>
      <c r="R4" s="386"/>
      <c r="T4" s="28"/>
    </row>
    <row r="5" spans="1:20" ht="13.5" customHeight="1" x14ac:dyDescent="0.25">
      <c r="A5" s="378"/>
      <c r="B5" s="379"/>
      <c r="C5" s="380"/>
      <c r="D5" s="388" t="s">
        <v>14</v>
      </c>
      <c r="E5" s="389"/>
      <c r="F5" s="325" t="s">
        <v>5</v>
      </c>
      <c r="G5" s="391" t="s">
        <v>1</v>
      </c>
      <c r="H5" s="392"/>
      <c r="I5" s="388" t="s">
        <v>14</v>
      </c>
      <c r="J5" s="389"/>
      <c r="K5" s="325" t="s">
        <v>16</v>
      </c>
      <c r="L5" s="391" t="s">
        <v>1</v>
      </c>
      <c r="M5" s="393"/>
      <c r="N5" s="286" t="s">
        <v>2</v>
      </c>
      <c r="O5" s="287"/>
      <c r="P5" s="325" t="s">
        <v>16</v>
      </c>
      <c r="Q5" s="391" t="s">
        <v>1</v>
      </c>
      <c r="R5" s="392"/>
      <c r="T5" s="28"/>
    </row>
    <row r="6" spans="1:20" ht="13.8" thickBot="1" x14ac:dyDescent="0.3">
      <c r="A6" s="381"/>
      <c r="B6" s="382"/>
      <c r="C6" s="383"/>
      <c r="D6" s="288" t="s">
        <v>3</v>
      </c>
      <c r="E6" s="289" t="s">
        <v>4</v>
      </c>
      <c r="F6" s="390"/>
      <c r="G6" s="289" t="s">
        <v>6</v>
      </c>
      <c r="H6" s="290" t="s">
        <v>7</v>
      </c>
      <c r="I6" s="288" t="s">
        <v>3</v>
      </c>
      <c r="J6" s="289" t="s">
        <v>4</v>
      </c>
      <c r="K6" s="326"/>
      <c r="L6" s="289" t="s">
        <v>6</v>
      </c>
      <c r="M6" s="291" t="s">
        <v>7</v>
      </c>
      <c r="N6" s="292" t="s">
        <v>3</v>
      </c>
      <c r="O6" s="293" t="s">
        <v>4</v>
      </c>
      <c r="P6" s="326"/>
      <c r="Q6" s="293" t="s">
        <v>6</v>
      </c>
      <c r="R6" s="294" t="s">
        <v>7</v>
      </c>
    </row>
    <row r="7" spans="1:20" ht="13.8" thickBot="1" x14ac:dyDescent="0.3">
      <c r="A7" s="342">
        <v>1</v>
      </c>
      <c r="B7" s="343"/>
      <c r="C7" s="344"/>
      <c r="D7" s="295">
        <v>2</v>
      </c>
      <c r="E7" s="296">
        <v>3</v>
      </c>
      <c r="F7" s="296">
        <v>4</v>
      </c>
      <c r="G7" s="297">
        <v>5</v>
      </c>
      <c r="H7" s="298">
        <v>6</v>
      </c>
      <c r="I7" s="295">
        <v>7</v>
      </c>
      <c r="J7" s="296">
        <v>8</v>
      </c>
      <c r="K7" s="296">
        <v>9</v>
      </c>
      <c r="L7" s="297">
        <v>10</v>
      </c>
      <c r="M7" s="299">
        <v>11</v>
      </c>
      <c r="N7" s="300">
        <v>12</v>
      </c>
      <c r="O7" s="296">
        <v>13</v>
      </c>
      <c r="P7" s="296">
        <v>14</v>
      </c>
      <c r="Q7" s="297">
        <v>15</v>
      </c>
      <c r="R7" s="298">
        <v>16</v>
      </c>
    </row>
    <row r="8" spans="1:20" ht="20.100000000000001" customHeight="1" thickBot="1" x14ac:dyDescent="0.3">
      <c r="A8" s="345" t="s">
        <v>154</v>
      </c>
      <c r="B8" s="323"/>
      <c r="C8" s="324"/>
      <c r="D8" s="200">
        <f>D$9+D$22</f>
        <v>8582882</v>
      </c>
      <c r="E8" s="200">
        <f>E$9+E$22</f>
        <v>8891684</v>
      </c>
      <c r="F8" s="200">
        <f>F$9+F$22</f>
        <v>9126880</v>
      </c>
      <c r="G8" s="116">
        <f>IF(ISERROR($F8/$D8*100),"x",$F8/$D8*100)</f>
        <v>106.33817405389006</v>
      </c>
      <c r="H8" s="117">
        <f>IF(ISERROR($F8/$E8*100),"x",$F8/$E8*100)</f>
        <v>102.64512324099687</v>
      </c>
      <c r="I8" s="201">
        <f>I$9+I$22</f>
        <v>1203595</v>
      </c>
      <c r="J8" s="201">
        <f>J$9+J$22</f>
        <v>1199253</v>
      </c>
      <c r="K8" s="201">
        <f>K$9+K$22</f>
        <v>1281210</v>
      </c>
      <c r="L8" s="202">
        <f>IF(ISERROR($K8/$I8*100),"x",$K8/$I8*100)</f>
        <v>106.44859774259614</v>
      </c>
      <c r="M8" s="203">
        <f t="shared" ref="M8:M15" si="0">IF(ISERROR($K8/$J8*100),"x",$K8/$J8*100)</f>
        <v>106.83400416759432</v>
      </c>
      <c r="N8" s="204">
        <f>N$9+N$22</f>
        <v>9786477</v>
      </c>
      <c r="O8" s="205">
        <f>O$9+O$22</f>
        <v>10090937</v>
      </c>
      <c r="P8" s="205">
        <f>P$9+P$22</f>
        <v>10408090</v>
      </c>
      <c r="Q8" s="168">
        <f>IF(ISERROR($P8/$N8*100),"x",$P8/$N8*100)</f>
        <v>106.35175456908547</v>
      </c>
      <c r="R8" s="169">
        <f>IF(ISERROR($P8/$O8*100),"x",$P8/$O8*100)</f>
        <v>103.142948964997</v>
      </c>
      <c r="S8" s="164"/>
    </row>
    <row r="9" spans="1:20" x14ac:dyDescent="0.25">
      <c r="A9" s="327" t="s">
        <v>162</v>
      </c>
      <c r="B9" s="328"/>
      <c r="C9" s="329"/>
      <c r="D9" s="206">
        <v>8064427</v>
      </c>
      <c r="E9" s="207">
        <v>8244538</v>
      </c>
      <c r="F9" s="207">
        <v>8360359</v>
      </c>
      <c r="G9" s="120">
        <f>IF(ISERROR($F9/$D9*100),"x",$F9/$D9*100)</f>
        <v>103.66959735638999</v>
      </c>
      <c r="H9" s="129">
        <f>IF(ISERROR($F9/$E9*100),"x",$F9/$E9*100)</f>
        <v>101.40482098572411</v>
      </c>
      <c r="I9" s="208">
        <v>301261</v>
      </c>
      <c r="J9" s="209">
        <v>275176</v>
      </c>
      <c r="K9" s="209">
        <v>285221</v>
      </c>
      <c r="L9" s="120">
        <f t="shared" ref="L9:L15" si="1">IF(ISERROR($K9/$I9*100),"x",$K9/$I9*100)</f>
        <v>94.675713085995199</v>
      </c>
      <c r="M9" s="141">
        <f t="shared" si="0"/>
        <v>103.65039102247289</v>
      </c>
      <c r="N9" s="210">
        <f>D9+I9</f>
        <v>8365688</v>
      </c>
      <c r="O9" s="210">
        <f>E9+J9</f>
        <v>8519714</v>
      </c>
      <c r="P9" s="210">
        <f>F9+K9</f>
        <v>8645580</v>
      </c>
      <c r="Q9" s="120">
        <f t="shared" ref="Q9:Q37" si="2">IF(ISERROR($P9/$N9*100),"x",$P9/$N9*100)</f>
        <v>103.34571406440212</v>
      </c>
      <c r="R9" s="121">
        <f>IF(ISERROR($P9/$O9*100),"x",$P9/$O9*100)</f>
        <v>101.4773500612814</v>
      </c>
      <c r="S9" s="164"/>
    </row>
    <row r="10" spans="1:20" x14ac:dyDescent="0.25">
      <c r="A10" s="330" t="s">
        <v>8</v>
      </c>
      <c r="B10" s="331"/>
      <c r="C10" s="332"/>
      <c r="D10" s="125"/>
      <c r="E10" s="95"/>
      <c r="F10" s="95"/>
      <c r="G10" s="80"/>
      <c r="H10" s="129"/>
      <c r="I10" s="125"/>
      <c r="J10" s="211"/>
      <c r="K10" s="95"/>
      <c r="L10" s="80"/>
      <c r="M10" s="150"/>
      <c r="N10" s="95"/>
      <c r="O10" s="95"/>
      <c r="P10" s="149"/>
      <c r="Q10" s="145"/>
      <c r="R10" s="129"/>
      <c r="S10" s="164"/>
    </row>
    <row r="11" spans="1:20" x14ac:dyDescent="0.25">
      <c r="A11" s="11">
        <v>1111</v>
      </c>
      <c r="B11" s="12"/>
      <c r="C11" s="13" t="s">
        <v>157</v>
      </c>
      <c r="D11" s="212">
        <v>2021037</v>
      </c>
      <c r="E11" s="213">
        <v>2021037</v>
      </c>
      <c r="F11" s="213">
        <v>2065137</v>
      </c>
      <c r="G11" s="92">
        <f>IF(ISERROR($F11/$D11*100),"x",$F11/$D11*100)</f>
        <v>102.1820481267785</v>
      </c>
      <c r="H11" s="93">
        <f>IF(ISERROR($F11/$E11*100),"x",$F11/$E11*100)</f>
        <v>102.1820481267785</v>
      </c>
      <c r="I11" s="214">
        <v>0</v>
      </c>
      <c r="J11" s="215">
        <v>0</v>
      </c>
      <c r="K11" s="213">
        <v>0</v>
      </c>
      <c r="L11" s="92" t="str">
        <f t="shared" si="1"/>
        <v>x</v>
      </c>
      <c r="M11" s="216" t="str">
        <f t="shared" si="0"/>
        <v>x</v>
      </c>
      <c r="N11" s="181">
        <f t="shared" ref="N11:P22" si="3">D11+I11</f>
        <v>2021037</v>
      </c>
      <c r="O11" s="182">
        <f t="shared" si="3"/>
        <v>2021037</v>
      </c>
      <c r="P11" s="182">
        <f t="shared" si="3"/>
        <v>2065137</v>
      </c>
      <c r="Q11" s="126">
        <f t="shared" si="2"/>
        <v>102.1820481267785</v>
      </c>
      <c r="R11" s="93">
        <f>IF(ISERROR($P11/$O11*100),"x",$P11/$O11*100)</f>
        <v>102.1820481267785</v>
      </c>
      <c r="S11" s="164"/>
    </row>
    <row r="12" spans="1:20" x14ac:dyDescent="0.25">
      <c r="A12" s="11">
        <v>1112</v>
      </c>
      <c r="B12" s="12"/>
      <c r="C12" s="14" t="s">
        <v>158</v>
      </c>
      <c r="D12" s="217">
        <v>38918</v>
      </c>
      <c r="E12" s="218">
        <v>38918</v>
      </c>
      <c r="F12" s="218">
        <v>54277</v>
      </c>
      <c r="G12" s="126">
        <f t="shared" ref="G12:G37" si="4">IF(ISERROR($F12/$D12*100),"x",$F12/$D12*100)</f>
        <v>139.46502903540778</v>
      </c>
      <c r="H12" s="130">
        <f t="shared" ref="H12:H37" si="5">IF(ISERROR($F12/$E12*100),"x",$F12/$E12*100)</f>
        <v>139.46502903540778</v>
      </c>
      <c r="I12" s="219">
        <v>0</v>
      </c>
      <c r="J12" s="218">
        <v>0</v>
      </c>
      <c r="K12" s="218">
        <v>0</v>
      </c>
      <c r="L12" s="99" t="str">
        <f t="shared" si="1"/>
        <v>x</v>
      </c>
      <c r="M12" s="220" t="str">
        <f t="shared" si="0"/>
        <v>x</v>
      </c>
      <c r="N12" s="183">
        <f t="shared" si="3"/>
        <v>38918</v>
      </c>
      <c r="O12" s="184">
        <f t="shared" si="3"/>
        <v>38918</v>
      </c>
      <c r="P12" s="184">
        <f t="shared" si="3"/>
        <v>54277</v>
      </c>
      <c r="Q12" s="126">
        <f t="shared" si="2"/>
        <v>139.46502903540778</v>
      </c>
      <c r="R12" s="130">
        <f>IF(ISERROR($P12/$O12*100),"x",$P12/$O12*100)</f>
        <v>139.46502903540778</v>
      </c>
      <c r="S12" s="164"/>
      <c r="T12" s="28"/>
    </row>
    <row r="13" spans="1:20" x14ac:dyDescent="0.25">
      <c r="A13" s="11">
        <v>1113</v>
      </c>
      <c r="B13" s="12"/>
      <c r="C13" s="14" t="s">
        <v>159</v>
      </c>
      <c r="D13" s="217">
        <v>167841</v>
      </c>
      <c r="E13" s="218">
        <v>167841</v>
      </c>
      <c r="F13" s="218">
        <v>183041</v>
      </c>
      <c r="G13" s="126">
        <f t="shared" si="4"/>
        <v>109.05619008466346</v>
      </c>
      <c r="H13" s="130">
        <f t="shared" si="5"/>
        <v>109.05619008466346</v>
      </c>
      <c r="I13" s="219">
        <v>0</v>
      </c>
      <c r="J13" s="218">
        <v>0</v>
      </c>
      <c r="K13" s="218">
        <v>0</v>
      </c>
      <c r="L13" s="99" t="str">
        <f t="shared" si="1"/>
        <v>x</v>
      </c>
      <c r="M13" s="220" t="str">
        <f t="shared" si="0"/>
        <v>x</v>
      </c>
      <c r="N13" s="183">
        <f t="shared" si="3"/>
        <v>167841</v>
      </c>
      <c r="O13" s="184">
        <f t="shared" si="3"/>
        <v>167841</v>
      </c>
      <c r="P13" s="184">
        <f t="shared" si="3"/>
        <v>183041</v>
      </c>
      <c r="Q13" s="126">
        <f t="shared" si="2"/>
        <v>109.05619008466346</v>
      </c>
      <c r="R13" s="130">
        <f t="shared" ref="R13:R37" si="6">IF(ISERROR($P13/$O13*100),"x",$P13/$O13*100)</f>
        <v>109.05619008466346</v>
      </c>
      <c r="S13" s="164"/>
    </row>
    <row r="14" spans="1:20" x14ac:dyDescent="0.25">
      <c r="A14" s="11">
        <v>1121</v>
      </c>
      <c r="B14" s="12"/>
      <c r="C14" s="14" t="s">
        <v>18</v>
      </c>
      <c r="D14" s="217">
        <v>1632751</v>
      </c>
      <c r="E14" s="218">
        <v>1632751</v>
      </c>
      <c r="F14" s="218">
        <v>1705002</v>
      </c>
      <c r="G14" s="126">
        <f t="shared" si="4"/>
        <v>104.42510829881593</v>
      </c>
      <c r="H14" s="130">
        <f t="shared" si="5"/>
        <v>104.42510829881593</v>
      </c>
      <c r="I14" s="219">
        <v>0</v>
      </c>
      <c r="J14" s="218">
        <v>0</v>
      </c>
      <c r="K14" s="218">
        <v>0</v>
      </c>
      <c r="L14" s="99" t="str">
        <f t="shared" si="1"/>
        <v>x</v>
      </c>
      <c r="M14" s="220" t="str">
        <f>IF(ISERROR($K14/$J14*100),"x",$K14/$J14*100)</f>
        <v>x</v>
      </c>
      <c r="N14" s="183">
        <f t="shared" si="3"/>
        <v>1632751</v>
      </c>
      <c r="O14" s="184">
        <f t="shared" si="3"/>
        <v>1632751</v>
      </c>
      <c r="P14" s="184">
        <f t="shared" si="3"/>
        <v>1705002</v>
      </c>
      <c r="Q14" s="126">
        <f t="shared" si="2"/>
        <v>104.42510829881593</v>
      </c>
      <c r="R14" s="130">
        <f t="shared" si="6"/>
        <v>104.42510829881593</v>
      </c>
      <c r="S14" s="164"/>
    </row>
    <row r="15" spans="1:20" x14ac:dyDescent="0.25">
      <c r="A15" s="11">
        <v>1211</v>
      </c>
      <c r="B15" s="12"/>
      <c r="C15" s="14" t="s">
        <v>19</v>
      </c>
      <c r="D15" s="217">
        <v>3895051</v>
      </c>
      <c r="E15" s="218">
        <v>3895051</v>
      </c>
      <c r="F15" s="218">
        <v>3838579</v>
      </c>
      <c r="G15" s="126">
        <f t="shared" si="4"/>
        <v>98.550160190457063</v>
      </c>
      <c r="H15" s="130">
        <f t="shared" si="5"/>
        <v>98.550160190457063</v>
      </c>
      <c r="I15" s="219">
        <v>0</v>
      </c>
      <c r="J15" s="218">
        <v>0</v>
      </c>
      <c r="K15" s="218">
        <v>0</v>
      </c>
      <c r="L15" s="99" t="str">
        <f t="shared" si="1"/>
        <v>x</v>
      </c>
      <c r="M15" s="220" t="str">
        <f t="shared" si="0"/>
        <v>x</v>
      </c>
      <c r="N15" s="183">
        <f t="shared" si="3"/>
        <v>3895051</v>
      </c>
      <c r="O15" s="184">
        <f t="shared" si="3"/>
        <v>3895051</v>
      </c>
      <c r="P15" s="184">
        <f t="shared" si="3"/>
        <v>3838579</v>
      </c>
      <c r="Q15" s="80">
        <f t="shared" si="2"/>
        <v>98.550160190457063</v>
      </c>
      <c r="R15" s="130">
        <f t="shared" si="6"/>
        <v>98.550160190457063</v>
      </c>
      <c r="S15" s="164"/>
    </row>
    <row r="16" spans="1:20" x14ac:dyDescent="0.25">
      <c r="A16" s="11" t="s">
        <v>17</v>
      </c>
      <c r="B16" s="12"/>
      <c r="C16" s="14" t="s">
        <v>25</v>
      </c>
      <c r="D16" s="219">
        <v>0</v>
      </c>
      <c r="E16" s="221">
        <f>9063+138</f>
        <v>9201</v>
      </c>
      <c r="F16" s="218">
        <f>20024+5748+367+1</f>
        <v>26140</v>
      </c>
      <c r="G16" s="126" t="str">
        <f t="shared" si="4"/>
        <v>x</v>
      </c>
      <c r="H16" s="130">
        <f t="shared" si="5"/>
        <v>284.09955439626128</v>
      </c>
      <c r="I16" s="222">
        <v>5000</v>
      </c>
      <c r="J16" s="218">
        <v>5000</v>
      </c>
      <c r="K16" s="223">
        <v>4904</v>
      </c>
      <c r="L16" s="99">
        <f>IF(ISERROR($K16/$I16*100),"x",$K16/$I16*100)</f>
        <v>98.08</v>
      </c>
      <c r="M16" s="220">
        <f>IF(ISERROR($K16/$J16*100),"x",$K16/$J16*100)</f>
        <v>98.08</v>
      </c>
      <c r="N16" s="183">
        <f t="shared" si="3"/>
        <v>5000</v>
      </c>
      <c r="O16" s="184">
        <f t="shared" si="3"/>
        <v>14201</v>
      </c>
      <c r="P16" s="184">
        <f t="shared" si="3"/>
        <v>31044</v>
      </c>
      <c r="Q16" s="99">
        <f t="shared" si="2"/>
        <v>620.88</v>
      </c>
      <c r="R16" s="130">
        <f t="shared" si="6"/>
        <v>218.60432363918031</v>
      </c>
      <c r="S16" s="164"/>
      <c r="T16" s="28"/>
    </row>
    <row r="17" spans="1:20" x14ac:dyDescent="0.25">
      <c r="A17" s="11" t="s">
        <v>21</v>
      </c>
      <c r="B17" s="12"/>
      <c r="C17" s="13" t="s">
        <v>20</v>
      </c>
      <c r="D17" s="219">
        <v>127000</v>
      </c>
      <c r="E17" s="221">
        <v>127000</v>
      </c>
      <c r="F17" s="218">
        <f>127093+5806-1</f>
        <v>132898</v>
      </c>
      <c r="G17" s="126">
        <f t="shared" si="4"/>
        <v>104.64409448818897</v>
      </c>
      <c r="H17" s="130">
        <f t="shared" si="5"/>
        <v>104.64409448818897</v>
      </c>
      <c r="I17" s="217">
        <v>36208</v>
      </c>
      <c r="J17" s="218">
        <f>9749+27040+1</f>
        <v>36790</v>
      </c>
      <c r="K17" s="218">
        <f>9158+30950</f>
        <v>40108</v>
      </c>
      <c r="L17" s="99">
        <f t="shared" ref="L17:L37" si="7">IF(ISERROR($K17/$I17*100),"x",$K17/$I17*100)</f>
        <v>110.77110030932391</v>
      </c>
      <c r="M17" s="220">
        <f t="shared" ref="M17:M37" si="8">IF(ISERROR($K17/$J17*100),"x",$K17/$J17*100)</f>
        <v>109.01875509649361</v>
      </c>
      <c r="N17" s="183">
        <f t="shared" si="3"/>
        <v>163208</v>
      </c>
      <c r="O17" s="184">
        <f t="shared" si="3"/>
        <v>163790</v>
      </c>
      <c r="P17" s="184">
        <f t="shared" si="3"/>
        <v>173006</v>
      </c>
      <c r="Q17" s="99">
        <f t="shared" si="2"/>
        <v>106.00338218714769</v>
      </c>
      <c r="R17" s="130">
        <f t="shared" si="6"/>
        <v>105.62671713779841</v>
      </c>
      <c r="S17" s="164"/>
      <c r="T17" s="28"/>
    </row>
    <row r="18" spans="1:20" x14ac:dyDescent="0.25">
      <c r="A18" s="11" t="s">
        <v>22</v>
      </c>
      <c r="B18" s="12"/>
      <c r="C18" s="14" t="s">
        <v>23</v>
      </c>
      <c r="D18" s="224">
        <v>5000</v>
      </c>
      <c r="E18" s="225">
        <v>5000</v>
      </c>
      <c r="F18" s="225">
        <f>4895+6021-32</f>
        <v>10884</v>
      </c>
      <c r="G18" s="126">
        <f t="shared" si="4"/>
        <v>217.68</v>
      </c>
      <c r="H18" s="130">
        <f t="shared" si="5"/>
        <v>217.68</v>
      </c>
      <c r="I18" s="226">
        <v>811</v>
      </c>
      <c r="J18" s="218">
        <v>886</v>
      </c>
      <c r="K18" s="218">
        <v>927</v>
      </c>
      <c r="L18" s="99">
        <f t="shared" si="7"/>
        <v>114.30332922318125</v>
      </c>
      <c r="M18" s="220">
        <f t="shared" si="8"/>
        <v>104.62753950338602</v>
      </c>
      <c r="N18" s="185">
        <f t="shared" si="3"/>
        <v>5811</v>
      </c>
      <c r="O18" s="184">
        <f t="shared" si="3"/>
        <v>5886</v>
      </c>
      <c r="P18" s="184">
        <f t="shared" si="3"/>
        <v>11811</v>
      </c>
      <c r="Q18" s="99">
        <f t="shared" si="2"/>
        <v>203.25245224574084</v>
      </c>
      <c r="R18" s="130">
        <f t="shared" si="6"/>
        <v>200.66258919469928</v>
      </c>
      <c r="S18" s="164"/>
    </row>
    <row r="19" spans="1:20" x14ac:dyDescent="0.25">
      <c r="A19" s="11">
        <v>1361</v>
      </c>
      <c r="B19" s="12"/>
      <c r="C19" s="13" t="s">
        <v>24</v>
      </c>
      <c r="D19" s="224">
        <v>56829</v>
      </c>
      <c r="E19" s="225">
        <v>56829</v>
      </c>
      <c r="F19" s="225">
        <v>54393</v>
      </c>
      <c r="G19" s="126">
        <f t="shared" si="4"/>
        <v>95.713456157947533</v>
      </c>
      <c r="H19" s="130">
        <f t="shared" si="5"/>
        <v>95.713456157947533</v>
      </c>
      <c r="I19" s="224">
        <v>8747</v>
      </c>
      <c r="J19" s="225">
        <v>8903</v>
      </c>
      <c r="K19" s="225">
        <v>8834</v>
      </c>
      <c r="L19" s="99">
        <f t="shared" si="7"/>
        <v>100.99462672916428</v>
      </c>
      <c r="M19" s="220">
        <f t="shared" si="8"/>
        <v>99.224980343704374</v>
      </c>
      <c r="N19" s="185">
        <f t="shared" si="3"/>
        <v>65576</v>
      </c>
      <c r="O19" s="184">
        <f t="shared" si="3"/>
        <v>65732</v>
      </c>
      <c r="P19" s="184">
        <f t="shared" si="3"/>
        <v>63227</v>
      </c>
      <c r="Q19" s="99">
        <f t="shared" si="2"/>
        <v>96.417896791509079</v>
      </c>
      <c r="R19" s="130">
        <f t="shared" si="6"/>
        <v>96.189070772226614</v>
      </c>
      <c r="S19" s="164"/>
    </row>
    <row r="20" spans="1:20" x14ac:dyDescent="0.25">
      <c r="A20" s="11" t="s">
        <v>156</v>
      </c>
      <c r="B20" s="12"/>
      <c r="C20" s="13" t="s">
        <v>160</v>
      </c>
      <c r="D20" s="219">
        <v>120000</v>
      </c>
      <c r="E20" s="221">
        <v>120000</v>
      </c>
      <c r="F20" s="221">
        <v>119098</v>
      </c>
      <c r="G20" s="99">
        <f t="shared" si="4"/>
        <v>99.248333333333335</v>
      </c>
      <c r="H20" s="100">
        <f t="shared" si="5"/>
        <v>99.248333333333335</v>
      </c>
      <c r="I20" s="219">
        <v>31000</v>
      </c>
      <c r="J20" s="221">
        <v>1832</v>
      </c>
      <c r="K20" s="221">
        <v>0</v>
      </c>
      <c r="L20" s="99">
        <f t="shared" si="7"/>
        <v>0</v>
      </c>
      <c r="M20" s="220">
        <f t="shared" si="8"/>
        <v>0</v>
      </c>
      <c r="N20" s="183">
        <f t="shared" si="3"/>
        <v>151000</v>
      </c>
      <c r="O20" s="184">
        <f t="shared" si="3"/>
        <v>121832</v>
      </c>
      <c r="P20" s="183">
        <f t="shared" si="3"/>
        <v>119098</v>
      </c>
      <c r="Q20" s="99">
        <f t="shared" si="2"/>
        <v>78.8728476821192</v>
      </c>
      <c r="R20" s="130">
        <f t="shared" si="6"/>
        <v>97.755926193446712</v>
      </c>
      <c r="S20" s="164"/>
    </row>
    <row r="21" spans="1:20" ht="13.8" thickBot="1" x14ac:dyDescent="0.3">
      <c r="A21" s="15">
        <v>1511</v>
      </c>
      <c r="B21" s="16"/>
      <c r="C21" s="17" t="s">
        <v>161</v>
      </c>
      <c r="D21" s="227">
        <v>0</v>
      </c>
      <c r="E21" s="228">
        <v>0</v>
      </c>
      <c r="F21" s="228">
        <v>0</v>
      </c>
      <c r="G21" s="156" t="str">
        <f t="shared" si="4"/>
        <v>x</v>
      </c>
      <c r="H21" s="114" t="str">
        <f t="shared" si="5"/>
        <v>x</v>
      </c>
      <c r="I21" s="227">
        <v>219495</v>
      </c>
      <c r="J21" s="228">
        <v>221765</v>
      </c>
      <c r="K21" s="228">
        <v>230447</v>
      </c>
      <c r="L21" s="156">
        <f t="shared" si="7"/>
        <v>104.98963529920955</v>
      </c>
      <c r="M21" s="158">
        <f t="shared" si="8"/>
        <v>103.91495501995355</v>
      </c>
      <c r="N21" s="186">
        <f t="shared" si="3"/>
        <v>219495</v>
      </c>
      <c r="O21" s="187">
        <f t="shared" si="3"/>
        <v>221765</v>
      </c>
      <c r="P21" s="186">
        <f t="shared" si="3"/>
        <v>230447</v>
      </c>
      <c r="Q21" s="80">
        <f t="shared" si="2"/>
        <v>104.98963529920955</v>
      </c>
      <c r="R21" s="157">
        <f t="shared" si="6"/>
        <v>103.91495501995355</v>
      </c>
      <c r="S21" s="164"/>
    </row>
    <row r="22" spans="1:20" x14ac:dyDescent="0.25">
      <c r="A22" s="333" t="s">
        <v>163</v>
      </c>
      <c r="B22" s="334"/>
      <c r="C22" s="335"/>
      <c r="D22" s="208">
        <v>518455</v>
      </c>
      <c r="E22" s="229">
        <v>647146</v>
      </c>
      <c r="F22" s="229">
        <v>766521</v>
      </c>
      <c r="G22" s="120">
        <f t="shared" si="4"/>
        <v>147.84716127725645</v>
      </c>
      <c r="H22" s="230">
        <f t="shared" si="5"/>
        <v>118.44637840610928</v>
      </c>
      <c r="I22" s="206">
        <v>902334</v>
      </c>
      <c r="J22" s="207">
        <v>924077</v>
      </c>
      <c r="K22" s="207">
        <v>995989</v>
      </c>
      <c r="L22" s="80">
        <f t="shared" si="7"/>
        <v>110.37919440029967</v>
      </c>
      <c r="M22" s="141">
        <f t="shared" si="8"/>
        <v>107.78203547972734</v>
      </c>
      <c r="N22" s="210">
        <v>1420789</v>
      </c>
      <c r="O22" s="210">
        <f t="shared" si="3"/>
        <v>1571223</v>
      </c>
      <c r="P22" s="210">
        <f>F22+K22</f>
        <v>1762510</v>
      </c>
      <c r="Q22" s="120">
        <f t="shared" si="2"/>
        <v>124.05149533111532</v>
      </c>
      <c r="R22" s="121">
        <f t="shared" si="6"/>
        <v>112.17440172400734</v>
      </c>
      <c r="S22" s="164"/>
    </row>
    <row r="23" spans="1:20" x14ac:dyDescent="0.25">
      <c r="A23" s="336" t="s">
        <v>8</v>
      </c>
      <c r="B23" s="337"/>
      <c r="C23" s="338"/>
      <c r="D23" s="231"/>
      <c r="E23" s="232"/>
      <c r="F23" s="232"/>
      <c r="G23" s="145"/>
      <c r="H23" s="129"/>
      <c r="I23" s="233"/>
      <c r="J23" s="234"/>
      <c r="K23" s="234"/>
      <c r="L23" s="80"/>
      <c r="M23" s="131"/>
      <c r="N23" s="119" t="s">
        <v>0</v>
      </c>
      <c r="O23" s="119" t="s">
        <v>0</v>
      </c>
      <c r="P23" s="119" t="s">
        <v>0</v>
      </c>
      <c r="Q23" s="80"/>
      <c r="R23" s="146"/>
      <c r="S23" s="164"/>
    </row>
    <row r="24" spans="1:20" x14ac:dyDescent="0.25">
      <c r="A24" s="11" t="s">
        <v>26</v>
      </c>
      <c r="B24" s="18"/>
      <c r="C24" s="19" t="s">
        <v>32</v>
      </c>
      <c r="D24" s="214">
        <v>7820</v>
      </c>
      <c r="E24" s="213">
        <v>12477</v>
      </c>
      <c r="F24" s="213">
        <v>21544</v>
      </c>
      <c r="G24" s="126">
        <f t="shared" si="4"/>
        <v>275.49872122762144</v>
      </c>
      <c r="H24" s="93">
        <f t="shared" si="5"/>
        <v>172.66971227057786</v>
      </c>
      <c r="I24" s="224">
        <v>252608</v>
      </c>
      <c r="J24" s="225">
        <v>254407</v>
      </c>
      <c r="K24" s="225">
        <v>266007</v>
      </c>
      <c r="L24" s="92">
        <f t="shared" si="7"/>
        <v>105.30426589815049</v>
      </c>
      <c r="M24" s="216">
        <f t="shared" si="8"/>
        <v>104.5596229663492</v>
      </c>
      <c r="N24" s="185">
        <f t="shared" ref="N24:P36" si="9">D24+I24</f>
        <v>260428</v>
      </c>
      <c r="O24" s="185">
        <f t="shared" si="9"/>
        <v>266884</v>
      </c>
      <c r="P24" s="185">
        <f t="shared" si="9"/>
        <v>287551</v>
      </c>
      <c r="Q24" s="92">
        <f t="shared" si="2"/>
        <v>110.41477874882885</v>
      </c>
      <c r="R24" s="97">
        <f t="shared" si="6"/>
        <v>107.74381379175972</v>
      </c>
      <c r="S24" s="164"/>
    </row>
    <row r="25" spans="1:20" x14ac:dyDescent="0.25">
      <c r="A25" s="11" t="s">
        <v>27</v>
      </c>
      <c r="B25" s="18"/>
      <c r="C25" s="20" t="s">
        <v>45</v>
      </c>
      <c r="D25" s="219">
        <v>0</v>
      </c>
      <c r="E25" s="218">
        <v>4798</v>
      </c>
      <c r="F25" s="218">
        <v>4798</v>
      </c>
      <c r="G25" s="99" t="str">
        <f t="shared" si="4"/>
        <v>x</v>
      </c>
      <c r="H25" s="130">
        <f t="shared" si="5"/>
        <v>100</v>
      </c>
      <c r="I25" s="206">
        <v>16342</v>
      </c>
      <c r="J25" s="207">
        <v>19506</v>
      </c>
      <c r="K25" s="207">
        <v>19692</v>
      </c>
      <c r="L25" s="99">
        <f t="shared" si="7"/>
        <v>120.49932688777383</v>
      </c>
      <c r="M25" s="220">
        <f t="shared" si="8"/>
        <v>100.95355275299909</v>
      </c>
      <c r="N25" s="183">
        <f t="shared" si="9"/>
        <v>16342</v>
      </c>
      <c r="O25" s="184">
        <f t="shared" si="9"/>
        <v>24304</v>
      </c>
      <c r="P25" s="184">
        <f t="shared" si="9"/>
        <v>24490</v>
      </c>
      <c r="Q25" s="80">
        <f>IF(ISERROR($P25/$N25*100),"x",$P25/$N25*100)</f>
        <v>149.85925835271081</v>
      </c>
      <c r="R25" s="130">
        <f t="shared" si="6"/>
        <v>100.76530612244898</v>
      </c>
      <c r="S25" s="164"/>
    </row>
    <row r="26" spans="1:20" x14ac:dyDescent="0.25">
      <c r="A26" s="11" t="s">
        <v>28</v>
      </c>
      <c r="B26" s="18"/>
      <c r="C26" s="19" t="s">
        <v>33</v>
      </c>
      <c r="D26" s="219">
        <v>391824</v>
      </c>
      <c r="E26" s="218">
        <v>406851</v>
      </c>
      <c r="F26" s="218">
        <v>418918</v>
      </c>
      <c r="G26" s="80">
        <f t="shared" si="4"/>
        <v>106.9148393156111</v>
      </c>
      <c r="H26" s="130">
        <f t="shared" si="5"/>
        <v>102.96595067973287</v>
      </c>
      <c r="I26" s="219">
        <v>618717</v>
      </c>
      <c r="J26" s="218">
        <v>621859</v>
      </c>
      <c r="K26" s="218">
        <v>659518</v>
      </c>
      <c r="L26" s="99">
        <f t="shared" si="7"/>
        <v>106.59445271424576</v>
      </c>
      <c r="M26" s="220">
        <f t="shared" si="8"/>
        <v>106.05587440239668</v>
      </c>
      <c r="N26" s="183">
        <f t="shared" si="9"/>
        <v>1010541</v>
      </c>
      <c r="O26" s="184">
        <f t="shared" si="9"/>
        <v>1028710</v>
      </c>
      <c r="P26" s="184">
        <f t="shared" si="9"/>
        <v>1078436</v>
      </c>
      <c r="Q26" s="99">
        <f t="shared" si="2"/>
        <v>106.71867841087102</v>
      </c>
      <c r="R26" s="130">
        <f t="shared" si="6"/>
        <v>104.8338209991154</v>
      </c>
      <c r="S26" s="164"/>
    </row>
    <row r="27" spans="1:20" x14ac:dyDescent="0.25">
      <c r="A27" s="11">
        <v>2141</v>
      </c>
      <c r="B27" s="18"/>
      <c r="C27" s="21" t="s">
        <v>34</v>
      </c>
      <c r="D27" s="219">
        <v>17000</v>
      </c>
      <c r="E27" s="218">
        <v>17000</v>
      </c>
      <c r="F27" s="218">
        <v>60024</v>
      </c>
      <c r="G27" s="99">
        <f t="shared" si="4"/>
        <v>353.08235294117651</v>
      </c>
      <c r="H27" s="130">
        <f t="shared" si="5"/>
        <v>353.08235294117651</v>
      </c>
      <c r="I27" s="217">
        <v>363</v>
      </c>
      <c r="J27" s="218">
        <v>1338</v>
      </c>
      <c r="K27" s="218">
        <v>3393</v>
      </c>
      <c r="L27" s="99">
        <f t="shared" si="7"/>
        <v>934.71074380165294</v>
      </c>
      <c r="M27" s="220">
        <f t="shared" si="8"/>
        <v>253.58744394618836</v>
      </c>
      <c r="N27" s="183">
        <f t="shared" si="9"/>
        <v>17363</v>
      </c>
      <c r="O27" s="184">
        <f t="shared" si="9"/>
        <v>18338</v>
      </c>
      <c r="P27" s="184">
        <f t="shared" si="9"/>
        <v>63417</v>
      </c>
      <c r="Q27" s="99">
        <f t="shared" si="2"/>
        <v>365.24218165063644</v>
      </c>
      <c r="R27" s="130">
        <f t="shared" si="6"/>
        <v>345.8228814483586</v>
      </c>
      <c r="S27" s="164"/>
    </row>
    <row r="28" spans="1:20" x14ac:dyDescent="0.25">
      <c r="A28" s="11">
        <v>2142</v>
      </c>
      <c r="B28" s="18"/>
      <c r="C28" s="21" t="s">
        <v>172</v>
      </c>
      <c r="D28" s="219">
        <v>0</v>
      </c>
      <c r="E28" s="218">
        <v>63223</v>
      </c>
      <c r="F28" s="218">
        <v>63223</v>
      </c>
      <c r="G28" s="99" t="str">
        <f t="shared" si="4"/>
        <v>x</v>
      </c>
      <c r="H28" s="130">
        <f t="shared" si="5"/>
        <v>100</v>
      </c>
      <c r="I28" s="217">
        <v>0</v>
      </c>
      <c r="J28" s="218">
        <v>0</v>
      </c>
      <c r="K28" s="218">
        <v>1</v>
      </c>
      <c r="L28" s="99" t="str">
        <f t="shared" si="7"/>
        <v>x</v>
      </c>
      <c r="M28" s="220" t="str">
        <f t="shared" si="8"/>
        <v>x</v>
      </c>
      <c r="N28" s="183">
        <f t="shared" ref="N28" si="10">D28+I28</f>
        <v>0</v>
      </c>
      <c r="O28" s="184">
        <f t="shared" ref="O28" si="11">E28+J28</f>
        <v>63223</v>
      </c>
      <c r="P28" s="184">
        <f t="shared" ref="P28" si="12">F28+K28</f>
        <v>63224</v>
      </c>
      <c r="Q28" s="80" t="str">
        <f t="shared" si="2"/>
        <v>x</v>
      </c>
      <c r="R28" s="130">
        <f t="shared" si="6"/>
        <v>100.0015817028613</v>
      </c>
      <c r="S28" s="164"/>
    </row>
    <row r="29" spans="1:20" x14ac:dyDescent="0.25">
      <c r="A29" s="11" t="s">
        <v>29</v>
      </c>
      <c r="B29" s="18"/>
      <c r="C29" s="21" t="s">
        <v>35</v>
      </c>
      <c r="D29" s="219">
        <v>45030</v>
      </c>
      <c r="E29" s="218">
        <v>45030</v>
      </c>
      <c r="F29" s="218">
        <v>80721</v>
      </c>
      <c r="G29" s="99">
        <f t="shared" si="4"/>
        <v>179.26049300466354</v>
      </c>
      <c r="H29" s="130">
        <f t="shared" si="5"/>
        <v>179.26049300466354</v>
      </c>
      <c r="I29" s="217">
        <v>1591</v>
      </c>
      <c r="J29" s="218">
        <v>1618</v>
      </c>
      <c r="K29" s="218">
        <v>3942</v>
      </c>
      <c r="L29" s="99">
        <f t="shared" si="7"/>
        <v>247.76869893148964</v>
      </c>
      <c r="M29" s="220">
        <f t="shared" si="8"/>
        <v>243.63411619283065</v>
      </c>
      <c r="N29" s="183">
        <f t="shared" si="9"/>
        <v>46621</v>
      </c>
      <c r="O29" s="184">
        <f t="shared" si="9"/>
        <v>46648</v>
      </c>
      <c r="P29" s="184">
        <f t="shared" si="9"/>
        <v>84663</v>
      </c>
      <c r="Q29" s="99">
        <f t="shared" si="2"/>
        <v>181.59842131228416</v>
      </c>
      <c r="R29" s="130">
        <f t="shared" si="6"/>
        <v>181.49331161035843</v>
      </c>
      <c r="S29" s="164"/>
    </row>
    <row r="30" spans="1:20" x14ac:dyDescent="0.25">
      <c r="A30" s="11">
        <v>2229</v>
      </c>
      <c r="B30" s="18"/>
      <c r="C30" s="20" t="s">
        <v>36</v>
      </c>
      <c r="D30" s="219">
        <v>5</v>
      </c>
      <c r="E30" s="218">
        <v>17095</v>
      </c>
      <c r="F30" s="218">
        <v>24591</v>
      </c>
      <c r="G30" s="99" t="s">
        <v>9</v>
      </c>
      <c r="H30" s="130">
        <f t="shared" si="5"/>
        <v>143.849078677976</v>
      </c>
      <c r="I30" s="219">
        <v>0</v>
      </c>
      <c r="J30" s="218">
        <v>3261</v>
      </c>
      <c r="K30" s="235">
        <v>11005</v>
      </c>
      <c r="L30" s="99" t="s">
        <v>9</v>
      </c>
      <c r="M30" s="220">
        <f t="shared" si="8"/>
        <v>337.47316773995709</v>
      </c>
      <c r="N30" s="183">
        <f t="shared" si="9"/>
        <v>5</v>
      </c>
      <c r="O30" s="184">
        <f t="shared" si="9"/>
        <v>20356</v>
      </c>
      <c r="P30" s="184">
        <f t="shared" si="9"/>
        <v>35596</v>
      </c>
      <c r="Q30" s="99" t="s">
        <v>9</v>
      </c>
      <c r="R30" s="130">
        <f t="shared" si="6"/>
        <v>174.86736097465121</v>
      </c>
      <c r="S30" s="164"/>
    </row>
    <row r="31" spans="1:20" x14ac:dyDescent="0.25">
      <c r="A31" s="11" t="s">
        <v>30</v>
      </c>
      <c r="B31" s="18"/>
      <c r="C31" s="21" t="s">
        <v>37</v>
      </c>
      <c r="D31" s="219">
        <v>44766</v>
      </c>
      <c r="E31" s="218">
        <v>49743</v>
      </c>
      <c r="F31" s="218">
        <v>56625</v>
      </c>
      <c r="G31" s="80">
        <f t="shared" si="4"/>
        <v>126.49108698565877</v>
      </c>
      <c r="H31" s="130">
        <f t="shared" si="5"/>
        <v>113.83511247813762</v>
      </c>
      <c r="I31" s="219">
        <v>11505</v>
      </c>
      <c r="J31" s="218">
        <v>19428</v>
      </c>
      <c r="K31" s="218">
        <v>27818</v>
      </c>
      <c r="L31" s="99">
        <f t="shared" si="7"/>
        <v>241.79052585832247</v>
      </c>
      <c r="M31" s="220">
        <f t="shared" si="8"/>
        <v>143.18509367922584</v>
      </c>
      <c r="N31" s="183">
        <f t="shared" si="9"/>
        <v>56271</v>
      </c>
      <c r="O31" s="184">
        <f t="shared" si="9"/>
        <v>69171</v>
      </c>
      <c r="P31" s="184">
        <f t="shared" si="9"/>
        <v>84443</v>
      </c>
      <c r="Q31" s="80">
        <f t="shared" si="2"/>
        <v>150.06486467274439</v>
      </c>
      <c r="R31" s="130">
        <f t="shared" si="6"/>
        <v>122.07861676135954</v>
      </c>
      <c r="S31" s="164"/>
      <c r="T31" s="28"/>
    </row>
    <row r="32" spans="1:20" ht="13.8" thickBot="1" x14ac:dyDescent="0.3">
      <c r="A32" s="15" t="s">
        <v>31</v>
      </c>
      <c r="B32" s="22"/>
      <c r="C32" s="23" t="s">
        <v>38</v>
      </c>
      <c r="D32" s="236">
        <v>0</v>
      </c>
      <c r="E32" s="237">
        <v>13661</v>
      </c>
      <c r="F32" s="237">
        <v>16165</v>
      </c>
      <c r="G32" s="170" t="s">
        <v>9</v>
      </c>
      <c r="H32" s="130">
        <f t="shared" si="5"/>
        <v>118.32955127735892</v>
      </c>
      <c r="I32" s="222">
        <v>94</v>
      </c>
      <c r="J32" s="223">
        <v>1534</v>
      </c>
      <c r="K32" s="223">
        <v>2125</v>
      </c>
      <c r="L32" s="99">
        <f t="shared" si="7"/>
        <v>2260.6382978723404</v>
      </c>
      <c r="M32" s="220">
        <f t="shared" si="8"/>
        <v>138.52672750977834</v>
      </c>
      <c r="N32" s="188">
        <f t="shared" si="9"/>
        <v>94</v>
      </c>
      <c r="O32" s="189">
        <f t="shared" si="9"/>
        <v>15195</v>
      </c>
      <c r="P32" s="189">
        <f t="shared" si="9"/>
        <v>18290</v>
      </c>
      <c r="Q32" s="170">
        <f t="shared" si="2"/>
        <v>19457.446808510638</v>
      </c>
      <c r="R32" s="171">
        <f t="shared" si="6"/>
        <v>120.36854228364592</v>
      </c>
      <c r="S32" s="164"/>
    </row>
    <row r="33" spans="1:20" ht="20.100000000000001" customHeight="1" thickBot="1" x14ac:dyDescent="0.3">
      <c r="A33" s="345" t="s">
        <v>153</v>
      </c>
      <c r="B33" s="323"/>
      <c r="C33" s="324"/>
      <c r="D33" s="200">
        <f>D35+D36+D37</f>
        <v>334125</v>
      </c>
      <c r="E33" s="238">
        <f>E35+E36+E37</f>
        <v>387685</v>
      </c>
      <c r="F33" s="238">
        <f>F35+F36+F37</f>
        <v>336102</v>
      </c>
      <c r="G33" s="116">
        <f>IF(ISERROR($F33/$D33*100),"x",$F33/$D33*100)</f>
        <v>100.59169472502806</v>
      </c>
      <c r="H33" s="117">
        <f>IF(ISERROR($F33/$E33*100),"x",$F33/$E33*100)</f>
        <v>86.69461031507538</v>
      </c>
      <c r="I33" s="200">
        <f>I35+I36+I37</f>
        <v>38548</v>
      </c>
      <c r="J33" s="238">
        <f>J37+J36+J35</f>
        <v>24195</v>
      </c>
      <c r="K33" s="239">
        <f>K37+K36+K35</f>
        <v>56598</v>
      </c>
      <c r="L33" s="116">
        <f>IF(ISERROR($K33/$I33*100),"x",$K33/$I33*100)</f>
        <v>146.82473798900074</v>
      </c>
      <c r="M33" s="117">
        <f t="shared" si="8"/>
        <v>233.92436453812769</v>
      </c>
      <c r="N33" s="204">
        <f>D33+I33</f>
        <v>372673</v>
      </c>
      <c r="O33" s="205">
        <f>E33+J33</f>
        <v>411880</v>
      </c>
      <c r="P33" s="205">
        <f>F33+K33</f>
        <v>392700</v>
      </c>
      <c r="Q33" s="168">
        <f>IF(ISERROR($P33/$N33*100),"x",$P33/$N33*100)</f>
        <v>105.37388005033903</v>
      </c>
      <c r="R33" s="169">
        <f>IF(ISERROR($P33/$O33*100),"x",$P33/$O33*100)</f>
        <v>95.343303874915023</v>
      </c>
      <c r="S33" s="164"/>
    </row>
    <row r="34" spans="1:20" x14ac:dyDescent="0.25">
      <c r="A34" s="339" t="s">
        <v>164</v>
      </c>
      <c r="B34" s="340"/>
      <c r="C34" s="341"/>
      <c r="D34" s="172"/>
      <c r="E34" s="173"/>
      <c r="F34" s="173"/>
      <c r="G34" s="174"/>
      <c r="H34" s="88"/>
      <c r="I34" s="172"/>
      <c r="J34" s="175"/>
      <c r="K34" s="175"/>
      <c r="L34" s="120"/>
      <c r="M34" s="141"/>
      <c r="N34" s="175"/>
      <c r="O34" s="175"/>
      <c r="P34" s="175"/>
      <c r="Q34" s="120"/>
      <c r="R34" s="88"/>
      <c r="S34" s="164"/>
    </row>
    <row r="35" spans="1:20" x14ac:dyDescent="0.25">
      <c r="A35" s="11" t="s">
        <v>39</v>
      </c>
      <c r="B35" s="18"/>
      <c r="C35" s="21" t="s">
        <v>42</v>
      </c>
      <c r="D35" s="224">
        <v>334125</v>
      </c>
      <c r="E35" s="240">
        <v>387685</v>
      </c>
      <c r="F35" s="213">
        <v>336102</v>
      </c>
      <c r="G35" s="126">
        <f t="shared" si="4"/>
        <v>100.59169472502806</v>
      </c>
      <c r="H35" s="93">
        <f t="shared" si="5"/>
        <v>86.69461031507538</v>
      </c>
      <c r="I35" s="224">
        <v>38548</v>
      </c>
      <c r="J35" s="225">
        <v>24135</v>
      </c>
      <c r="K35" s="241">
        <v>56538</v>
      </c>
      <c r="L35" s="92">
        <f t="shared" si="7"/>
        <v>146.66908789042233</v>
      </c>
      <c r="M35" s="216">
        <f t="shared" si="8"/>
        <v>234.25730267246738</v>
      </c>
      <c r="N35" s="185">
        <f t="shared" si="9"/>
        <v>372673</v>
      </c>
      <c r="O35" s="185">
        <f t="shared" si="9"/>
        <v>411820</v>
      </c>
      <c r="P35" s="185">
        <f t="shared" si="9"/>
        <v>392640</v>
      </c>
      <c r="Q35" s="92">
        <f t="shared" si="2"/>
        <v>105.35778014506015</v>
      </c>
      <c r="R35" s="97">
        <f t="shared" si="6"/>
        <v>95.342625418872316</v>
      </c>
      <c r="S35" s="164"/>
    </row>
    <row r="36" spans="1:20" x14ac:dyDescent="0.25">
      <c r="A36" s="11" t="s">
        <v>40</v>
      </c>
      <c r="B36" s="18"/>
      <c r="C36" s="21" t="s">
        <v>43</v>
      </c>
      <c r="D36" s="219">
        <v>0</v>
      </c>
      <c r="E36" s="218">
        <v>0</v>
      </c>
      <c r="F36" s="218">
        <v>0</v>
      </c>
      <c r="G36" s="99" t="str">
        <f t="shared" si="4"/>
        <v>x</v>
      </c>
      <c r="H36" s="130" t="str">
        <f t="shared" si="5"/>
        <v>x</v>
      </c>
      <c r="I36" s="219">
        <v>0</v>
      </c>
      <c r="J36" s="218">
        <v>60</v>
      </c>
      <c r="K36" s="218">
        <v>60</v>
      </c>
      <c r="L36" s="99" t="str">
        <f t="shared" si="7"/>
        <v>x</v>
      </c>
      <c r="M36" s="220">
        <f t="shared" si="8"/>
        <v>100</v>
      </c>
      <c r="N36" s="185">
        <f t="shared" si="9"/>
        <v>0</v>
      </c>
      <c r="O36" s="185">
        <f t="shared" si="9"/>
        <v>60</v>
      </c>
      <c r="P36" s="185">
        <f t="shared" si="9"/>
        <v>60</v>
      </c>
      <c r="Q36" s="176" t="str">
        <f t="shared" si="2"/>
        <v>x</v>
      </c>
      <c r="R36" s="130" t="s">
        <v>9</v>
      </c>
      <c r="S36" s="164"/>
    </row>
    <row r="37" spans="1:20" ht="13.8" thickBot="1" x14ac:dyDescent="0.3">
      <c r="A37" s="15" t="s">
        <v>41</v>
      </c>
      <c r="B37" s="22"/>
      <c r="C37" s="24" t="s">
        <v>44</v>
      </c>
      <c r="D37" s="236">
        <v>0</v>
      </c>
      <c r="E37" s="237">
        <v>0</v>
      </c>
      <c r="F37" s="237">
        <v>0</v>
      </c>
      <c r="G37" s="156" t="str">
        <f t="shared" si="4"/>
        <v>x</v>
      </c>
      <c r="H37" s="171" t="str">
        <f t="shared" si="5"/>
        <v>x</v>
      </c>
      <c r="I37" s="236">
        <v>0</v>
      </c>
      <c r="J37" s="237">
        <v>0</v>
      </c>
      <c r="K37" s="237">
        <v>0</v>
      </c>
      <c r="L37" s="170" t="str">
        <f t="shared" si="7"/>
        <v>x</v>
      </c>
      <c r="M37" s="242" t="str">
        <f t="shared" si="8"/>
        <v>x</v>
      </c>
      <c r="N37" s="188">
        <v>0</v>
      </c>
      <c r="O37" s="186">
        <f>E37+J37</f>
        <v>0</v>
      </c>
      <c r="P37" s="186">
        <f>F37+K37</f>
        <v>0</v>
      </c>
      <c r="Q37" s="170" t="str">
        <f t="shared" si="2"/>
        <v>x</v>
      </c>
      <c r="R37" s="171" t="str">
        <f t="shared" si="6"/>
        <v>x</v>
      </c>
      <c r="S37" s="164"/>
    </row>
    <row r="38" spans="1:20" ht="20.100000000000001" customHeight="1" thickBot="1" x14ac:dyDescent="0.3">
      <c r="A38" s="322" t="s">
        <v>152</v>
      </c>
      <c r="B38" s="323"/>
      <c r="C38" s="324"/>
      <c r="D38" s="243">
        <f>D8+D33</f>
        <v>8917007</v>
      </c>
      <c r="E38" s="244">
        <f>E8+E33</f>
        <v>9279369</v>
      </c>
      <c r="F38" s="244">
        <f>F8+F33</f>
        <v>9462982</v>
      </c>
      <c r="G38" s="116">
        <f>IF(ISERROR($F38/$D38*100),"x",$F38/$D38*100)</f>
        <v>106.1228504138216</v>
      </c>
      <c r="H38" s="245">
        <f>IF(ISERROR($F38/$E38*100),"x",$F38/$E38*100)</f>
        <v>101.97872290669766</v>
      </c>
      <c r="I38" s="243">
        <f>I8+I33</f>
        <v>1242143</v>
      </c>
      <c r="J38" s="244">
        <f>J8+J33</f>
        <v>1223448</v>
      </c>
      <c r="K38" s="244">
        <f>K8+K33</f>
        <v>1337808</v>
      </c>
      <c r="L38" s="116">
        <f>IF(ISERROR($K38/$I38*100),"x",$K38/$I38*100)</f>
        <v>107.70160923500755</v>
      </c>
      <c r="M38" s="118">
        <f>IF(ISERROR($K38/$J38*100),"x",$K38/$J38*100)</f>
        <v>109.34735272770072</v>
      </c>
      <c r="N38" s="244">
        <f>N8+N33</f>
        <v>10159150</v>
      </c>
      <c r="O38" s="244">
        <f>O8+O33</f>
        <v>10502817</v>
      </c>
      <c r="P38" s="244">
        <f>P8+P33</f>
        <v>10800790</v>
      </c>
      <c r="Q38" s="116">
        <f>IF(ISERROR($P38/$N38*100),"x",$P38/$N38*100)</f>
        <v>106.3158827264092</v>
      </c>
      <c r="R38" s="117">
        <f>IF(ISERROR($P38/$O38*100),"x",$P38/$O38*100)</f>
        <v>102.83707694802263</v>
      </c>
      <c r="S38" s="164"/>
    </row>
    <row r="39" spans="1:20" s="27" customFormat="1" ht="9.9" customHeight="1" thickBot="1" x14ac:dyDescent="0.3">
      <c r="A39" s="25"/>
      <c r="B39" s="26"/>
      <c r="C39" s="26"/>
      <c r="D39" s="177"/>
      <c r="E39" s="177"/>
      <c r="F39" s="177"/>
      <c r="G39" s="178"/>
      <c r="H39" s="178"/>
      <c r="I39" s="177"/>
      <c r="J39" s="177"/>
      <c r="K39" s="177"/>
      <c r="L39" s="178"/>
      <c r="M39" s="178"/>
      <c r="N39" s="177"/>
      <c r="O39" s="177"/>
      <c r="P39" s="177"/>
      <c r="Q39" s="178"/>
      <c r="R39" s="178"/>
      <c r="S39" s="179"/>
      <c r="T39" s="4"/>
    </row>
    <row r="40" spans="1:20" ht="20.100000000000001" customHeight="1" thickBot="1" x14ac:dyDescent="0.3">
      <c r="A40" s="345" t="s">
        <v>155</v>
      </c>
      <c r="B40" s="323"/>
      <c r="C40" s="324"/>
      <c r="D40" s="200">
        <f>184172-34775</f>
        <v>149397</v>
      </c>
      <c r="E40" s="238">
        <v>815088</v>
      </c>
      <c r="F40" s="239">
        <v>817935</v>
      </c>
      <c r="G40" s="116">
        <f>IF(ISERROR($F40/$D40*100),"x",$F40/$D40*100)</f>
        <v>547.49091347215813</v>
      </c>
      <c r="H40" s="117">
        <f>IF(ISERROR($F40/$E40*100),"x",$F40/$E40*100)</f>
        <v>100.34928743890231</v>
      </c>
      <c r="I40" s="200">
        <f>1873836-24825</f>
        <v>1849011</v>
      </c>
      <c r="J40" s="238">
        <f>2287403-31529</f>
        <v>2255874</v>
      </c>
      <c r="K40" s="239">
        <f>6066362-3828963</f>
        <v>2237399</v>
      </c>
      <c r="L40" s="116">
        <f>IF(ISERROR($K40/$I40*100),"x",$K40/$I40*100)</f>
        <v>121.00517519906589</v>
      </c>
      <c r="M40" s="118">
        <f t="shared" ref="M40" si="13">IF(ISERROR($K40/$J40*100),"x",$K40/$J40*100)</f>
        <v>99.181026954519623</v>
      </c>
      <c r="N40" s="244">
        <f>2058008-1744187</f>
        <v>313821</v>
      </c>
      <c r="O40" s="239">
        <v>1267245</v>
      </c>
      <c r="P40" s="239">
        <v>1264671</v>
      </c>
      <c r="Q40" s="116">
        <f>IF(ISERROR($P40/$N40*100),"x",$P40/$N40*100)</f>
        <v>402.9911956178841</v>
      </c>
      <c r="R40" s="117">
        <f>IF(ISERROR($P40/$O40*100),"x",$P40/$O40*100)</f>
        <v>99.796882212989587</v>
      </c>
      <c r="S40" s="164"/>
      <c r="T40" s="28">
        <f>P40-K40-F40</f>
        <v>-1790663</v>
      </c>
    </row>
    <row r="41" spans="1:20" x14ac:dyDescent="0.25">
      <c r="A41" s="339" t="s">
        <v>165</v>
      </c>
      <c r="B41" s="340"/>
      <c r="C41" s="341"/>
      <c r="D41" s="78"/>
      <c r="E41" s="79"/>
      <c r="F41" s="79"/>
      <c r="G41" s="87"/>
      <c r="H41" s="246"/>
      <c r="I41" s="78"/>
      <c r="J41" s="79"/>
      <c r="K41" s="79"/>
      <c r="L41" s="247"/>
      <c r="M41" s="83"/>
      <c r="N41" s="123"/>
      <c r="O41" s="95"/>
      <c r="P41" s="95"/>
      <c r="Q41" s="96"/>
      <c r="R41" s="253"/>
      <c r="S41" s="164"/>
    </row>
    <row r="42" spans="1:20" x14ac:dyDescent="0.25">
      <c r="A42" s="11">
        <v>4111</v>
      </c>
      <c r="B42" s="18"/>
      <c r="C42" s="21" t="s">
        <v>46</v>
      </c>
      <c r="D42" s="248">
        <v>0</v>
      </c>
      <c r="E42" s="248">
        <v>79</v>
      </c>
      <c r="F42" s="248">
        <v>79</v>
      </c>
      <c r="G42" s="126" t="str">
        <f t="shared" ref="G42:G73" si="14">IF(ISERROR($F42/$D42*100),"x",$F42/$D42*100)</f>
        <v>x</v>
      </c>
      <c r="H42" s="97">
        <f t="shared" ref="H42:H73" si="15">IF(ISERROR($F42/$E42*100),"x",$F42/$E42*100)</f>
        <v>100</v>
      </c>
      <c r="I42" s="231">
        <v>0</v>
      </c>
      <c r="J42" s="248">
        <v>8901</v>
      </c>
      <c r="K42" s="248">
        <v>8900</v>
      </c>
      <c r="L42" s="249" t="str">
        <f t="shared" ref="L42:L73" si="16">IF(ISERROR($K42/$I42*100),"x",$K42/$I42*100)</f>
        <v>x</v>
      </c>
      <c r="M42" s="127">
        <f t="shared" ref="M42:M72" si="17">IF(ISERROR($K42/$J42*100),"x",$K42/$J42*100)</f>
        <v>99.988765307268849</v>
      </c>
      <c r="N42" s="95">
        <f>$D42+$I42</f>
        <v>0</v>
      </c>
      <c r="O42" s="94">
        <f>$E42+$J42</f>
        <v>8980</v>
      </c>
      <c r="P42" s="94">
        <f>$F42+$K42</f>
        <v>8979</v>
      </c>
      <c r="Q42" s="92" t="str">
        <f t="shared" ref="Q42:Q73" si="18">IF(ISERROR($P42/$N42*100),"x",$P42/$N42*100)</f>
        <v>x</v>
      </c>
      <c r="R42" s="254">
        <f t="shared" ref="R42:R73" si="19">IF(ISERROR($P42/$O42*100),"x",$P42/$O42*100)</f>
        <v>99.988864142538986</v>
      </c>
      <c r="S42" s="164"/>
    </row>
    <row r="43" spans="1:20" x14ac:dyDescent="0.25">
      <c r="A43" s="11">
        <v>4112</v>
      </c>
      <c r="B43" s="18"/>
      <c r="C43" s="19" t="s">
        <v>48</v>
      </c>
      <c r="D43" s="98">
        <v>147447</v>
      </c>
      <c r="E43" s="106">
        <v>147447</v>
      </c>
      <c r="F43" s="106">
        <v>147447</v>
      </c>
      <c r="G43" s="99">
        <f t="shared" si="14"/>
        <v>100</v>
      </c>
      <c r="H43" s="100">
        <f t="shared" si="15"/>
        <v>100</v>
      </c>
      <c r="I43" s="98">
        <v>148164</v>
      </c>
      <c r="J43" s="106">
        <v>148164</v>
      </c>
      <c r="K43" s="106">
        <v>148164</v>
      </c>
      <c r="L43" s="250">
        <f t="shared" si="16"/>
        <v>100</v>
      </c>
      <c r="M43" s="220">
        <f t="shared" si="17"/>
        <v>100</v>
      </c>
      <c r="N43" s="101">
        <f t="shared" ref="N43:N51" si="20">$D43+$I43</f>
        <v>295611</v>
      </c>
      <c r="O43" s="102">
        <f t="shared" ref="O43:O51" si="21">$E43+$J43</f>
        <v>295611</v>
      </c>
      <c r="P43" s="94">
        <f t="shared" ref="P43:P50" si="22">$F43+$K43</f>
        <v>295611</v>
      </c>
      <c r="Q43" s="126">
        <f t="shared" si="18"/>
        <v>100</v>
      </c>
      <c r="R43" s="255">
        <f t="shared" si="19"/>
        <v>100</v>
      </c>
      <c r="S43" s="164"/>
    </row>
    <row r="44" spans="1:20" x14ac:dyDescent="0.25">
      <c r="A44" s="11">
        <v>4113</v>
      </c>
      <c r="B44" s="18"/>
      <c r="C44" s="19" t="s">
        <v>145</v>
      </c>
      <c r="D44" s="98">
        <v>0</v>
      </c>
      <c r="E44" s="106">
        <v>4348</v>
      </c>
      <c r="F44" s="106">
        <v>4347</v>
      </c>
      <c r="G44" s="99" t="str">
        <f t="shared" si="14"/>
        <v>x</v>
      </c>
      <c r="H44" s="100">
        <f t="shared" si="15"/>
        <v>99.977000919963203</v>
      </c>
      <c r="I44" s="98">
        <v>0</v>
      </c>
      <c r="J44" s="106">
        <v>1127</v>
      </c>
      <c r="K44" s="106">
        <v>1126</v>
      </c>
      <c r="L44" s="250" t="str">
        <f t="shared" si="16"/>
        <v>x</v>
      </c>
      <c r="M44" s="251">
        <f t="shared" si="17"/>
        <v>99.911268855368235</v>
      </c>
      <c r="N44" s="101">
        <f t="shared" si="20"/>
        <v>0</v>
      </c>
      <c r="O44" s="101">
        <f t="shared" si="21"/>
        <v>5475</v>
      </c>
      <c r="P44" s="94">
        <f>$F44+$K44</f>
        <v>5473</v>
      </c>
      <c r="Q44" s="126" t="str">
        <f t="shared" si="18"/>
        <v>x</v>
      </c>
      <c r="R44" s="255">
        <f t="shared" si="19"/>
        <v>99.963470319634709</v>
      </c>
      <c r="S44" s="164"/>
    </row>
    <row r="45" spans="1:20" x14ac:dyDescent="0.25">
      <c r="A45" s="11">
        <v>4116</v>
      </c>
      <c r="B45" s="18"/>
      <c r="C45" s="21" t="s">
        <v>49</v>
      </c>
      <c r="D45" s="98">
        <v>0</v>
      </c>
      <c r="E45" s="106">
        <v>132736</v>
      </c>
      <c r="F45" s="106">
        <v>132627</v>
      </c>
      <c r="G45" s="99" t="str">
        <f t="shared" si="14"/>
        <v>x</v>
      </c>
      <c r="H45" s="100">
        <f t="shared" si="15"/>
        <v>99.917882111861132</v>
      </c>
      <c r="I45" s="98">
        <v>13215</v>
      </c>
      <c r="J45" s="106">
        <v>200015</v>
      </c>
      <c r="K45" s="106">
        <v>194745</v>
      </c>
      <c r="L45" s="250">
        <f t="shared" si="16"/>
        <v>1473.6662883087401</v>
      </c>
      <c r="M45" s="251">
        <f t="shared" si="17"/>
        <v>97.365197610179237</v>
      </c>
      <c r="N45" s="101">
        <f t="shared" si="20"/>
        <v>13215</v>
      </c>
      <c r="O45" s="101">
        <f t="shared" si="21"/>
        <v>332751</v>
      </c>
      <c r="P45" s="94">
        <f t="shared" si="22"/>
        <v>327372</v>
      </c>
      <c r="Q45" s="126">
        <f t="shared" si="18"/>
        <v>2477.2758229284905</v>
      </c>
      <c r="R45" s="255">
        <f t="shared" si="19"/>
        <v>98.383475932454004</v>
      </c>
      <c r="S45" s="164"/>
    </row>
    <row r="46" spans="1:20" x14ac:dyDescent="0.25">
      <c r="A46" s="11">
        <v>4122</v>
      </c>
      <c r="B46" s="18"/>
      <c r="C46" s="21" t="s">
        <v>47</v>
      </c>
      <c r="D46" s="98">
        <v>0</v>
      </c>
      <c r="E46" s="106">
        <v>284816</v>
      </c>
      <c r="F46" s="106">
        <v>284755</v>
      </c>
      <c r="G46" s="99" t="str">
        <f t="shared" si="14"/>
        <v>x</v>
      </c>
      <c r="H46" s="100">
        <f t="shared" si="15"/>
        <v>99.978582663895281</v>
      </c>
      <c r="I46" s="98">
        <v>0</v>
      </c>
      <c r="J46" s="106">
        <v>37004</v>
      </c>
      <c r="K46" s="106">
        <v>36289</v>
      </c>
      <c r="L46" s="250" t="s">
        <v>9</v>
      </c>
      <c r="M46" s="251">
        <f t="shared" si="17"/>
        <v>98.06777645659929</v>
      </c>
      <c r="N46" s="101">
        <f t="shared" si="20"/>
        <v>0</v>
      </c>
      <c r="O46" s="101">
        <f t="shared" si="21"/>
        <v>321820</v>
      </c>
      <c r="P46" s="94">
        <f>$F46+$K46</f>
        <v>321044</v>
      </c>
      <c r="Q46" s="126" t="s">
        <v>9</v>
      </c>
      <c r="R46" s="255">
        <f t="shared" si="19"/>
        <v>99.758871418805541</v>
      </c>
      <c r="S46" s="164"/>
    </row>
    <row r="47" spans="1:20" x14ac:dyDescent="0.25">
      <c r="A47" s="11">
        <v>4131</v>
      </c>
      <c r="B47" s="18"/>
      <c r="C47" s="21" t="s">
        <v>50</v>
      </c>
      <c r="D47" s="98">
        <v>0</v>
      </c>
      <c r="E47" s="106">
        <v>0</v>
      </c>
      <c r="F47" s="106">
        <v>0</v>
      </c>
      <c r="G47" s="99" t="str">
        <f t="shared" si="14"/>
        <v>x</v>
      </c>
      <c r="H47" s="100" t="str">
        <f t="shared" si="15"/>
        <v>x</v>
      </c>
      <c r="I47" s="98">
        <v>0</v>
      </c>
      <c r="J47" s="106">
        <v>0</v>
      </c>
      <c r="K47" s="106">
        <v>0</v>
      </c>
      <c r="L47" s="250" t="str">
        <f t="shared" si="16"/>
        <v>x</v>
      </c>
      <c r="M47" s="251" t="str">
        <f t="shared" si="17"/>
        <v>x</v>
      </c>
      <c r="N47" s="101">
        <f t="shared" si="20"/>
        <v>0</v>
      </c>
      <c r="O47" s="101">
        <f t="shared" si="21"/>
        <v>0</v>
      </c>
      <c r="P47" s="94">
        <v>0</v>
      </c>
      <c r="Q47" s="126" t="str">
        <f t="shared" si="18"/>
        <v>x</v>
      </c>
      <c r="R47" s="255" t="str">
        <f t="shared" si="19"/>
        <v>x</v>
      </c>
      <c r="S47" s="164"/>
    </row>
    <row r="48" spans="1:20" x14ac:dyDescent="0.25">
      <c r="A48" s="11">
        <v>4137</v>
      </c>
      <c r="B48" s="18"/>
      <c r="C48" s="21" t="s">
        <v>116</v>
      </c>
      <c r="D48" s="98">
        <v>1890</v>
      </c>
      <c r="E48" s="106">
        <v>57358</v>
      </c>
      <c r="F48" s="106">
        <v>57067</v>
      </c>
      <c r="G48" s="99">
        <f t="shared" si="14"/>
        <v>3019.4179894179892</v>
      </c>
      <c r="H48" s="100">
        <f t="shared" si="15"/>
        <v>99.492660134593251</v>
      </c>
      <c r="I48" s="98">
        <v>1682697</v>
      </c>
      <c r="J48" s="106">
        <v>1746359</v>
      </c>
      <c r="K48" s="106">
        <v>1733596</v>
      </c>
      <c r="L48" s="250">
        <f t="shared" si="16"/>
        <v>103.02484642214256</v>
      </c>
      <c r="M48" s="251">
        <f t="shared" si="17"/>
        <v>99.269165160199023</v>
      </c>
      <c r="N48" s="190" t="s">
        <v>148</v>
      </c>
      <c r="O48" s="190" t="s">
        <v>148</v>
      </c>
      <c r="P48" s="252" t="s">
        <v>148</v>
      </c>
      <c r="Q48" s="126" t="str">
        <f t="shared" si="18"/>
        <v>x</v>
      </c>
      <c r="R48" s="255" t="str">
        <f t="shared" si="19"/>
        <v>x</v>
      </c>
      <c r="S48" s="164"/>
      <c r="T48" s="28">
        <f>F48+K48</f>
        <v>1790663</v>
      </c>
    </row>
    <row r="49" spans="1:20" x14ac:dyDescent="0.25">
      <c r="A49" s="11">
        <v>4213</v>
      </c>
      <c r="B49" s="18"/>
      <c r="C49" s="19" t="s">
        <v>51</v>
      </c>
      <c r="D49" s="98">
        <v>0</v>
      </c>
      <c r="E49" s="106">
        <v>56470</v>
      </c>
      <c r="F49" s="106">
        <v>56470</v>
      </c>
      <c r="G49" s="99" t="str">
        <f t="shared" si="14"/>
        <v>x</v>
      </c>
      <c r="H49" s="100">
        <f t="shared" si="15"/>
        <v>100</v>
      </c>
      <c r="I49" s="98">
        <v>4835</v>
      </c>
      <c r="J49" s="106">
        <v>9730</v>
      </c>
      <c r="K49" s="106">
        <v>9630</v>
      </c>
      <c r="L49" s="250">
        <f t="shared" si="16"/>
        <v>199.17269906928647</v>
      </c>
      <c r="M49" s="251">
        <f t="shared" si="17"/>
        <v>98.972250770811925</v>
      </c>
      <c r="N49" s="101">
        <f t="shared" si="20"/>
        <v>4835</v>
      </c>
      <c r="O49" s="101">
        <f t="shared" si="21"/>
        <v>66200</v>
      </c>
      <c r="P49" s="94">
        <f t="shared" si="22"/>
        <v>66100</v>
      </c>
      <c r="Q49" s="126">
        <f t="shared" si="18"/>
        <v>1367.1147880041365</v>
      </c>
      <c r="R49" s="255">
        <f t="shared" si="19"/>
        <v>99.848942598187307</v>
      </c>
      <c r="S49" s="164"/>
    </row>
    <row r="50" spans="1:20" x14ac:dyDescent="0.25">
      <c r="A50" s="11">
        <v>4216</v>
      </c>
      <c r="B50" s="18"/>
      <c r="C50" s="21" t="s">
        <v>52</v>
      </c>
      <c r="D50" s="98">
        <v>0</v>
      </c>
      <c r="E50" s="106">
        <v>88192</v>
      </c>
      <c r="F50" s="106">
        <v>87329</v>
      </c>
      <c r="G50" s="99" t="str">
        <f t="shared" si="14"/>
        <v>x</v>
      </c>
      <c r="H50" s="100">
        <f t="shared" si="15"/>
        <v>99.021453193033381</v>
      </c>
      <c r="I50" s="98">
        <v>0</v>
      </c>
      <c r="J50" s="106">
        <v>102191</v>
      </c>
      <c r="K50" s="106">
        <v>102182</v>
      </c>
      <c r="L50" s="250" t="str">
        <f t="shared" si="16"/>
        <v>x</v>
      </c>
      <c r="M50" s="220">
        <f t="shared" si="17"/>
        <v>99.991192962198241</v>
      </c>
      <c r="N50" s="101">
        <f t="shared" si="20"/>
        <v>0</v>
      </c>
      <c r="O50" s="101">
        <f t="shared" si="21"/>
        <v>190383</v>
      </c>
      <c r="P50" s="94">
        <f t="shared" si="22"/>
        <v>189511</v>
      </c>
      <c r="Q50" s="126" t="str">
        <f t="shared" si="18"/>
        <v>x</v>
      </c>
      <c r="R50" s="255">
        <f t="shared" si="19"/>
        <v>99.541975911714815</v>
      </c>
      <c r="S50" s="164"/>
    </row>
    <row r="51" spans="1:20" ht="13.8" thickBot="1" x14ac:dyDescent="0.3">
      <c r="A51" s="11">
        <v>4222</v>
      </c>
      <c r="B51" s="18"/>
      <c r="C51" s="21" t="s">
        <v>146</v>
      </c>
      <c r="D51" s="98">
        <v>0</v>
      </c>
      <c r="E51" s="106">
        <v>3522</v>
      </c>
      <c r="F51" s="106">
        <v>3522</v>
      </c>
      <c r="G51" s="99" t="str">
        <f t="shared" si="14"/>
        <v>x</v>
      </c>
      <c r="H51" s="100">
        <f t="shared" si="15"/>
        <v>100</v>
      </c>
      <c r="I51" s="98">
        <v>0</v>
      </c>
      <c r="J51" s="106">
        <v>2250</v>
      </c>
      <c r="K51" s="106">
        <v>2250</v>
      </c>
      <c r="L51" s="250" t="str">
        <f t="shared" si="16"/>
        <v>x</v>
      </c>
      <c r="M51" s="220">
        <f t="shared" si="17"/>
        <v>100</v>
      </c>
      <c r="N51" s="101">
        <f t="shared" si="20"/>
        <v>0</v>
      </c>
      <c r="O51" s="101">
        <f t="shared" si="21"/>
        <v>5772</v>
      </c>
      <c r="P51" s="94">
        <f>$F51+$K51</f>
        <v>5772</v>
      </c>
      <c r="Q51" s="126" t="str">
        <f t="shared" si="18"/>
        <v>x</v>
      </c>
      <c r="R51" s="255">
        <f t="shared" si="19"/>
        <v>100</v>
      </c>
      <c r="S51" s="164"/>
    </row>
    <row r="52" spans="1:20" ht="26.1" customHeight="1" thickBot="1" x14ac:dyDescent="0.3">
      <c r="A52" s="367" t="s">
        <v>166</v>
      </c>
      <c r="B52" s="368"/>
      <c r="C52" s="369"/>
      <c r="D52" s="301">
        <f>D$38+D$40</f>
        <v>9066404</v>
      </c>
      <c r="E52" s="302">
        <f>E$38+E$40</f>
        <v>10094457</v>
      </c>
      <c r="F52" s="302">
        <f>F$38+F$40</f>
        <v>10280917</v>
      </c>
      <c r="G52" s="303">
        <f t="shared" si="14"/>
        <v>113.39575205340509</v>
      </c>
      <c r="H52" s="304">
        <f t="shared" si="15"/>
        <v>101.84715235301908</v>
      </c>
      <c r="I52" s="305">
        <f>I$38+I$40</f>
        <v>3091154</v>
      </c>
      <c r="J52" s="305">
        <f>J$38+J$40</f>
        <v>3479322</v>
      </c>
      <c r="K52" s="305">
        <f>K$38+K$40</f>
        <v>3575207</v>
      </c>
      <c r="L52" s="306">
        <f t="shared" si="16"/>
        <v>115.65929746625369</v>
      </c>
      <c r="M52" s="307">
        <f t="shared" si="17"/>
        <v>102.75585300814353</v>
      </c>
      <c r="N52" s="308">
        <f>N$38+N$40</f>
        <v>10472971</v>
      </c>
      <c r="O52" s="309">
        <f>O$38+O$40</f>
        <v>11770062</v>
      </c>
      <c r="P52" s="302">
        <f>P$38+P$40</f>
        <v>12065461</v>
      </c>
      <c r="Q52" s="303">
        <f t="shared" si="18"/>
        <v>115.20571383230222</v>
      </c>
      <c r="R52" s="304">
        <f t="shared" si="19"/>
        <v>102.50974888662438</v>
      </c>
      <c r="S52" s="164"/>
      <c r="T52" s="28">
        <f>P52-K52-F52</f>
        <v>-1790663</v>
      </c>
    </row>
    <row r="53" spans="1:20" ht="20.100000000000001" customHeight="1" thickBot="1" x14ac:dyDescent="0.3">
      <c r="A53" s="370" t="s">
        <v>150</v>
      </c>
      <c r="B53" s="371"/>
      <c r="C53" s="372"/>
      <c r="D53" s="256">
        <f>7587726-34775</f>
        <v>7552951</v>
      </c>
      <c r="E53" s="71">
        <f>8271026-37390</f>
        <v>8233636</v>
      </c>
      <c r="F53" s="71">
        <f>20641808-12806578</f>
        <v>7835230</v>
      </c>
      <c r="G53" s="257">
        <f t="shared" si="14"/>
        <v>103.73733392418407</v>
      </c>
      <c r="H53" s="72">
        <f t="shared" si="15"/>
        <v>95.16123860709898</v>
      </c>
      <c r="I53" s="71">
        <f>2808239-24825</f>
        <v>2783414</v>
      </c>
      <c r="J53" s="71">
        <f>3375633-31529</f>
        <v>3344104</v>
      </c>
      <c r="K53" s="71">
        <f>6701615-3828963</f>
        <v>2872652</v>
      </c>
      <c r="L53" s="73">
        <f t="shared" si="16"/>
        <v>103.20606277039634</v>
      </c>
      <c r="M53" s="74">
        <f t="shared" si="17"/>
        <v>85.901993478671713</v>
      </c>
      <c r="N53" s="75">
        <f>10395965-1744187</f>
        <v>8651778</v>
      </c>
      <c r="O53" s="76">
        <v>9774022</v>
      </c>
      <c r="P53" s="76">
        <v>8917219</v>
      </c>
      <c r="Q53" s="77">
        <f t="shared" si="18"/>
        <v>103.06805144561038</v>
      </c>
      <c r="R53" s="72">
        <f t="shared" si="19"/>
        <v>91.233874857249148</v>
      </c>
      <c r="S53" s="164"/>
      <c r="T53" s="28">
        <f>P53-K53-F53</f>
        <v>-1790663</v>
      </c>
    </row>
    <row r="54" spans="1:20" x14ac:dyDescent="0.25">
      <c r="A54" s="354" t="s">
        <v>167</v>
      </c>
      <c r="B54" s="355"/>
      <c r="C54" s="356"/>
      <c r="D54" s="78"/>
      <c r="E54" s="79"/>
      <c r="F54" s="79"/>
      <c r="G54" s="80"/>
      <c r="H54" s="253"/>
      <c r="I54" s="78"/>
      <c r="J54" s="81"/>
      <c r="K54" s="79"/>
      <c r="L54" s="82"/>
      <c r="M54" s="83"/>
      <c r="N54" s="84"/>
      <c r="O54" s="85"/>
      <c r="P54" s="86"/>
      <c r="Q54" s="87"/>
      <c r="R54" s="88"/>
      <c r="S54" s="164"/>
      <c r="T54" s="27"/>
    </row>
    <row r="55" spans="1:20" x14ac:dyDescent="0.25">
      <c r="A55" s="89">
        <v>5011</v>
      </c>
      <c r="B55" s="90"/>
      <c r="C55" s="91" t="s">
        <v>64</v>
      </c>
      <c r="D55" s="231">
        <v>685998</v>
      </c>
      <c r="E55" s="248">
        <v>702898</v>
      </c>
      <c r="F55" s="248">
        <v>680196</v>
      </c>
      <c r="G55" s="92">
        <f t="shared" si="14"/>
        <v>99.154224939431316</v>
      </c>
      <c r="H55" s="93">
        <f t="shared" si="15"/>
        <v>96.770228397292357</v>
      </c>
      <c r="I55" s="258">
        <v>518400</v>
      </c>
      <c r="J55" s="248">
        <v>598532</v>
      </c>
      <c r="K55" s="248">
        <v>542383</v>
      </c>
      <c r="L55" s="249">
        <f t="shared" si="16"/>
        <v>104.62635030864197</v>
      </c>
      <c r="M55" s="216">
        <f t="shared" si="17"/>
        <v>90.618880861841973</v>
      </c>
      <c r="N55" s="191">
        <f>$D55+$I55</f>
        <v>1204398</v>
      </c>
      <c r="O55" s="94">
        <f>$E55+$J55</f>
        <v>1301430</v>
      </c>
      <c r="P55" s="95">
        <f>$F55+$K55</f>
        <v>1222579</v>
      </c>
      <c r="Q55" s="96">
        <f>IF(ISERROR($P55/$N55*100),"x",$P55/$N55*100)</f>
        <v>101.50955082954304</v>
      </c>
      <c r="R55" s="97">
        <f t="shared" si="19"/>
        <v>93.941203138086564</v>
      </c>
      <c r="S55" s="164"/>
      <c r="T55" s="28"/>
    </row>
    <row r="56" spans="1:20" x14ac:dyDescent="0.25">
      <c r="A56" s="89" t="s">
        <v>53</v>
      </c>
      <c r="B56" s="90"/>
      <c r="C56" s="91" t="s">
        <v>65</v>
      </c>
      <c r="D56" s="98">
        <v>25272</v>
      </c>
      <c r="E56" s="259">
        <v>28615</v>
      </c>
      <c r="F56" s="259">
        <v>24510</v>
      </c>
      <c r="G56" s="99">
        <f t="shared" si="14"/>
        <v>96.984805318138655</v>
      </c>
      <c r="H56" s="100">
        <f t="shared" si="15"/>
        <v>85.654377074960692</v>
      </c>
      <c r="I56" s="98">
        <v>84385</v>
      </c>
      <c r="J56" s="259">
        <v>95480</v>
      </c>
      <c r="K56" s="259">
        <v>87102</v>
      </c>
      <c r="L56" s="250">
        <f t="shared" si="16"/>
        <v>103.21976654618712</v>
      </c>
      <c r="M56" s="251">
        <f t="shared" si="17"/>
        <v>91.225387515710096</v>
      </c>
      <c r="N56" s="101">
        <f t="shared" ref="N56:N74" si="23">$D56+$I56</f>
        <v>109657</v>
      </c>
      <c r="O56" s="101">
        <f t="shared" ref="O56:O74" si="24">$E56+$J56</f>
        <v>124095</v>
      </c>
      <c r="P56" s="102">
        <f t="shared" ref="P56:P74" si="25">$F56+$K56</f>
        <v>111612</v>
      </c>
      <c r="Q56" s="99">
        <f t="shared" si="18"/>
        <v>101.78283192135478</v>
      </c>
      <c r="R56" s="100">
        <f t="shared" si="19"/>
        <v>89.940771183367588</v>
      </c>
      <c r="S56" s="164"/>
      <c r="T56" s="28"/>
    </row>
    <row r="57" spans="1:20" x14ac:dyDescent="0.25">
      <c r="A57" s="89" t="s">
        <v>54</v>
      </c>
      <c r="B57" s="90"/>
      <c r="C57" s="103" t="s">
        <v>76</v>
      </c>
      <c r="D57" s="104">
        <v>245656</v>
      </c>
      <c r="E57" s="105">
        <v>250482</v>
      </c>
      <c r="F57" s="105">
        <v>239555</v>
      </c>
      <c r="G57" s="99">
        <f t="shared" si="14"/>
        <v>97.516445761552745</v>
      </c>
      <c r="H57" s="100">
        <f t="shared" si="15"/>
        <v>95.637610686596247</v>
      </c>
      <c r="I57" s="104">
        <v>205298</v>
      </c>
      <c r="J57" s="105">
        <v>232458</v>
      </c>
      <c r="K57" s="105">
        <v>209232</v>
      </c>
      <c r="L57" s="250">
        <f t="shared" si="16"/>
        <v>101.91623883330574</v>
      </c>
      <c r="M57" s="251">
        <f t="shared" si="17"/>
        <v>90.008517667707707</v>
      </c>
      <c r="N57" s="101">
        <f t="shared" si="23"/>
        <v>450954</v>
      </c>
      <c r="O57" s="101">
        <f t="shared" si="24"/>
        <v>482940</v>
      </c>
      <c r="P57" s="102">
        <f t="shared" si="25"/>
        <v>448787</v>
      </c>
      <c r="Q57" s="99">
        <f t="shared" si="18"/>
        <v>99.519463182497546</v>
      </c>
      <c r="R57" s="100">
        <f t="shared" si="19"/>
        <v>92.92810701122292</v>
      </c>
      <c r="S57" s="164" t="s">
        <v>0</v>
      </c>
    </row>
    <row r="58" spans="1:20" x14ac:dyDescent="0.25">
      <c r="A58" s="89" t="s">
        <v>77</v>
      </c>
      <c r="B58" s="90"/>
      <c r="C58" s="91" t="s">
        <v>66</v>
      </c>
      <c r="D58" s="98">
        <v>53868</v>
      </c>
      <c r="E58" s="106">
        <v>69927</v>
      </c>
      <c r="F58" s="106">
        <v>57870</v>
      </c>
      <c r="G58" s="99">
        <f t="shared" si="14"/>
        <v>107.42927155268434</v>
      </c>
      <c r="H58" s="100">
        <f t="shared" si="15"/>
        <v>82.757733064481528</v>
      </c>
      <c r="I58" s="98">
        <v>67882</v>
      </c>
      <c r="J58" s="106">
        <v>95079</v>
      </c>
      <c r="K58" s="106">
        <v>75989</v>
      </c>
      <c r="L58" s="250">
        <f t="shared" si="16"/>
        <v>111.94278306472998</v>
      </c>
      <c r="M58" s="251">
        <f t="shared" si="17"/>
        <v>79.92195963356788</v>
      </c>
      <c r="N58" s="101">
        <f t="shared" si="23"/>
        <v>121750</v>
      </c>
      <c r="O58" s="101">
        <f t="shared" si="24"/>
        <v>165006</v>
      </c>
      <c r="P58" s="102">
        <f t="shared" si="25"/>
        <v>133859</v>
      </c>
      <c r="Q58" s="99">
        <f t="shared" si="18"/>
        <v>109.94579055441478</v>
      </c>
      <c r="R58" s="100">
        <f t="shared" si="19"/>
        <v>81.123716713331646</v>
      </c>
      <c r="S58" s="164"/>
    </row>
    <row r="59" spans="1:20" x14ac:dyDescent="0.25">
      <c r="A59" s="89">
        <v>5141</v>
      </c>
      <c r="B59" s="90"/>
      <c r="C59" s="91" t="s">
        <v>67</v>
      </c>
      <c r="D59" s="260">
        <v>52080</v>
      </c>
      <c r="E59" s="106">
        <v>43080</v>
      </c>
      <c r="F59" s="106">
        <v>42919</v>
      </c>
      <c r="G59" s="99">
        <f t="shared" si="14"/>
        <v>82.409754224270344</v>
      </c>
      <c r="H59" s="100">
        <f t="shared" si="15"/>
        <v>99.62627669452182</v>
      </c>
      <c r="I59" s="98">
        <v>1848</v>
      </c>
      <c r="J59" s="106">
        <v>1829</v>
      </c>
      <c r="K59" s="106">
        <v>1171</v>
      </c>
      <c r="L59" s="250">
        <f t="shared" si="16"/>
        <v>63.365800865800871</v>
      </c>
      <c r="M59" s="251">
        <f t="shared" si="17"/>
        <v>64.024056861673046</v>
      </c>
      <c r="N59" s="101">
        <f t="shared" si="23"/>
        <v>53928</v>
      </c>
      <c r="O59" s="101">
        <f t="shared" si="24"/>
        <v>44909</v>
      </c>
      <c r="P59" s="102">
        <f t="shared" si="25"/>
        <v>44090</v>
      </c>
      <c r="Q59" s="99">
        <f t="shared" si="18"/>
        <v>81.75715769173712</v>
      </c>
      <c r="R59" s="100">
        <f t="shared" si="19"/>
        <v>98.176312097797762</v>
      </c>
      <c r="S59" s="164"/>
    </row>
    <row r="60" spans="1:20" x14ac:dyDescent="0.25">
      <c r="A60" s="89" t="s">
        <v>55</v>
      </c>
      <c r="B60" s="90"/>
      <c r="C60" s="91" t="s">
        <v>68</v>
      </c>
      <c r="D60" s="98">
        <v>101341</v>
      </c>
      <c r="E60" s="106">
        <v>92423</v>
      </c>
      <c r="F60" s="106">
        <v>86810</v>
      </c>
      <c r="G60" s="99">
        <f t="shared" si="14"/>
        <v>85.661282205622598</v>
      </c>
      <c r="H60" s="100">
        <f t="shared" si="15"/>
        <v>93.926836393538409</v>
      </c>
      <c r="I60" s="98">
        <v>288929</v>
      </c>
      <c r="J60" s="106">
        <v>293663</v>
      </c>
      <c r="K60" s="106">
        <v>265263</v>
      </c>
      <c r="L60" s="250">
        <f t="shared" si="16"/>
        <v>91.809060357388844</v>
      </c>
      <c r="M60" s="251">
        <f t="shared" si="17"/>
        <v>90.329050646489335</v>
      </c>
      <c r="N60" s="101">
        <f t="shared" si="23"/>
        <v>390270</v>
      </c>
      <c r="O60" s="101">
        <f t="shared" si="24"/>
        <v>386086</v>
      </c>
      <c r="P60" s="102">
        <f t="shared" si="25"/>
        <v>352073</v>
      </c>
      <c r="Q60" s="99">
        <f t="shared" si="18"/>
        <v>90.212673277474565</v>
      </c>
      <c r="R60" s="100">
        <f t="shared" si="19"/>
        <v>91.190304750755018</v>
      </c>
      <c r="S60" s="164"/>
    </row>
    <row r="61" spans="1:20" x14ac:dyDescent="0.25">
      <c r="A61" s="89" t="s">
        <v>56</v>
      </c>
      <c r="B61" s="90"/>
      <c r="C61" s="103" t="s">
        <v>69</v>
      </c>
      <c r="D61" s="98">
        <v>736941</v>
      </c>
      <c r="E61" s="106">
        <v>744020</v>
      </c>
      <c r="F61" s="106">
        <v>706595</v>
      </c>
      <c r="G61" s="99">
        <f t="shared" si="14"/>
        <v>95.882166957734754</v>
      </c>
      <c r="H61" s="100">
        <f t="shared" si="15"/>
        <v>94.969893282438647</v>
      </c>
      <c r="I61" s="98">
        <v>432682</v>
      </c>
      <c r="J61" s="106">
        <v>471500</v>
      </c>
      <c r="K61" s="106">
        <v>392208</v>
      </c>
      <c r="L61" s="250">
        <f t="shared" si="16"/>
        <v>90.645786050725476</v>
      </c>
      <c r="M61" s="251">
        <f t="shared" si="17"/>
        <v>83.183032873806994</v>
      </c>
      <c r="N61" s="101">
        <f t="shared" si="23"/>
        <v>1169623</v>
      </c>
      <c r="O61" s="101">
        <f t="shared" si="24"/>
        <v>1215520</v>
      </c>
      <c r="P61" s="102">
        <f t="shared" si="25"/>
        <v>1098803</v>
      </c>
      <c r="Q61" s="99">
        <f t="shared" si="18"/>
        <v>93.945057509983982</v>
      </c>
      <c r="R61" s="100">
        <f t="shared" si="19"/>
        <v>90.397772146900095</v>
      </c>
      <c r="S61" s="164"/>
    </row>
    <row r="62" spans="1:20" x14ac:dyDescent="0.25">
      <c r="A62" s="89" t="s">
        <v>57</v>
      </c>
      <c r="B62" s="90"/>
      <c r="C62" s="107" t="s">
        <v>70</v>
      </c>
      <c r="D62" s="98">
        <v>301155</v>
      </c>
      <c r="E62" s="106">
        <v>342432</v>
      </c>
      <c r="F62" s="106">
        <v>327069</v>
      </c>
      <c r="G62" s="99">
        <f t="shared" si="14"/>
        <v>108.60487124570403</v>
      </c>
      <c r="H62" s="100">
        <f t="shared" si="15"/>
        <v>95.513561816652654</v>
      </c>
      <c r="I62" s="98">
        <v>442083</v>
      </c>
      <c r="J62" s="106">
        <v>572490</v>
      </c>
      <c r="K62" s="106">
        <v>479628</v>
      </c>
      <c r="L62" s="250">
        <f t="shared" si="16"/>
        <v>108.49274909915106</v>
      </c>
      <c r="M62" s="251">
        <f t="shared" si="17"/>
        <v>83.779279987423365</v>
      </c>
      <c r="N62" s="101">
        <f t="shared" si="23"/>
        <v>743238</v>
      </c>
      <c r="O62" s="101">
        <f t="shared" si="24"/>
        <v>914922</v>
      </c>
      <c r="P62" s="102">
        <f t="shared" si="25"/>
        <v>806697</v>
      </c>
      <c r="Q62" s="99">
        <f t="shared" si="18"/>
        <v>108.53818023298057</v>
      </c>
      <c r="R62" s="100">
        <f t="shared" si="19"/>
        <v>88.17112278423734</v>
      </c>
      <c r="S62" s="164"/>
    </row>
    <row r="63" spans="1:20" x14ac:dyDescent="0.25">
      <c r="A63" s="89">
        <v>5193</v>
      </c>
      <c r="B63" s="90"/>
      <c r="C63" s="103" t="s">
        <v>71</v>
      </c>
      <c r="D63" s="98">
        <v>1415332</v>
      </c>
      <c r="E63" s="106">
        <v>1415332</v>
      </c>
      <c r="F63" s="106">
        <v>1415332</v>
      </c>
      <c r="G63" s="99">
        <f t="shared" si="14"/>
        <v>100</v>
      </c>
      <c r="H63" s="100">
        <f t="shared" si="15"/>
        <v>100</v>
      </c>
      <c r="I63" s="98">
        <v>0</v>
      </c>
      <c r="J63" s="106">
        <v>0</v>
      </c>
      <c r="K63" s="106">
        <v>0</v>
      </c>
      <c r="L63" s="250" t="str">
        <f t="shared" si="16"/>
        <v>x</v>
      </c>
      <c r="M63" s="251" t="str">
        <f t="shared" si="17"/>
        <v>x</v>
      </c>
      <c r="N63" s="101">
        <f t="shared" si="23"/>
        <v>1415332</v>
      </c>
      <c r="O63" s="101">
        <f t="shared" si="24"/>
        <v>1415332</v>
      </c>
      <c r="P63" s="102">
        <f t="shared" si="25"/>
        <v>1415332</v>
      </c>
      <c r="Q63" s="99">
        <f t="shared" si="18"/>
        <v>100</v>
      </c>
      <c r="R63" s="100">
        <f t="shared" si="19"/>
        <v>100</v>
      </c>
      <c r="S63" s="164"/>
    </row>
    <row r="64" spans="1:20" x14ac:dyDescent="0.25">
      <c r="A64" s="89" t="s">
        <v>58</v>
      </c>
      <c r="B64" s="90"/>
      <c r="C64" s="103" t="s">
        <v>78</v>
      </c>
      <c r="D64" s="98">
        <v>272425</v>
      </c>
      <c r="E64" s="106">
        <v>315235</v>
      </c>
      <c r="F64" s="106">
        <v>315153</v>
      </c>
      <c r="G64" s="99">
        <f t="shared" si="14"/>
        <v>115.68431678443609</v>
      </c>
      <c r="H64" s="100">
        <f t="shared" si="15"/>
        <v>99.973987659999679</v>
      </c>
      <c r="I64" s="98">
        <v>0</v>
      </c>
      <c r="J64" s="106">
        <v>936</v>
      </c>
      <c r="K64" s="106">
        <v>885</v>
      </c>
      <c r="L64" s="250" t="s">
        <v>9</v>
      </c>
      <c r="M64" s="251">
        <f t="shared" si="17"/>
        <v>94.551282051282044</v>
      </c>
      <c r="N64" s="101">
        <f t="shared" si="23"/>
        <v>272425</v>
      </c>
      <c r="O64" s="101">
        <f>$E64+$J64</f>
        <v>316171</v>
      </c>
      <c r="P64" s="102">
        <f t="shared" si="25"/>
        <v>316038</v>
      </c>
      <c r="Q64" s="99">
        <f t="shared" si="18"/>
        <v>116.00917683766174</v>
      </c>
      <c r="R64" s="100">
        <f t="shared" si="19"/>
        <v>99.957934155884004</v>
      </c>
      <c r="S64" s="164"/>
    </row>
    <row r="65" spans="1:20" x14ac:dyDescent="0.25">
      <c r="A65" s="89" t="s">
        <v>59</v>
      </c>
      <c r="B65" s="90"/>
      <c r="C65" s="91" t="s">
        <v>79</v>
      </c>
      <c r="D65" s="98">
        <v>259065</v>
      </c>
      <c r="E65" s="106">
        <v>378469</v>
      </c>
      <c r="F65" s="106">
        <v>377235</v>
      </c>
      <c r="G65" s="99">
        <f t="shared" si="14"/>
        <v>145.61403508771932</v>
      </c>
      <c r="H65" s="100">
        <f t="shared" si="15"/>
        <v>99.673949517661953</v>
      </c>
      <c r="I65" s="98">
        <v>8156</v>
      </c>
      <c r="J65" s="106">
        <v>20241</v>
      </c>
      <c r="K65" s="106">
        <v>18646</v>
      </c>
      <c r="L65" s="250">
        <f t="shared" si="16"/>
        <v>228.61696910250123</v>
      </c>
      <c r="M65" s="251">
        <f t="shared" si="17"/>
        <v>92.119954547700218</v>
      </c>
      <c r="N65" s="101">
        <f t="shared" si="23"/>
        <v>267221</v>
      </c>
      <c r="O65" s="101">
        <f t="shared" si="24"/>
        <v>398710</v>
      </c>
      <c r="P65" s="102">
        <f t="shared" si="25"/>
        <v>395881</v>
      </c>
      <c r="Q65" s="99">
        <f t="shared" si="18"/>
        <v>148.14741356405372</v>
      </c>
      <c r="R65" s="100">
        <f t="shared" si="19"/>
        <v>99.290461739108622</v>
      </c>
      <c r="S65" s="164"/>
    </row>
    <row r="66" spans="1:20" x14ac:dyDescent="0.25">
      <c r="A66" s="89" t="s">
        <v>60</v>
      </c>
      <c r="B66" s="90"/>
      <c r="C66" s="91" t="s">
        <v>80</v>
      </c>
      <c r="D66" s="98">
        <v>950350</v>
      </c>
      <c r="E66" s="106">
        <v>1508205</v>
      </c>
      <c r="F66" s="106">
        <v>1507495</v>
      </c>
      <c r="G66" s="99">
        <f t="shared" si="14"/>
        <v>158.62524333140422</v>
      </c>
      <c r="H66" s="100">
        <f t="shared" si="15"/>
        <v>99.952924171448842</v>
      </c>
      <c r="I66" s="98">
        <v>465722</v>
      </c>
      <c r="J66" s="106">
        <v>612146</v>
      </c>
      <c r="K66" s="106">
        <v>609154</v>
      </c>
      <c r="L66" s="250">
        <f t="shared" si="16"/>
        <v>130.79777206144439</v>
      </c>
      <c r="M66" s="251">
        <f t="shared" si="17"/>
        <v>99.511227713650001</v>
      </c>
      <c r="N66" s="101">
        <f t="shared" si="23"/>
        <v>1416072</v>
      </c>
      <c r="O66" s="101">
        <f t="shared" si="24"/>
        <v>2120351</v>
      </c>
      <c r="P66" s="102">
        <f t="shared" si="25"/>
        <v>2116649</v>
      </c>
      <c r="Q66" s="99">
        <f t="shared" si="18"/>
        <v>149.47326124660327</v>
      </c>
      <c r="R66" s="100">
        <f t="shared" si="19"/>
        <v>99.825406265283434</v>
      </c>
      <c r="S66" s="164"/>
    </row>
    <row r="67" spans="1:20" x14ac:dyDescent="0.25">
      <c r="A67" s="89">
        <v>5347</v>
      </c>
      <c r="B67" s="90"/>
      <c r="C67" s="108" t="s">
        <v>117</v>
      </c>
      <c r="D67" s="98">
        <v>1682697</v>
      </c>
      <c r="E67" s="106">
        <v>1746359</v>
      </c>
      <c r="F67" s="106">
        <v>1733596</v>
      </c>
      <c r="G67" s="99">
        <f t="shared" si="14"/>
        <v>103.02484642214256</v>
      </c>
      <c r="H67" s="100">
        <f t="shared" si="15"/>
        <v>99.269165160199023</v>
      </c>
      <c r="I67" s="98">
        <v>1890</v>
      </c>
      <c r="J67" s="106">
        <v>57358</v>
      </c>
      <c r="K67" s="106">
        <v>57067</v>
      </c>
      <c r="L67" s="250">
        <f t="shared" si="16"/>
        <v>3019.4179894179892</v>
      </c>
      <c r="M67" s="251">
        <f t="shared" si="17"/>
        <v>99.492660134593251</v>
      </c>
      <c r="N67" s="190" t="s">
        <v>148</v>
      </c>
      <c r="O67" s="190" t="s">
        <v>148</v>
      </c>
      <c r="P67" s="192" t="s">
        <v>148</v>
      </c>
      <c r="Q67" s="99" t="str">
        <f t="shared" si="18"/>
        <v>x</v>
      </c>
      <c r="R67" s="100" t="str">
        <f t="shared" si="19"/>
        <v>x</v>
      </c>
      <c r="S67" s="164"/>
      <c r="T67" s="28">
        <f>F67+K67</f>
        <v>1790663</v>
      </c>
    </row>
    <row r="68" spans="1:20" x14ac:dyDescent="0.25">
      <c r="A68" s="89">
        <v>5362</v>
      </c>
      <c r="B68" s="90"/>
      <c r="C68" s="91" t="s">
        <v>72</v>
      </c>
      <c r="D68" s="98">
        <v>20819</v>
      </c>
      <c r="E68" s="106">
        <v>74400</v>
      </c>
      <c r="F68" s="106">
        <v>54610</v>
      </c>
      <c r="G68" s="99">
        <f t="shared" si="14"/>
        <v>262.30846822613955</v>
      </c>
      <c r="H68" s="100">
        <f t="shared" si="15"/>
        <v>73.400537634408607</v>
      </c>
      <c r="I68" s="98">
        <v>15163</v>
      </c>
      <c r="J68" s="106">
        <v>17479</v>
      </c>
      <c r="K68" s="106">
        <v>12377</v>
      </c>
      <c r="L68" s="250">
        <f t="shared" si="16"/>
        <v>81.626327243949078</v>
      </c>
      <c r="M68" s="251">
        <f t="shared" si="17"/>
        <v>70.81068711024659</v>
      </c>
      <c r="N68" s="101">
        <f t="shared" si="23"/>
        <v>35982</v>
      </c>
      <c r="O68" s="101">
        <f t="shared" si="24"/>
        <v>91879</v>
      </c>
      <c r="P68" s="102">
        <f t="shared" si="25"/>
        <v>66987</v>
      </c>
      <c r="Q68" s="99">
        <f t="shared" si="18"/>
        <v>186.16808404202101</v>
      </c>
      <c r="R68" s="100">
        <f t="shared" si="19"/>
        <v>72.907846189009462</v>
      </c>
      <c r="S68" s="164"/>
    </row>
    <row r="69" spans="1:20" x14ac:dyDescent="0.25">
      <c r="A69" s="89">
        <v>5363</v>
      </c>
      <c r="B69" s="90"/>
      <c r="C69" s="91" t="s">
        <v>73</v>
      </c>
      <c r="D69" s="261">
        <v>0</v>
      </c>
      <c r="E69" s="106">
        <v>1</v>
      </c>
      <c r="F69" s="106">
        <v>1</v>
      </c>
      <c r="G69" s="99" t="str">
        <f t="shared" si="14"/>
        <v>x</v>
      </c>
      <c r="H69" s="100">
        <f t="shared" si="15"/>
        <v>100</v>
      </c>
      <c r="I69" s="98">
        <v>6</v>
      </c>
      <c r="J69" s="106">
        <v>18</v>
      </c>
      <c r="K69" s="106">
        <v>9</v>
      </c>
      <c r="L69" s="250">
        <f t="shared" si="16"/>
        <v>150</v>
      </c>
      <c r="M69" s="251">
        <f t="shared" si="17"/>
        <v>50</v>
      </c>
      <c r="N69" s="101">
        <f t="shared" si="23"/>
        <v>6</v>
      </c>
      <c r="O69" s="101">
        <f t="shared" si="24"/>
        <v>19</v>
      </c>
      <c r="P69" s="95">
        <f t="shared" si="25"/>
        <v>10</v>
      </c>
      <c r="Q69" s="99" t="s">
        <v>9</v>
      </c>
      <c r="R69" s="100">
        <f t="shared" si="19"/>
        <v>52.631578947368418</v>
      </c>
      <c r="S69" s="164"/>
    </row>
    <row r="70" spans="1:20" x14ac:dyDescent="0.25">
      <c r="A70" s="89" t="s">
        <v>61</v>
      </c>
      <c r="B70" s="90"/>
      <c r="C70" s="103" t="s">
        <v>74</v>
      </c>
      <c r="D70" s="98">
        <v>5671</v>
      </c>
      <c r="E70" s="106">
        <v>6398</v>
      </c>
      <c r="F70" s="106">
        <v>4886</v>
      </c>
      <c r="G70" s="99">
        <f t="shared" si="14"/>
        <v>86.15764415447012</v>
      </c>
      <c r="H70" s="100">
        <f t="shared" si="15"/>
        <v>76.367614879649892</v>
      </c>
      <c r="I70" s="98">
        <v>4166</v>
      </c>
      <c r="J70" s="106">
        <v>4671</v>
      </c>
      <c r="K70" s="106">
        <v>3534</v>
      </c>
      <c r="L70" s="250">
        <f t="shared" si="16"/>
        <v>84.829572731637057</v>
      </c>
      <c r="M70" s="251">
        <f t="shared" si="17"/>
        <v>75.658317276814387</v>
      </c>
      <c r="N70" s="101">
        <f t="shared" si="23"/>
        <v>9837</v>
      </c>
      <c r="O70" s="101">
        <f t="shared" si="24"/>
        <v>11069</v>
      </c>
      <c r="P70" s="102">
        <f t="shared" si="25"/>
        <v>8420</v>
      </c>
      <c r="Q70" s="99">
        <f t="shared" si="18"/>
        <v>85.595201789163369</v>
      </c>
      <c r="R70" s="100">
        <f t="shared" si="19"/>
        <v>76.068298852651552</v>
      </c>
      <c r="S70" s="164"/>
    </row>
    <row r="71" spans="1:20" x14ac:dyDescent="0.25">
      <c r="A71" s="89" t="s">
        <v>62</v>
      </c>
      <c r="B71" s="90"/>
      <c r="C71" s="91" t="s">
        <v>81</v>
      </c>
      <c r="D71" s="98">
        <v>16323</v>
      </c>
      <c r="E71" s="106">
        <v>17748</v>
      </c>
      <c r="F71" s="106">
        <v>11287</v>
      </c>
      <c r="G71" s="99">
        <f>IF(ISERROR($F71/$D71*100),"x",$F71/$D71*100)</f>
        <v>69.147828217852108</v>
      </c>
      <c r="H71" s="100">
        <f t="shared" si="15"/>
        <v>63.595898129366688</v>
      </c>
      <c r="I71" s="98">
        <v>29135</v>
      </c>
      <c r="J71" s="106">
        <v>34851</v>
      </c>
      <c r="K71" s="106">
        <v>28525</v>
      </c>
      <c r="L71" s="250">
        <f t="shared" si="16"/>
        <v>97.906298266689546</v>
      </c>
      <c r="M71" s="251">
        <f t="shared" si="17"/>
        <v>81.848440503859294</v>
      </c>
      <c r="N71" s="101">
        <f t="shared" si="23"/>
        <v>45458</v>
      </c>
      <c r="O71" s="101">
        <f t="shared" si="24"/>
        <v>52599</v>
      </c>
      <c r="P71" s="102">
        <f t="shared" si="25"/>
        <v>39812</v>
      </c>
      <c r="Q71" s="99">
        <f t="shared" si="18"/>
        <v>87.579743939460599</v>
      </c>
      <c r="R71" s="100">
        <f t="shared" si="19"/>
        <v>75.689651894522711</v>
      </c>
      <c r="S71" s="164"/>
    </row>
    <row r="72" spans="1:20" x14ac:dyDescent="0.25">
      <c r="A72" s="89" t="s">
        <v>63</v>
      </c>
      <c r="B72" s="90"/>
      <c r="C72" s="91" t="s">
        <v>75</v>
      </c>
      <c r="D72" s="98">
        <v>1060</v>
      </c>
      <c r="E72" s="106">
        <v>20154</v>
      </c>
      <c r="F72" s="106">
        <v>20154</v>
      </c>
      <c r="G72" s="99">
        <f>IF(ISERROR($F72/$D72*100),"x",$F72/$D72*100)</f>
        <v>1901.3207547169814</v>
      </c>
      <c r="H72" s="100">
        <f t="shared" si="15"/>
        <v>100</v>
      </c>
      <c r="I72" s="98">
        <v>15705</v>
      </c>
      <c r="J72" s="106">
        <v>15125</v>
      </c>
      <c r="K72" s="106">
        <v>230</v>
      </c>
      <c r="L72" s="250">
        <f t="shared" si="16"/>
        <v>1.4645017510347023</v>
      </c>
      <c r="M72" s="251">
        <f t="shared" si="17"/>
        <v>1.5206611570247934</v>
      </c>
      <c r="N72" s="101">
        <f t="shared" si="23"/>
        <v>16765</v>
      </c>
      <c r="O72" s="101">
        <f t="shared" si="24"/>
        <v>35279</v>
      </c>
      <c r="P72" s="102">
        <f t="shared" si="25"/>
        <v>20384</v>
      </c>
      <c r="Q72" s="99">
        <f t="shared" si="18"/>
        <v>121.58663883089771</v>
      </c>
      <c r="R72" s="100">
        <f t="shared" si="19"/>
        <v>57.779415516312817</v>
      </c>
      <c r="S72" s="164"/>
    </row>
    <row r="73" spans="1:20" x14ac:dyDescent="0.25">
      <c r="A73" s="89">
        <v>5901</v>
      </c>
      <c r="B73" s="90"/>
      <c r="C73" s="103" t="s">
        <v>82</v>
      </c>
      <c r="D73" s="262">
        <v>304693</v>
      </c>
      <c r="E73" s="263">
        <v>218143</v>
      </c>
      <c r="F73" s="223">
        <v>0</v>
      </c>
      <c r="G73" s="99">
        <f t="shared" si="14"/>
        <v>0</v>
      </c>
      <c r="H73" s="100">
        <f t="shared" si="15"/>
        <v>0</v>
      </c>
      <c r="I73" s="264">
        <v>94861</v>
      </c>
      <c r="J73" s="265">
        <v>110333</v>
      </c>
      <c r="K73" s="223">
        <v>0</v>
      </c>
      <c r="L73" s="250">
        <f t="shared" si="16"/>
        <v>0</v>
      </c>
      <c r="M73" s="251">
        <f>IF(ISERROR($K73/$J73*100),"x",$K73/$J73*100)</f>
        <v>0</v>
      </c>
      <c r="N73" s="101">
        <f t="shared" si="23"/>
        <v>399554</v>
      </c>
      <c r="O73" s="101">
        <f t="shared" si="24"/>
        <v>328476</v>
      </c>
      <c r="P73" s="102">
        <f t="shared" si="25"/>
        <v>0</v>
      </c>
      <c r="Q73" s="99">
        <f t="shared" si="18"/>
        <v>0</v>
      </c>
      <c r="R73" s="100">
        <f t="shared" si="19"/>
        <v>0</v>
      </c>
      <c r="S73" s="164"/>
    </row>
    <row r="74" spans="1:20" ht="13.8" thickBot="1" x14ac:dyDescent="0.3">
      <c r="A74" s="109">
        <v>5909</v>
      </c>
      <c r="B74" s="110"/>
      <c r="C74" s="111" t="s">
        <v>83</v>
      </c>
      <c r="D74" s="266">
        <v>374658</v>
      </c>
      <c r="E74" s="112">
        <v>21596</v>
      </c>
      <c r="F74" s="112">
        <v>1435</v>
      </c>
      <c r="G74" s="113">
        <f>IF(ISERROR($F74/$D74*100),"x",$F74/$D74*100)</f>
        <v>0.38301597723790765</v>
      </c>
      <c r="H74" s="114">
        <f>IF(ISERROR($F74/$E74*100),"x",$F74/$E74*100)</f>
        <v>6.6447490275977028</v>
      </c>
      <c r="I74" s="115">
        <v>69031</v>
      </c>
      <c r="J74" s="267">
        <v>67141</v>
      </c>
      <c r="K74" s="112">
        <v>55944</v>
      </c>
      <c r="L74" s="268">
        <f>IF(ISERROR($K74/$I74*100),"x",$K74/$I74*100)</f>
        <v>81.041850762700818</v>
      </c>
      <c r="M74" s="269">
        <f>IF(ISERROR($K74/$J74*100),"x",$K74/$J74*100)</f>
        <v>83.32315574686109</v>
      </c>
      <c r="N74" s="193">
        <f t="shared" si="23"/>
        <v>443689</v>
      </c>
      <c r="O74" s="193">
        <f t="shared" si="24"/>
        <v>88737</v>
      </c>
      <c r="P74" s="193">
        <f t="shared" si="25"/>
        <v>57379</v>
      </c>
      <c r="Q74" s="113">
        <f>IF(ISERROR($P74/$N74*100),"x",$P74/$N74*100)</f>
        <v>12.932256603161225</v>
      </c>
      <c r="R74" s="114">
        <f>IF(ISERROR($P74/$O74*100),"x",$P74/$O74*100)</f>
        <v>64.661865963465075</v>
      </c>
      <c r="S74" s="164"/>
    </row>
    <row r="75" spans="1:20" ht="20.100000000000001" customHeight="1" thickBot="1" x14ac:dyDescent="0.3">
      <c r="A75" s="351" t="s">
        <v>10</v>
      </c>
      <c r="B75" s="352"/>
      <c r="C75" s="353"/>
      <c r="D75" s="270">
        <v>2847222</v>
      </c>
      <c r="E75" s="271">
        <v>1717493</v>
      </c>
      <c r="F75" s="271">
        <v>1529449</v>
      </c>
      <c r="G75" s="116">
        <f>IF(ISERROR($F75/$D75*100),"x",$F75/$D75*100)</f>
        <v>53.717237363296576</v>
      </c>
      <c r="H75" s="117">
        <f>IF(ISERROR($F75/$E75*100),"x",$F75/$E75*100)</f>
        <v>89.051250863904542</v>
      </c>
      <c r="I75" s="270">
        <v>824879</v>
      </c>
      <c r="J75" s="271">
        <v>1111996</v>
      </c>
      <c r="K75" s="271">
        <v>828953</v>
      </c>
      <c r="L75" s="116">
        <f>IF(ISERROR($K75/$I75*100),"x",$K75/$I75*100)</f>
        <v>100.49389061910898</v>
      </c>
      <c r="M75" s="118">
        <f>IF(ISERROR($K75/$J75*100),"x",$K75/$J75*100)</f>
        <v>74.546401246047651</v>
      </c>
      <c r="N75" s="272">
        <f>D$75+I$75</f>
        <v>3672101</v>
      </c>
      <c r="O75" s="238">
        <f>E75+J75</f>
        <v>2829489</v>
      </c>
      <c r="P75" s="239">
        <f>F75+K75</f>
        <v>2358402</v>
      </c>
      <c r="Q75" s="116">
        <f>IF(ISERROR($P75/$N75*100),"x",$P75/$N75*100)</f>
        <v>64.224867453264494</v>
      </c>
      <c r="R75" s="117">
        <f>IF(ISERROR($P75/$O75*100),"x",$P75/$O75*100)</f>
        <v>83.350809987245043</v>
      </c>
      <c r="S75" s="164"/>
    </row>
    <row r="76" spans="1:20" x14ac:dyDescent="0.25">
      <c r="A76" s="354" t="s">
        <v>168</v>
      </c>
      <c r="B76" s="355"/>
      <c r="C76" s="356"/>
      <c r="D76" s="198"/>
      <c r="E76" s="198"/>
      <c r="F76" s="198"/>
      <c r="G76" s="197"/>
      <c r="H76" s="199"/>
      <c r="I76" s="122"/>
      <c r="J76" s="123"/>
      <c r="K76" s="123"/>
      <c r="L76" s="123"/>
      <c r="M76" s="83"/>
      <c r="N76" s="119"/>
      <c r="O76" s="86"/>
      <c r="P76" s="95"/>
      <c r="Q76" s="120"/>
      <c r="R76" s="88"/>
      <c r="S76" s="164"/>
    </row>
    <row r="77" spans="1:20" x14ac:dyDescent="0.25">
      <c r="A77" s="89" t="s">
        <v>84</v>
      </c>
      <c r="B77" s="124"/>
      <c r="C77" s="91" t="s">
        <v>96</v>
      </c>
      <c r="D77" s="95">
        <v>22700</v>
      </c>
      <c r="E77" s="95">
        <v>10368</v>
      </c>
      <c r="F77" s="95">
        <v>9550</v>
      </c>
      <c r="G77" s="92">
        <f t="shared" ref="G77:G100" si="26">IF(ISERROR($F77/$D77*100),"x",$F77/$D77*100)</f>
        <v>42.070484581497794</v>
      </c>
      <c r="H77" s="93">
        <f t="shared" ref="H77:H100" si="27">IF(ISERROR($F77/$E77*100),"x",$F77/$E77*100)</f>
        <v>92.110339506172849</v>
      </c>
      <c r="I77" s="125">
        <v>7199</v>
      </c>
      <c r="J77" s="95">
        <v>11967</v>
      </c>
      <c r="K77" s="95">
        <v>9333</v>
      </c>
      <c r="L77" s="126">
        <f t="shared" ref="L77:L91" si="28">IF(ISERROR($K77/$I77*100),"x",$K77/$I77*100)</f>
        <v>129.6430059730518</v>
      </c>
      <c r="M77" s="127">
        <f t="shared" ref="M77:M91" si="29">IF(ISERROR($K77/$J77*100),"x",$K77/$J77*100)</f>
        <v>77.989471045374785</v>
      </c>
      <c r="N77" s="191">
        <f>$D77+$I77</f>
        <v>29899</v>
      </c>
      <c r="O77" s="128">
        <f t="shared" ref="O77:O90" si="30">$E77+$J77</f>
        <v>22335</v>
      </c>
      <c r="P77" s="94">
        <f t="shared" ref="P77:P90" si="31">$F77+$K77</f>
        <v>18883</v>
      </c>
      <c r="Q77" s="92">
        <f t="shared" ref="Q77:Q91" si="32">IF(ISERROR($P77/$N77*100),"x",$P77/$N77*100)</f>
        <v>63.155958393257293</v>
      </c>
      <c r="R77" s="97">
        <f t="shared" ref="R77:R91" si="33">IF(ISERROR($P77/$O77*100),"x",$P77/$O77*100)</f>
        <v>84.54443698231475</v>
      </c>
      <c r="S77" s="164"/>
    </row>
    <row r="78" spans="1:20" x14ac:dyDescent="0.25">
      <c r="A78" s="89">
        <v>6121</v>
      </c>
      <c r="B78" s="124"/>
      <c r="C78" s="103" t="s">
        <v>88</v>
      </c>
      <c r="D78" s="180">
        <v>1544550</v>
      </c>
      <c r="E78" s="102">
        <v>1054972</v>
      </c>
      <c r="F78" s="102">
        <v>978114</v>
      </c>
      <c r="G78" s="80">
        <f t="shared" si="26"/>
        <v>63.326794211906382</v>
      </c>
      <c r="H78" s="129">
        <f t="shared" si="27"/>
        <v>92.714688162339854</v>
      </c>
      <c r="I78" s="180">
        <v>674946</v>
      </c>
      <c r="J78" s="102">
        <v>984191</v>
      </c>
      <c r="K78" s="102">
        <v>755138</v>
      </c>
      <c r="L78" s="126">
        <f t="shared" si="28"/>
        <v>111.88124679603999</v>
      </c>
      <c r="M78" s="127">
        <f t="shared" si="29"/>
        <v>76.726773563261602</v>
      </c>
      <c r="N78" s="101">
        <f>$D78+$I78</f>
        <v>2219496</v>
      </c>
      <c r="O78" s="101">
        <f t="shared" si="30"/>
        <v>2039163</v>
      </c>
      <c r="P78" s="101">
        <f t="shared" si="31"/>
        <v>1733252</v>
      </c>
      <c r="Q78" s="99">
        <f t="shared" si="32"/>
        <v>78.092143441574123</v>
      </c>
      <c r="R78" s="129">
        <f t="shared" si="33"/>
        <v>84.998207597921308</v>
      </c>
      <c r="S78" s="164"/>
    </row>
    <row r="79" spans="1:20" x14ac:dyDescent="0.25">
      <c r="A79" s="89">
        <v>6122</v>
      </c>
      <c r="B79" s="124"/>
      <c r="C79" s="103" t="s">
        <v>89</v>
      </c>
      <c r="D79" s="180">
        <v>8540</v>
      </c>
      <c r="E79" s="102">
        <v>10556</v>
      </c>
      <c r="F79" s="102">
        <v>10407</v>
      </c>
      <c r="G79" s="99">
        <f t="shared" si="26"/>
        <v>121.86182669789227</v>
      </c>
      <c r="H79" s="130">
        <f t="shared" si="27"/>
        <v>98.588480485032207</v>
      </c>
      <c r="I79" s="180">
        <v>16518</v>
      </c>
      <c r="J79" s="102">
        <v>30135</v>
      </c>
      <c r="K79" s="102">
        <v>19616</v>
      </c>
      <c r="L79" s="126">
        <f t="shared" si="28"/>
        <v>118.75529725148324</v>
      </c>
      <c r="M79" s="127">
        <f t="shared" si="29"/>
        <v>65.09374481499917</v>
      </c>
      <c r="N79" s="101">
        <f t="shared" ref="N79:N90" si="34">$D79+$I79</f>
        <v>25058</v>
      </c>
      <c r="O79" s="101">
        <f t="shared" si="30"/>
        <v>40691</v>
      </c>
      <c r="P79" s="101">
        <f t="shared" si="31"/>
        <v>30023</v>
      </c>
      <c r="Q79" s="99">
        <f t="shared" si="32"/>
        <v>119.81403144704285</v>
      </c>
      <c r="R79" s="130">
        <f t="shared" si="33"/>
        <v>73.782900395664882</v>
      </c>
      <c r="S79" s="164"/>
    </row>
    <row r="80" spans="1:20" x14ac:dyDescent="0.25">
      <c r="A80" s="89">
        <v>6123</v>
      </c>
      <c r="B80" s="124"/>
      <c r="C80" s="91" t="s">
        <v>90</v>
      </c>
      <c r="D80" s="180">
        <v>19735</v>
      </c>
      <c r="E80" s="102">
        <v>26876</v>
      </c>
      <c r="F80" s="102">
        <v>24316</v>
      </c>
      <c r="G80" s="99">
        <f t="shared" si="26"/>
        <v>123.21256650620724</v>
      </c>
      <c r="H80" s="130">
        <f t="shared" si="27"/>
        <v>90.474773031701147</v>
      </c>
      <c r="I80" s="180">
        <v>5180</v>
      </c>
      <c r="J80" s="102">
        <v>13716</v>
      </c>
      <c r="K80" s="102">
        <v>10312</v>
      </c>
      <c r="L80" s="126">
        <f t="shared" si="28"/>
        <v>199.07335907335909</v>
      </c>
      <c r="M80" s="127">
        <f t="shared" si="29"/>
        <v>75.182268883056281</v>
      </c>
      <c r="N80" s="101">
        <f t="shared" si="34"/>
        <v>24915</v>
      </c>
      <c r="O80" s="101">
        <f t="shared" si="30"/>
        <v>40592</v>
      </c>
      <c r="P80" s="101">
        <f t="shared" si="31"/>
        <v>34628</v>
      </c>
      <c r="Q80" s="99">
        <f t="shared" si="32"/>
        <v>138.98454746136866</v>
      </c>
      <c r="R80" s="130">
        <f t="shared" si="33"/>
        <v>85.307449743791892</v>
      </c>
      <c r="S80" s="164"/>
    </row>
    <row r="81" spans="1:20" x14ac:dyDescent="0.25">
      <c r="A81" s="89">
        <v>6125</v>
      </c>
      <c r="B81" s="124"/>
      <c r="C81" s="91" t="s">
        <v>91</v>
      </c>
      <c r="D81" s="180">
        <v>8500</v>
      </c>
      <c r="E81" s="102">
        <v>15576</v>
      </c>
      <c r="F81" s="102">
        <v>10893</v>
      </c>
      <c r="G81" s="99">
        <f t="shared" si="26"/>
        <v>128.15294117647059</v>
      </c>
      <c r="H81" s="130">
        <f t="shared" si="27"/>
        <v>69.934514637904471</v>
      </c>
      <c r="I81" s="180">
        <v>14855</v>
      </c>
      <c r="J81" s="102">
        <v>3688</v>
      </c>
      <c r="K81" s="102">
        <v>2666</v>
      </c>
      <c r="L81" s="126">
        <f t="shared" si="28"/>
        <v>17.946819252776844</v>
      </c>
      <c r="M81" s="127">
        <f t="shared" si="29"/>
        <v>72.288503253796094</v>
      </c>
      <c r="N81" s="101">
        <f t="shared" si="34"/>
        <v>23355</v>
      </c>
      <c r="O81" s="101">
        <f t="shared" si="30"/>
        <v>19264</v>
      </c>
      <c r="P81" s="101">
        <f t="shared" si="31"/>
        <v>13559</v>
      </c>
      <c r="Q81" s="99">
        <f t="shared" si="32"/>
        <v>58.056090772853771</v>
      </c>
      <c r="R81" s="130">
        <f t="shared" si="33"/>
        <v>70.385174418604649</v>
      </c>
      <c r="S81" s="164"/>
    </row>
    <row r="82" spans="1:20" x14ac:dyDescent="0.25">
      <c r="A82" s="89">
        <v>6130</v>
      </c>
      <c r="B82" s="124"/>
      <c r="C82" s="91" t="s">
        <v>92</v>
      </c>
      <c r="D82" s="180">
        <v>52209</v>
      </c>
      <c r="E82" s="102">
        <v>52558</v>
      </c>
      <c r="F82" s="102">
        <v>23980</v>
      </c>
      <c r="G82" s="99">
        <f t="shared" si="26"/>
        <v>45.930778218314849</v>
      </c>
      <c r="H82" s="130">
        <f t="shared" si="27"/>
        <v>45.625784847216408</v>
      </c>
      <c r="I82" s="180">
        <v>8587</v>
      </c>
      <c r="J82" s="102">
        <v>16065</v>
      </c>
      <c r="K82" s="102">
        <v>3178</v>
      </c>
      <c r="L82" s="126">
        <f t="shared" si="28"/>
        <v>37.009432863631069</v>
      </c>
      <c r="M82" s="127">
        <f t="shared" si="29"/>
        <v>19.782135076252725</v>
      </c>
      <c r="N82" s="101">
        <f t="shared" si="34"/>
        <v>60796</v>
      </c>
      <c r="O82" s="101">
        <f t="shared" si="30"/>
        <v>68623</v>
      </c>
      <c r="P82" s="101">
        <f t="shared" si="31"/>
        <v>27158</v>
      </c>
      <c r="Q82" s="99">
        <f t="shared" si="32"/>
        <v>44.670702019869729</v>
      </c>
      <c r="R82" s="130">
        <f t="shared" si="33"/>
        <v>39.575652478032147</v>
      </c>
      <c r="S82" s="164"/>
    </row>
    <row r="83" spans="1:20" x14ac:dyDescent="0.25">
      <c r="A83" s="89">
        <v>6201</v>
      </c>
      <c r="B83" s="124"/>
      <c r="C83" s="91" t="s">
        <v>93</v>
      </c>
      <c r="D83" s="180">
        <v>0</v>
      </c>
      <c r="E83" s="102">
        <v>3600</v>
      </c>
      <c r="F83" s="102">
        <v>3600</v>
      </c>
      <c r="G83" s="99" t="str">
        <f t="shared" si="26"/>
        <v>x</v>
      </c>
      <c r="H83" s="130">
        <f t="shared" si="27"/>
        <v>100</v>
      </c>
      <c r="I83" s="180">
        <v>0</v>
      </c>
      <c r="J83" s="102">
        <v>0</v>
      </c>
      <c r="K83" s="102">
        <v>0</v>
      </c>
      <c r="L83" s="126" t="str">
        <f t="shared" si="28"/>
        <v>x</v>
      </c>
      <c r="M83" s="127" t="str">
        <f t="shared" si="29"/>
        <v>x</v>
      </c>
      <c r="N83" s="101">
        <f t="shared" si="34"/>
        <v>0</v>
      </c>
      <c r="O83" s="101">
        <f t="shared" si="30"/>
        <v>3600</v>
      </c>
      <c r="P83" s="101">
        <f t="shared" si="31"/>
        <v>3600</v>
      </c>
      <c r="Q83" s="99" t="str">
        <f t="shared" si="32"/>
        <v>x</v>
      </c>
      <c r="R83" s="130">
        <f t="shared" si="33"/>
        <v>100</v>
      </c>
      <c r="S83" s="164"/>
    </row>
    <row r="84" spans="1:20" x14ac:dyDescent="0.25">
      <c r="A84" s="89">
        <v>6202</v>
      </c>
      <c r="B84" s="124"/>
      <c r="C84" s="91" t="s">
        <v>94</v>
      </c>
      <c r="D84" s="180">
        <v>0</v>
      </c>
      <c r="E84" s="102">
        <v>0</v>
      </c>
      <c r="F84" s="102">
        <v>0</v>
      </c>
      <c r="G84" s="99" t="str">
        <f t="shared" si="26"/>
        <v>x</v>
      </c>
      <c r="H84" s="130" t="str">
        <f t="shared" si="27"/>
        <v>x</v>
      </c>
      <c r="I84" s="180">
        <v>0</v>
      </c>
      <c r="J84" s="102">
        <v>0</v>
      </c>
      <c r="K84" s="102">
        <v>0</v>
      </c>
      <c r="L84" s="126" t="str">
        <f t="shared" si="28"/>
        <v>x</v>
      </c>
      <c r="M84" s="127" t="str">
        <f t="shared" si="29"/>
        <v>x</v>
      </c>
      <c r="N84" s="101">
        <f t="shared" si="34"/>
        <v>0</v>
      </c>
      <c r="O84" s="101">
        <f t="shared" si="30"/>
        <v>0</v>
      </c>
      <c r="P84" s="101">
        <f t="shared" si="31"/>
        <v>0</v>
      </c>
      <c r="Q84" s="99" t="str">
        <f t="shared" si="32"/>
        <v>x</v>
      </c>
      <c r="R84" s="130" t="str">
        <f t="shared" si="33"/>
        <v>x</v>
      </c>
      <c r="S84" s="164"/>
    </row>
    <row r="85" spans="1:20" x14ac:dyDescent="0.25">
      <c r="A85" s="89" t="s">
        <v>97</v>
      </c>
      <c r="B85" s="124"/>
      <c r="C85" s="91" t="s">
        <v>98</v>
      </c>
      <c r="D85" s="180">
        <v>180003</v>
      </c>
      <c r="E85" s="102">
        <v>207292</v>
      </c>
      <c r="F85" s="102">
        <v>207307</v>
      </c>
      <c r="G85" s="99">
        <f t="shared" si="26"/>
        <v>115.16863607828758</v>
      </c>
      <c r="H85" s="130">
        <f t="shared" si="27"/>
        <v>100.00723616926848</v>
      </c>
      <c r="I85" s="180">
        <v>0</v>
      </c>
      <c r="J85" s="102">
        <v>0</v>
      </c>
      <c r="K85" s="102">
        <v>0</v>
      </c>
      <c r="L85" s="126" t="str">
        <f t="shared" si="28"/>
        <v>x</v>
      </c>
      <c r="M85" s="127" t="str">
        <f t="shared" si="29"/>
        <v>x</v>
      </c>
      <c r="N85" s="101">
        <f t="shared" si="34"/>
        <v>180003</v>
      </c>
      <c r="O85" s="101">
        <f t="shared" si="30"/>
        <v>207292</v>
      </c>
      <c r="P85" s="101">
        <f t="shared" si="31"/>
        <v>207307</v>
      </c>
      <c r="Q85" s="99">
        <f t="shared" si="32"/>
        <v>115.16863607828758</v>
      </c>
      <c r="R85" s="130">
        <f t="shared" si="33"/>
        <v>100.00723616926848</v>
      </c>
      <c r="S85" s="164"/>
    </row>
    <row r="86" spans="1:20" x14ac:dyDescent="0.25">
      <c r="A86" s="89" t="s">
        <v>85</v>
      </c>
      <c r="B86" s="124"/>
      <c r="C86" s="103" t="s">
        <v>99</v>
      </c>
      <c r="D86" s="180">
        <v>9520</v>
      </c>
      <c r="E86" s="102">
        <v>25400</v>
      </c>
      <c r="F86" s="102">
        <v>25322</v>
      </c>
      <c r="G86" s="99">
        <f t="shared" si="26"/>
        <v>265.98739495798316</v>
      </c>
      <c r="H86" s="130">
        <f t="shared" si="27"/>
        <v>99.69291338582677</v>
      </c>
      <c r="I86" s="180">
        <v>2540</v>
      </c>
      <c r="J86" s="102">
        <v>4530</v>
      </c>
      <c r="K86" s="102">
        <v>4180</v>
      </c>
      <c r="L86" s="126">
        <f t="shared" si="28"/>
        <v>164.56692913385825</v>
      </c>
      <c r="M86" s="127">
        <f t="shared" si="29"/>
        <v>92.273730684326722</v>
      </c>
      <c r="N86" s="101">
        <f t="shared" si="34"/>
        <v>12060</v>
      </c>
      <c r="O86" s="101">
        <f t="shared" si="30"/>
        <v>29930</v>
      </c>
      <c r="P86" s="101">
        <f t="shared" si="31"/>
        <v>29502</v>
      </c>
      <c r="Q86" s="99" t="s">
        <v>9</v>
      </c>
      <c r="R86" s="130">
        <f t="shared" si="33"/>
        <v>98.569996658870693</v>
      </c>
      <c r="S86" s="164"/>
    </row>
    <row r="87" spans="1:20" x14ac:dyDescent="0.25">
      <c r="A87" s="89" t="s">
        <v>86</v>
      </c>
      <c r="B87" s="124"/>
      <c r="C87" s="91" t="s">
        <v>100</v>
      </c>
      <c r="D87" s="180">
        <v>38358</v>
      </c>
      <c r="E87" s="102">
        <v>173695</v>
      </c>
      <c r="F87" s="102">
        <v>173469</v>
      </c>
      <c r="G87" s="99">
        <f t="shared" si="26"/>
        <v>452.23682152354138</v>
      </c>
      <c r="H87" s="130">
        <f t="shared" si="27"/>
        <v>99.869886870664089</v>
      </c>
      <c r="I87" s="180">
        <v>6442</v>
      </c>
      <c r="J87" s="102">
        <v>22265</v>
      </c>
      <c r="K87" s="102">
        <v>21331</v>
      </c>
      <c r="L87" s="126">
        <f t="shared" si="28"/>
        <v>331.12387457311394</v>
      </c>
      <c r="M87" s="127">
        <f t="shared" si="29"/>
        <v>95.805075230181899</v>
      </c>
      <c r="N87" s="101">
        <f t="shared" si="34"/>
        <v>44800</v>
      </c>
      <c r="O87" s="101">
        <f t="shared" si="30"/>
        <v>195960</v>
      </c>
      <c r="P87" s="101">
        <f t="shared" si="31"/>
        <v>194800</v>
      </c>
      <c r="Q87" s="99">
        <f t="shared" si="32"/>
        <v>434.82142857142856</v>
      </c>
      <c r="R87" s="130">
        <f t="shared" si="33"/>
        <v>99.408042457644413</v>
      </c>
      <c r="S87" s="164"/>
    </row>
    <row r="88" spans="1:20" x14ac:dyDescent="0.25">
      <c r="A88" s="89" t="s">
        <v>87</v>
      </c>
      <c r="B88" s="124"/>
      <c r="C88" s="91" t="s">
        <v>95</v>
      </c>
      <c r="D88" s="180">
        <v>0</v>
      </c>
      <c r="E88" s="102">
        <v>77490</v>
      </c>
      <c r="F88" s="102">
        <v>42173</v>
      </c>
      <c r="G88" s="99" t="str">
        <f t="shared" si="26"/>
        <v>x</v>
      </c>
      <c r="H88" s="130">
        <f t="shared" si="27"/>
        <v>54.423796618918573</v>
      </c>
      <c r="I88" s="180">
        <v>206</v>
      </c>
      <c r="J88" s="102">
        <v>206</v>
      </c>
      <c r="K88" s="102">
        <v>206</v>
      </c>
      <c r="L88" s="126">
        <f t="shared" si="28"/>
        <v>100</v>
      </c>
      <c r="M88" s="127">
        <f t="shared" si="29"/>
        <v>100</v>
      </c>
      <c r="N88" s="101">
        <f t="shared" si="34"/>
        <v>206</v>
      </c>
      <c r="O88" s="101">
        <f t="shared" si="30"/>
        <v>77696</v>
      </c>
      <c r="P88" s="101">
        <f t="shared" si="31"/>
        <v>42379</v>
      </c>
      <c r="Q88" s="99">
        <f t="shared" si="32"/>
        <v>20572.330097087379</v>
      </c>
      <c r="R88" s="130">
        <f t="shared" si="33"/>
        <v>54.544635502471174</v>
      </c>
    </row>
    <row r="89" spans="1:20" x14ac:dyDescent="0.25">
      <c r="A89" s="89">
        <v>6901</v>
      </c>
      <c r="B89" s="124"/>
      <c r="C89" s="91" t="s">
        <v>101</v>
      </c>
      <c r="D89" s="180">
        <v>420353</v>
      </c>
      <c r="E89" s="102">
        <v>116</v>
      </c>
      <c r="F89" s="102">
        <v>0</v>
      </c>
      <c r="G89" s="99">
        <f t="shared" si="26"/>
        <v>0</v>
      </c>
      <c r="H89" s="130">
        <f t="shared" si="27"/>
        <v>0</v>
      </c>
      <c r="I89" s="194">
        <v>82336</v>
      </c>
      <c r="J89" s="195">
        <v>22207</v>
      </c>
      <c r="K89" s="195">
        <v>0</v>
      </c>
      <c r="L89" s="126">
        <f t="shared" si="28"/>
        <v>0</v>
      </c>
      <c r="M89" s="127">
        <f t="shared" si="29"/>
        <v>0</v>
      </c>
      <c r="N89" s="101">
        <f t="shared" si="34"/>
        <v>502689</v>
      </c>
      <c r="O89" s="101">
        <f t="shared" si="30"/>
        <v>22323</v>
      </c>
      <c r="P89" s="101">
        <f t="shared" si="31"/>
        <v>0</v>
      </c>
      <c r="Q89" s="99">
        <f t="shared" si="32"/>
        <v>0</v>
      </c>
      <c r="R89" s="130">
        <f t="shared" si="33"/>
        <v>0</v>
      </c>
    </row>
    <row r="90" spans="1:20" ht="13.8" thickBot="1" x14ac:dyDescent="0.3">
      <c r="A90" s="89">
        <v>6909</v>
      </c>
      <c r="B90" s="124"/>
      <c r="C90" s="91" t="s">
        <v>102</v>
      </c>
      <c r="D90" s="194">
        <v>520875</v>
      </c>
      <c r="E90" s="195">
        <v>28427</v>
      </c>
      <c r="F90" s="196">
        <v>0</v>
      </c>
      <c r="G90" s="80">
        <f t="shared" si="26"/>
        <v>0</v>
      </c>
      <c r="H90" s="273">
        <f t="shared" si="27"/>
        <v>0</v>
      </c>
      <c r="I90" s="194">
        <v>0</v>
      </c>
      <c r="J90" s="195">
        <v>113</v>
      </c>
      <c r="K90" s="196">
        <v>112</v>
      </c>
      <c r="L90" s="80" t="str">
        <f t="shared" si="28"/>
        <v>x</v>
      </c>
      <c r="M90" s="131">
        <f t="shared" si="29"/>
        <v>99.115044247787608</v>
      </c>
      <c r="N90" s="95">
        <f t="shared" si="34"/>
        <v>520875</v>
      </c>
      <c r="O90" s="95">
        <f t="shared" si="30"/>
        <v>28540</v>
      </c>
      <c r="P90" s="95">
        <f t="shared" si="31"/>
        <v>112</v>
      </c>
      <c r="Q90" s="80">
        <f t="shared" si="32"/>
        <v>2.150227981761459E-2</v>
      </c>
      <c r="R90" s="129">
        <f t="shared" si="33"/>
        <v>0.39243167484232661</v>
      </c>
      <c r="T90" s="27"/>
    </row>
    <row r="91" spans="1:20" ht="26.1" customHeight="1" thickBot="1" x14ac:dyDescent="0.3">
      <c r="A91" s="357" t="s">
        <v>169</v>
      </c>
      <c r="B91" s="358"/>
      <c r="C91" s="359"/>
      <c r="D91" s="301">
        <f>D$53+D$75</f>
        <v>10400173</v>
      </c>
      <c r="E91" s="301">
        <f>E$53+E$75</f>
        <v>9951129</v>
      </c>
      <c r="F91" s="301">
        <f>F$53+F$75</f>
        <v>9364679</v>
      </c>
      <c r="G91" s="310">
        <f t="shared" si="26"/>
        <v>90.04349254574899</v>
      </c>
      <c r="H91" s="311">
        <f t="shared" si="27"/>
        <v>94.106698847939768</v>
      </c>
      <c r="I91" s="301">
        <f>I$53+I$75</f>
        <v>3608293</v>
      </c>
      <c r="J91" s="309">
        <f>J$53+J$75</f>
        <v>4456100</v>
      </c>
      <c r="K91" s="302">
        <f>K$53+K$75</f>
        <v>3701605</v>
      </c>
      <c r="L91" s="310">
        <f t="shared" si="28"/>
        <v>102.586042763157</v>
      </c>
      <c r="M91" s="312">
        <f t="shared" si="29"/>
        <v>83.068265972487154</v>
      </c>
      <c r="N91" s="308">
        <f>N$53+N$75</f>
        <v>12323879</v>
      </c>
      <c r="O91" s="309">
        <f>O$53+O$75</f>
        <v>12603511</v>
      </c>
      <c r="P91" s="302">
        <f>P$53+P$75</f>
        <v>11275621</v>
      </c>
      <c r="Q91" s="310">
        <f t="shared" si="32"/>
        <v>91.494090456422043</v>
      </c>
      <c r="R91" s="311">
        <f t="shared" si="33"/>
        <v>89.46412630575719</v>
      </c>
      <c r="T91" s="28">
        <f>P91-K91-F91</f>
        <v>-1790663</v>
      </c>
    </row>
    <row r="92" spans="1:20" ht="26.1" customHeight="1" thickBot="1" x14ac:dyDescent="0.3">
      <c r="A92" s="360" t="s">
        <v>11</v>
      </c>
      <c r="B92" s="347"/>
      <c r="C92" s="348"/>
      <c r="D92" s="132">
        <f>D$52-D$91</f>
        <v>-1333769</v>
      </c>
      <c r="E92" s="133">
        <f>E$52-E$91</f>
        <v>143328</v>
      </c>
      <c r="F92" s="134">
        <f>F$52-F$91</f>
        <v>916238</v>
      </c>
      <c r="G92" s="135" t="s">
        <v>9</v>
      </c>
      <c r="H92" s="136" t="s">
        <v>9</v>
      </c>
      <c r="I92" s="132">
        <f>I$52-I$91</f>
        <v>-517139</v>
      </c>
      <c r="J92" s="133">
        <f>J$52-J$91</f>
        <v>-976778</v>
      </c>
      <c r="K92" s="134">
        <f>K$52-K$91</f>
        <v>-126398</v>
      </c>
      <c r="L92" s="135" t="s">
        <v>9</v>
      </c>
      <c r="M92" s="137" t="s">
        <v>9</v>
      </c>
      <c r="N92" s="138">
        <f>N$52-N$91</f>
        <v>-1850908</v>
      </c>
      <c r="O92" s="138">
        <f>E92+J92</f>
        <v>-833450</v>
      </c>
      <c r="P92" s="138">
        <f>F92+K92</f>
        <v>789840</v>
      </c>
      <c r="Q92" s="135" t="s">
        <v>9</v>
      </c>
      <c r="R92" s="136" t="s">
        <v>9</v>
      </c>
      <c r="T92" s="28"/>
    </row>
    <row r="93" spans="1:20" ht="26.1" customHeight="1" thickBot="1" x14ac:dyDescent="0.3">
      <c r="A93" s="361" t="s">
        <v>170</v>
      </c>
      <c r="B93" s="362"/>
      <c r="C93" s="363"/>
      <c r="D93" s="313">
        <f>D95+D101+D102+D103</f>
        <v>1333769</v>
      </c>
      <c r="E93" s="314">
        <f t="shared" ref="E93" si="35">E95+E101+E102+E103</f>
        <v>-143328</v>
      </c>
      <c r="F93" s="315">
        <f>F95+F101+F102+F103</f>
        <v>-916238</v>
      </c>
      <c r="G93" s="316" t="s">
        <v>9</v>
      </c>
      <c r="H93" s="317" t="s">
        <v>9</v>
      </c>
      <c r="I93" s="318">
        <f>I95+I101+I102+I103</f>
        <v>517139</v>
      </c>
      <c r="J93" s="318">
        <f t="shared" ref="J93:K93" si="36">J95+J101+J102+J103</f>
        <v>976778</v>
      </c>
      <c r="K93" s="318">
        <f t="shared" si="36"/>
        <v>126398</v>
      </c>
      <c r="L93" s="316" t="s">
        <v>9</v>
      </c>
      <c r="M93" s="319" t="s">
        <v>9</v>
      </c>
      <c r="N93" s="320">
        <f>D$93+I$93</f>
        <v>1850908</v>
      </c>
      <c r="O93" s="302">
        <f>E$93+J$93</f>
        <v>833450</v>
      </c>
      <c r="P93" s="321">
        <f>F$93+K$93</f>
        <v>-789840</v>
      </c>
      <c r="Q93" s="316" t="s">
        <v>9</v>
      </c>
      <c r="R93" s="317" t="s">
        <v>9</v>
      </c>
    </row>
    <row r="94" spans="1:20" x14ac:dyDescent="0.25">
      <c r="A94" s="364" t="s">
        <v>171</v>
      </c>
      <c r="B94" s="365"/>
      <c r="C94" s="366"/>
      <c r="D94" s="139"/>
      <c r="E94" s="140" t="s">
        <v>0</v>
      </c>
      <c r="F94" s="140"/>
      <c r="G94" s="120"/>
      <c r="H94" s="121"/>
      <c r="I94" s="139"/>
      <c r="J94" s="140"/>
      <c r="K94" s="140"/>
      <c r="L94" s="120"/>
      <c r="M94" s="141"/>
      <c r="N94" s="142"/>
      <c r="O94" s="140"/>
      <c r="P94" s="140"/>
      <c r="Q94" s="120"/>
      <c r="R94" s="121"/>
    </row>
    <row r="95" spans="1:20" x14ac:dyDescent="0.25">
      <c r="A95" s="143" t="s">
        <v>103</v>
      </c>
      <c r="B95" s="124"/>
      <c r="C95" s="144" t="s">
        <v>108</v>
      </c>
      <c r="D95" s="274">
        <f>SUM(D$96:D$100)</f>
        <v>1635269</v>
      </c>
      <c r="E95" s="274">
        <f>SUM(E$96:E$100)</f>
        <v>158172</v>
      </c>
      <c r="F95" s="274">
        <f>SUM(F$96:F$100)</f>
        <v>-690039</v>
      </c>
      <c r="G95" s="145" t="s">
        <v>9</v>
      </c>
      <c r="H95" s="146" t="s">
        <v>9</v>
      </c>
      <c r="I95" s="147">
        <f>SUM(I$98:I$100)</f>
        <v>533929</v>
      </c>
      <c r="J95" s="148">
        <f>SUM(J$98:J$100)</f>
        <v>864568</v>
      </c>
      <c r="K95" s="149">
        <f>SUM(K$98:K$100)</f>
        <v>12915</v>
      </c>
      <c r="L95" s="145" t="s">
        <v>9</v>
      </c>
      <c r="M95" s="150" t="s">
        <v>9</v>
      </c>
      <c r="N95" s="119">
        <f t="shared" ref="N95:N103" si="37">$D95+$I95</f>
        <v>2169198</v>
      </c>
      <c r="O95" s="149">
        <f>$E95+$J95</f>
        <v>1022740</v>
      </c>
      <c r="P95" s="149">
        <f>$F95+$K95</f>
        <v>-677124</v>
      </c>
      <c r="Q95" s="80" t="s">
        <v>9</v>
      </c>
      <c r="R95" s="146" t="s">
        <v>9</v>
      </c>
    </row>
    <row r="96" spans="1:20" x14ac:dyDescent="0.25">
      <c r="A96" s="151" t="s">
        <v>104</v>
      </c>
      <c r="B96" s="124"/>
      <c r="C96" s="152" t="s">
        <v>114</v>
      </c>
      <c r="D96" s="275">
        <v>0</v>
      </c>
      <c r="E96" s="276">
        <v>0</v>
      </c>
      <c r="F96" s="276">
        <v>0</v>
      </c>
      <c r="G96" s="92" t="s">
        <v>9</v>
      </c>
      <c r="H96" s="97" t="s">
        <v>9</v>
      </c>
      <c r="I96" s="153">
        <v>0</v>
      </c>
      <c r="J96" s="154">
        <v>0</v>
      </c>
      <c r="K96" s="155">
        <v>0</v>
      </c>
      <c r="L96" s="126" t="s">
        <v>9</v>
      </c>
      <c r="M96" s="127" t="s">
        <v>9</v>
      </c>
      <c r="N96" s="128">
        <f t="shared" si="37"/>
        <v>0</v>
      </c>
      <c r="O96" s="155">
        <f t="shared" ref="O96:O103" si="38">$E96+$J96</f>
        <v>0</v>
      </c>
      <c r="P96" s="155">
        <f t="shared" ref="P96:P103" si="39">$F96+$K96</f>
        <v>0</v>
      </c>
      <c r="Q96" s="92" t="s">
        <v>9</v>
      </c>
      <c r="R96" s="93" t="s">
        <v>9</v>
      </c>
    </row>
    <row r="97" spans="1:21" x14ac:dyDescent="0.25">
      <c r="A97" s="151"/>
      <c r="B97" s="124"/>
      <c r="C97" s="152" t="s">
        <v>118</v>
      </c>
      <c r="D97" s="277">
        <v>0</v>
      </c>
      <c r="E97" s="278">
        <v>0</v>
      </c>
      <c r="F97" s="278">
        <v>0</v>
      </c>
      <c r="G97" s="92" t="s">
        <v>9</v>
      </c>
      <c r="H97" s="97" t="s">
        <v>9</v>
      </c>
      <c r="I97" s="153">
        <v>0</v>
      </c>
      <c r="J97" s="154">
        <v>0</v>
      </c>
      <c r="K97" s="155">
        <v>0</v>
      </c>
      <c r="L97" s="126" t="s">
        <v>9</v>
      </c>
      <c r="M97" s="127" t="s">
        <v>9</v>
      </c>
      <c r="N97" s="128">
        <f t="shared" si="37"/>
        <v>0</v>
      </c>
      <c r="O97" s="155">
        <f t="shared" si="38"/>
        <v>0</v>
      </c>
      <c r="P97" s="155">
        <f t="shared" si="39"/>
        <v>0</v>
      </c>
      <c r="Q97" s="126" t="s">
        <v>9</v>
      </c>
      <c r="R97" s="97" t="s">
        <v>9</v>
      </c>
    </row>
    <row r="98" spans="1:21" x14ac:dyDescent="0.25">
      <c r="A98" s="151"/>
      <c r="B98" s="124"/>
      <c r="C98" s="152" t="s">
        <v>115</v>
      </c>
      <c r="D98" s="279">
        <v>1635269</v>
      </c>
      <c r="E98" s="280">
        <v>158172</v>
      </c>
      <c r="F98" s="105">
        <v>-700039</v>
      </c>
      <c r="G98" s="92" t="s">
        <v>9</v>
      </c>
      <c r="H98" s="97" t="s">
        <v>9</v>
      </c>
      <c r="I98" s="104">
        <v>533929</v>
      </c>
      <c r="J98" s="105">
        <v>864568</v>
      </c>
      <c r="K98" s="105">
        <v>12915</v>
      </c>
      <c r="L98" s="126" t="s">
        <v>9</v>
      </c>
      <c r="M98" s="127" t="s">
        <v>9</v>
      </c>
      <c r="N98" s="128">
        <f t="shared" si="37"/>
        <v>2169198</v>
      </c>
      <c r="O98" s="155">
        <f t="shared" si="38"/>
        <v>1022740</v>
      </c>
      <c r="P98" s="155">
        <f t="shared" si="39"/>
        <v>-687124</v>
      </c>
      <c r="Q98" s="126" t="s">
        <v>9</v>
      </c>
      <c r="R98" s="97" t="s">
        <v>9</v>
      </c>
    </row>
    <row r="99" spans="1:21" x14ac:dyDescent="0.25">
      <c r="A99" s="151"/>
      <c r="B99" s="124"/>
      <c r="C99" s="103" t="s">
        <v>109</v>
      </c>
      <c r="D99" s="281">
        <v>0</v>
      </c>
      <c r="E99" s="282">
        <v>0</v>
      </c>
      <c r="F99" s="106">
        <v>17720000</v>
      </c>
      <c r="G99" s="92" t="str">
        <f t="shared" si="26"/>
        <v>x</v>
      </c>
      <c r="H99" s="97" t="str">
        <f t="shared" si="27"/>
        <v>x</v>
      </c>
      <c r="I99" s="98">
        <v>0</v>
      </c>
      <c r="J99" s="106">
        <v>0</v>
      </c>
      <c r="K99" s="106">
        <v>0</v>
      </c>
      <c r="L99" s="126" t="s">
        <v>9</v>
      </c>
      <c r="M99" s="127" t="s">
        <v>9</v>
      </c>
      <c r="N99" s="128">
        <f t="shared" si="37"/>
        <v>0</v>
      </c>
      <c r="O99" s="102">
        <f t="shared" si="38"/>
        <v>0</v>
      </c>
      <c r="P99" s="102">
        <f t="shared" si="39"/>
        <v>17720000</v>
      </c>
      <c r="Q99" s="99" t="s">
        <v>9</v>
      </c>
      <c r="R99" s="130" t="s">
        <v>9</v>
      </c>
    </row>
    <row r="100" spans="1:21" x14ac:dyDescent="0.25">
      <c r="A100" s="151"/>
      <c r="B100" s="124"/>
      <c r="C100" s="107" t="s">
        <v>110</v>
      </c>
      <c r="D100" s="281">
        <v>0</v>
      </c>
      <c r="E100" s="282">
        <v>0</v>
      </c>
      <c r="F100" s="106">
        <v>-17710000</v>
      </c>
      <c r="G100" s="92" t="str">
        <f t="shared" si="26"/>
        <v>x</v>
      </c>
      <c r="H100" s="97" t="str">
        <f t="shared" si="27"/>
        <v>x</v>
      </c>
      <c r="I100" s="98">
        <v>0</v>
      </c>
      <c r="J100" s="106">
        <v>0</v>
      </c>
      <c r="K100" s="106">
        <v>0</v>
      </c>
      <c r="L100" s="126" t="s">
        <v>9</v>
      </c>
      <c r="M100" s="127" t="s">
        <v>9</v>
      </c>
      <c r="N100" s="128">
        <f t="shared" si="37"/>
        <v>0</v>
      </c>
      <c r="O100" s="102">
        <f t="shared" si="38"/>
        <v>0</v>
      </c>
      <c r="P100" s="102">
        <f t="shared" si="39"/>
        <v>-17710000</v>
      </c>
      <c r="Q100" s="99" t="s">
        <v>9</v>
      </c>
      <c r="R100" s="130" t="s">
        <v>9</v>
      </c>
    </row>
    <row r="101" spans="1:21" x14ac:dyDescent="0.25">
      <c r="A101" s="151" t="s">
        <v>105</v>
      </c>
      <c r="B101" s="124"/>
      <c r="C101" s="103" t="s">
        <v>111</v>
      </c>
      <c r="D101" s="259">
        <v>-1500</v>
      </c>
      <c r="E101" s="259">
        <v>-1500</v>
      </c>
      <c r="F101" s="106">
        <f>-1500+80000</f>
        <v>78500</v>
      </c>
      <c r="G101" s="92" t="s">
        <v>9</v>
      </c>
      <c r="H101" s="97" t="s">
        <v>9</v>
      </c>
      <c r="I101" s="98">
        <v>-16790</v>
      </c>
      <c r="J101" s="106">
        <f>129000-16790</f>
        <v>112210</v>
      </c>
      <c r="K101" s="106">
        <f>134188-16663</f>
        <v>117525</v>
      </c>
      <c r="L101" s="126" t="s">
        <v>9</v>
      </c>
      <c r="M101" s="127" t="s">
        <v>9</v>
      </c>
      <c r="N101" s="128">
        <f t="shared" si="37"/>
        <v>-18290</v>
      </c>
      <c r="O101" s="102">
        <f t="shared" si="38"/>
        <v>110710</v>
      </c>
      <c r="P101" s="102">
        <f t="shared" si="39"/>
        <v>196025</v>
      </c>
      <c r="Q101" s="99" t="s">
        <v>9</v>
      </c>
      <c r="R101" s="130" t="s">
        <v>9</v>
      </c>
    </row>
    <row r="102" spans="1:21" x14ac:dyDescent="0.25">
      <c r="A102" s="151" t="s">
        <v>106</v>
      </c>
      <c r="B102" s="124"/>
      <c r="C102" s="91" t="s">
        <v>112</v>
      </c>
      <c r="D102" s="259">
        <v>-300000</v>
      </c>
      <c r="E102" s="106">
        <v>-300000</v>
      </c>
      <c r="F102" s="106">
        <v>-300000</v>
      </c>
      <c r="G102" s="92" t="s">
        <v>9</v>
      </c>
      <c r="H102" s="97" t="s">
        <v>9</v>
      </c>
      <c r="I102" s="98">
        <v>0</v>
      </c>
      <c r="J102" s="106">
        <v>0</v>
      </c>
      <c r="K102" s="106">
        <v>0</v>
      </c>
      <c r="L102" s="126" t="s">
        <v>9</v>
      </c>
      <c r="M102" s="127" t="s">
        <v>9</v>
      </c>
      <c r="N102" s="128">
        <f t="shared" si="37"/>
        <v>-300000</v>
      </c>
      <c r="O102" s="102">
        <f t="shared" si="38"/>
        <v>-300000</v>
      </c>
      <c r="P102" s="102" t="s">
        <v>0</v>
      </c>
      <c r="Q102" s="99" t="s">
        <v>9</v>
      </c>
      <c r="R102" s="130" t="s">
        <v>9</v>
      </c>
    </row>
    <row r="103" spans="1:21" ht="13.8" thickBot="1" x14ac:dyDescent="0.3">
      <c r="A103" s="151" t="s">
        <v>107</v>
      </c>
      <c r="B103" s="124"/>
      <c r="C103" s="103" t="s">
        <v>113</v>
      </c>
      <c r="D103" s="283">
        <v>0</v>
      </c>
      <c r="E103" s="284">
        <v>0</v>
      </c>
      <c r="F103" s="112">
        <f>-4694-5</f>
        <v>-4699</v>
      </c>
      <c r="G103" s="156" t="s">
        <v>9</v>
      </c>
      <c r="H103" s="157" t="s">
        <v>9</v>
      </c>
      <c r="I103" s="115">
        <v>0</v>
      </c>
      <c r="J103" s="112">
        <v>0</v>
      </c>
      <c r="K103" s="112">
        <v>-4042</v>
      </c>
      <c r="L103" s="156" t="s">
        <v>9</v>
      </c>
      <c r="M103" s="158" t="s">
        <v>9</v>
      </c>
      <c r="N103" s="128">
        <f t="shared" si="37"/>
        <v>0</v>
      </c>
      <c r="O103" s="149">
        <f t="shared" si="38"/>
        <v>0</v>
      </c>
      <c r="P103" s="149">
        <f t="shared" si="39"/>
        <v>-8741</v>
      </c>
      <c r="Q103" s="156" t="s">
        <v>9</v>
      </c>
      <c r="R103" s="157" t="s">
        <v>9</v>
      </c>
    </row>
    <row r="104" spans="1:21" ht="13.8" thickBot="1" x14ac:dyDescent="0.3">
      <c r="A104" s="346" t="s">
        <v>12</v>
      </c>
      <c r="B104" s="347"/>
      <c r="C104" s="348"/>
      <c r="D104" s="285">
        <v>0</v>
      </c>
      <c r="E104" s="285">
        <v>0</v>
      </c>
      <c r="F104" s="159">
        <v>0</v>
      </c>
      <c r="G104" s="116" t="s">
        <v>9</v>
      </c>
      <c r="H104" s="117" t="s">
        <v>9</v>
      </c>
      <c r="I104" s="159">
        <v>0</v>
      </c>
      <c r="J104" s="159">
        <v>0</v>
      </c>
      <c r="K104" s="159">
        <v>0</v>
      </c>
      <c r="L104" s="116" t="s">
        <v>9</v>
      </c>
      <c r="M104" s="118" t="s">
        <v>9</v>
      </c>
      <c r="N104" s="160">
        <v>0</v>
      </c>
      <c r="O104" s="160">
        <v>0</v>
      </c>
      <c r="P104" s="160">
        <v>0</v>
      </c>
      <c r="Q104" s="116" t="s">
        <v>9</v>
      </c>
      <c r="R104" s="117" t="s">
        <v>9</v>
      </c>
    </row>
    <row r="105" spans="1:21" ht="20.25" customHeight="1" x14ac:dyDescent="0.25">
      <c r="A105" s="349" t="s">
        <v>173</v>
      </c>
      <c r="B105" s="350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27"/>
      <c r="T105" s="27"/>
      <c r="U105" s="27"/>
    </row>
    <row r="106" spans="1:21" x14ac:dyDescent="0.25">
      <c r="A106" s="161"/>
      <c r="B106" s="161"/>
      <c r="C106" s="124"/>
      <c r="D106" s="162"/>
      <c r="E106" s="162"/>
      <c r="F106" s="162"/>
      <c r="G106" s="162"/>
      <c r="H106" s="163"/>
      <c r="I106" s="164"/>
      <c r="J106" s="164"/>
      <c r="K106" s="164"/>
      <c r="L106" s="164"/>
      <c r="M106" s="164"/>
      <c r="N106" s="164"/>
      <c r="O106" s="124"/>
      <c r="P106" s="124"/>
      <c r="Q106" s="165"/>
      <c r="R106" s="164"/>
    </row>
    <row r="107" spans="1:21" x14ac:dyDescent="0.25">
      <c r="A107" s="161"/>
      <c r="B107" s="161"/>
      <c r="C107" s="166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4"/>
      <c r="R107" s="164"/>
    </row>
    <row r="108" spans="1:21" x14ac:dyDescent="0.25">
      <c r="A108" s="161"/>
      <c r="B108" s="161"/>
      <c r="C108" s="164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4"/>
      <c r="R108" s="164"/>
    </row>
    <row r="109" spans="1:21" x14ac:dyDescent="0.25">
      <c r="A109" s="161"/>
      <c r="B109" s="161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</row>
  </sheetData>
  <sheetProtection selectLockedCells="1"/>
  <mergeCells count="36">
    <mergeCell ref="A1:R1"/>
    <mergeCell ref="A4:C6"/>
    <mergeCell ref="D4:H4"/>
    <mergeCell ref="I4:M4"/>
    <mergeCell ref="N4:R4"/>
    <mergeCell ref="D5:E5"/>
    <mergeCell ref="F5:F6"/>
    <mergeCell ref="G5:H5"/>
    <mergeCell ref="I5:J5"/>
    <mergeCell ref="L5:M5"/>
    <mergeCell ref="P5:P6"/>
    <mergeCell ref="Q5:R5"/>
    <mergeCell ref="A2:R2"/>
    <mergeCell ref="A40:C40"/>
    <mergeCell ref="A93:C93"/>
    <mergeCell ref="A94:C94"/>
    <mergeCell ref="A52:C52"/>
    <mergeCell ref="A53:C53"/>
    <mergeCell ref="A54:C54"/>
    <mergeCell ref="A41:C41"/>
    <mergeCell ref="A104:C104"/>
    <mergeCell ref="A105:R105"/>
    <mergeCell ref="A75:C75"/>
    <mergeCell ref="A76:C76"/>
    <mergeCell ref="A91:C91"/>
    <mergeCell ref="A92:C92"/>
    <mergeCell ref="A38:C38"/>
    <mergeCell ref="K5:K6"/>
    <mergeCell ref="A9:C9"/>
    <mergeCell ref="A10:C10"/>
    <mergeCell ref="A22:C22"/>
    <mergeCell ref="A23:C23"/>
    <mergeCell ref="A34:C34"/>
    <mergeCell ref="A7:C7"/>
    <mergeCell ref="A8:C8"/>
    <mergeCell ref="A33:C33"/>
  </mergeCells>
  <printOptions horizontalCentered="1"/>
  <pageMargins left="0.39370078740157483" right="0.39370078740157483" top="0.39370078740157483" bottom="0.39370078740157483" header="0.51181102362204722" footer="0.31496062992125984"/>
  <pageSetup paperSize="9" scale="83" fitToHeight="0" orientation="landscape" r:id="rId1"/>
  <headerFooter differentFirst="1" alignWithMargins="0">
    <oddFooter>&amp;C&amp;P/&amp;N</oddFooter>
    <firstHeader>&amp;RPříloha č. 2</firstHeader>
    <firstFooter>&amp;C&amp;P/&amp;N</firstFooter>
  </headerFooter>
  <rowBreaks count="2" manualBreakCount="2">
    <brk id="39" max="17" man="1"/>
    <brk id="7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4"/>
  <sheetViews>
    <sheetView showGridLines="0" view="pageBreakPreview" zoomScale="60" zoomScaleNormal="120" workbookViewId="0">
      <pane xSplit="1" topLeftCell="E1" activePane="topRight" state="frozen"/>
      <selection activeCell="A9" sqref="A9"/>
      <selection pane="topRight" activeCell="R20" sqref="R20"/>
    </sheetView>
  </sheetViews>
  <sheetFormatPr defaultColWidth="9.109375" defaultRowHeight="13.8" x14ac:dyDescent="0.3"/>
  <cols>
    <col min="1" max="1" width="32.33203125" style="1" customWidth="1"/>
    <col min="2" max="2" width="38.44140625" style="2" bestFit="1" customWidth="1"/>
    <col min="3" max="3" width="39.44140625" style="2" bestFit="1" customWidth="1"/>
    <col min="4" max="4" width="43.5546875" style="2" customWidth="1"/>
    <col min="5" max="5" width="2.33203125" style="2" customWidth="1"/>
    <col min="6" max="7" width="36.88671875" style="2" bestFit="1" customWidth="1"/>
    <col min="8" max="8" width="36.88671875" style="2" customWidth="1"/>
    <col min="9" max="9" width="2.33203125" style="2" customWidth="1"/>
    <col min="10" max="12" width="16" style="2" hidden="1" customWidth="1"/>
    <col min="13" max="13" width="2.33203125" style="2" hidden="1" customWidth="1"/>
    <col min="14" max="15" width="39.44140625" style="2" bestFit="1" customWidth="1"/>
    <col min="16" max="16" width="42.6640625" style="2" customWidth="1"/>
    <col min="17" max="17" width="2.33203125" style="3" customWidth="1"/>
    <col min="18" max="18" width="40.6640625" style="3" customWidth="1"/>
    <col min="19" max="19" width="41" style="3" customWidth="1"/>
    <col min="20" max="20" width="52.109375" style="3" customWidth="1"/>
    <col min="21" max="21" width="9.109375" style="3"/>
    <col min="22" max="22" width="13.44140625" style="3" bestFit="1" customWidth="1"/>
    <col min="23" max="16384" width="9.109375" style="3"/>
  </cols>
  <sheetData>
    <row r="2" spans="1:22" ht="31.8" thickBot="1" x14ac:dyDescent="0.6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31"/>
      <c r="S2" s="31"/>
      <c r="T2" s="31"/>
    </row>
    <row r="3" spans="1:22" ht="31.2" x14ac:dyDescent="0.6">
      <c r="A3" s="29"/>
      <c r="B3" s="396" t="s">
        <v>119</v>
      </c>
      <c r="C3" s="397"/>
      <c r="D3" s="398"/>
      <c r="E3" s="30"/>
      <c r="F3" s="396" t="s">
        <v>120</v>
      </c>
      <c r="G3" s="397"/>
      <c r="H3" s="398"/>
      <c r="I3" s="30"/>
      <c r="J3" s="396" t="s">
        <v>121</v>
      </c>
      <c r="K3" s="397"/>
      <c r="L3" s="398"/>
      <c r="M3" s="30"/>
      <c r="N3" s="396" t="s">
        <v>122</v>
      </c>
      <c r="O3" s="397"/>
      <c r="P3" s="398"/>
      <c r="Q3" s="31"/>
      <c r="R3" s="396" t="s">
        <v>123</v>
      </c>
      <c r="S3" s="397"/>
      <c r="T3" s="398"/>
    </row>
    <row r="4" spans="1:22" ht="31.8" thickBot="1" x14ac:dyDescent="0.65">
      <c r="A4" s="32"/>
      <c r="B4" s="33" t="s">
        <v>124</v>
      </c>
      <c r="C4" s="34" t="s">
        <v>125</v>
      </c>
      <c r="D4" s="35" t="s">
        <v>126</v>
      </c>
      <c r="E4" s="36"/>
      <c r="F4" s="33" t="s">
        <v>124</v>
      </c>
      <c r="G4" s="37" t="s">
        <v>125</v>
      </c>
      <c r="H4" s="38" t="s">
        <v>126</v>
      </c>
      <c r="I4" s="36"/>
      <c r="J4" s="39" t="s">
        <v>124</v>
      </c>
      <c r="K4" s="37" t="s">
        <v>125</v>
      </c>
      <c r="L4" s="38" t="s">
        <v>126</v>
      </c>
      <c r="M4" s="36"/>
      <c r="N4" s="39" t="s">
        <v>124</v>
      </c>
      <c r="O4" s="37" t="s">
        <v>125</v>
      </c>
      <c r="P4" s="38" t="s">
        <v>126</v>
      </c>
      <c r="Q4" s="31"/>
      <c r="R4" s="39" t="s">
        <v>124</v>
      </c>
      <c r="S4" s="37" t="s">
        <v>125</v>
      </c>
      <c r="T4" s="38" t="s">
        <v>126</v>
      </c>
    </row>
    <row r="5" spans="1:22" ht="31.2" x14ac:dyDescent="0.6">
      <c r="A5" s="40" t="s">
        <v>127</v>
      </c>
      <c r="B5" s="41">
        <v>8064427000</v>
      </c>
      <c r="C5" s="42">
        <v>8244538000</v>
      </c>
      <c r="D5" s="43">
        <v>8360359381.5200005</v>
      </c>
      <c r="E5" s="30"/>
      <c r="F5" s="41">
        <v>301261000</v>
      </c>
      <c r="G5" s="42">
        <v>275176000</v>
      </c>
      <c r="H5" s="43">
        <v>285220542.75</v>
      </c>
      <c r="I5" s="30"/>
      <c r="J5" s="44"/>
      <c r="K5" s="45"/>
      <c r="L5" s="46"/>
      <c r="M5" s="30"/>
      <c r="N5" s="41">
        <v>8365688000</v>
      </c>
      <c r="O5" s="42">
        <v>8519714000</v>
      </c>
      <c r="P5" s="43">
        <v>8645579924.2700005</v>
      </c>
      <c r="Q5" s="31"/>
      <c r="R5" s="44">
        <f>N5-F5-B5</f>
        <v>0</v>
      </c>
      <c r="S5" s="44">
        <f t="shared" ref="S5:T11" si="0">O5-C5-G5</f>
        <v>0</v>
      </c>
      <c r="T5" s="46">
        <f t="shared" si="0"/>
        <v>0</v>
      </c>
    </row>
    <row r="6" spans="1:22" ht="31.2" x14ac:dyDescent="0.6">
      <c r="A6" s="47" t="s">
        <v>128</v>
      </c>
      <c r="B6" s="48">
        <v>518455000</v>
      </c>
      <c r="C6" s="49">
        <v>647146000</v>
      </c>
      <c r="D6" s="50">
        <v>766521026.23000002</v>
      </c>
      <c r="E6" s="30"/>
      <c r="F6" s="48">
        <v>902334000</v>
      </c>
      <c r="G6" s="49">
        <v>924077000</v>
      </c>
      <c r="H6" s="50">
        <v>995989187.12</v>
      </c>
      <c r="I6" s="30"/>
      <c r="J6" s="51"/>
      <c r="K6" s="52"/>
      <c r="L6" s="53"/>
      <c r="M6" s="30"/>
      <c r="N6" s="41">
        <v>1420789000</v>
      </c>
      <c r="O6" s="42">
        <v>1571223000</v>
      </c>
      <c r="P6" s="43">
        <v>1762510213.3499999</v>
      </c>
      <c r="Q6" s="31"/>
      <c r="R6" s="44">
        <f>N6-B6-F6</f>
        <v>0</v>
      </c>
      <c r="S6" s="45">
        <f t="shared" si="0"/>
        <v>0</v>
      </c>
      <c r="T6" s="46">
        <f t="shared" si="0"/>
        <v>0</v>
      </c>
    </row>
    <row r="7" spans="1:22" ht="31.2" x14ac:dyDescent="0.6">
      <c r="A7" s="47" t="s">
        <v>129</v>
      </c>
      <c r="B7" s="51">
        <f>B5+B6</f>
        <v>8582882000</v>
      </c>
      <c r="C7" s="52">
        <f>C5+C6</f>
        <v>8891684000</v>
      </c>
      <c r="D7" s="53">
        <f>D5+D6</f>
        <v>9126880407.75</v>
      </c>
      <c r="E7" s="30"/>
      <c r="F7" s="51">
        <f>F5+F6</f>
        <v>1203595000</v>
      </c>
      <c r="G7" s="52">
        <f>G5+G6</f>
        <v>1199253000</v>
      </c>
      <c r="H7" s="53">
        <f>H5+H6</f>
        <v>1281209729.8699999</v>
      </c>
      <c r="I7" s="30"/>
      <c r="J7" s="51"/>
      <c r="K7" s="52"/>
      <c r="L7" s="53"/>
      <c r="M7" s="30"/>
      <c r="N7" s="44">
        <f>N5+N6</f>
        <v>9786477000</v>
      </c>
      <c r="O7" s="45">
        <f>O5+O6</f>
        <v>10090937000</v>
      </c>
      <c r="P7" s="46">
        <f>P5+P6</f>
        <v>10408090137.620001</v>
      </c>
      <c r="Q7" s="31"/>
      <c r="R7" s="44">
        <f>N7-F7-B7</f>
        <v>0</v>
      </c>
      <c r="S7" s="45">
        <f t="shared" si="0"/>
        <v>0</v>
      </c>
      <c r="T7" s="46">
        <f t="shared" si="0"/>
        <v>0</v>
      </c>
    </row>
    <row r="8" spans="1:22" ht="31.2" x14ac:dyDescent="0.6">
      <c r="A8" s="47" t="s">
        <v>130</v>
      </c>
      <c r="B8" s="48">
        <v>334125000</v>
      </c>
      <c r="C8" s="48">
        <v>387685000</v>
      </c>
      <c r="D8" s="50">
        <v>336102028.77999997</v>
      </c>
      <c r="E8" s="30"/>
      <c r="F8" s="48">
        <v>38548000</v>
      </c>
      <c r="G8" s="49">
        <v>24195000</v>
      </c>
      <c r="H8" s="50">
        <v>56598009.280000001</v>
      </c>
      <c r="I8" s="30"/>
      <c r="J8" s="51"/>
      <c r="K8" s="52"/>
      <c r="L8" s="53"/>
      <c r="M8" s="30"/>
      <c r="N8" s="41">
        <v>372673000</v>
      </c>
      <c r="O8" s="42">
        <v>411880000</v>
      </c>
      <c r="P8" s="43">
        <v>392700038.06</v>
      </c>
      <c r="Q8" s="31"/>
      <c r="R8" s="44">
        <f>N8-F8-B8</f>
        <v>0</v>
      </c>
      <c r="S8" s="45">
        <f t="shared" si="0"/>
        <v>0</v>
      </c>
      <c r="T8" s="46">
        <f t="shared" si="0"/>
        <v>0</v>
      </c>
    </row>
    <row r="9" spans="1:22" ht="31.2" x14ac:dyDescent="0.6">
      <c r="A9" s="47" t="s">
        <v>131</v>
      </c>
      <c r="B9" s="51">
        <f>B7+B8</f>
        <v>8917007000</v>
      </c>
      <c r="C9" s="52">
        <f>C7+C8</f>
        <v>9279369000</v>
      </c>
      <c r="D9" s="53">
        <f>D7+D8</f>
        <v>9462982436.5300007</v>
      </c>
      <c r="E9" s="30"/>
      <c r="F9" s="51">
        <f>F7+F8</f>
        <v>1242143000</v>
      </c>
      <c r="G9" s="52">
        <f>G7+G8</f>
        <v>1223448000</v>
      </c>
      <c r="H9" s="53">
        <f>H7+H8</f>
        <v>1337807739.1499999</v>
      </c>
      <c r="I9" s="30"/>
      <c r="J9" s="51"/>
      <c r="K9" s="52"/>
      <c r="L9" s="53"/>
      <c r="M9" s="30"/>
      <c r="N9" s="44">
        <f>N7+N8</f>
        <v>10159150000</v>
      </c>
      <c r="O9" s="45">
        <f>O7+O8</f>
        <v>10502817000</v>
      </c>
      <c r="P9" s="46">
        <f>P7+P8</f>
        <v>10800790175.68</v>
      </c>
      <c r="Q9" s="31"/>
      <c r="R9" s="44">
        <f>N9-F9-B9</f>
        <v>0</v>
      </c>
      <c r="S9" s="45">
        <f t="shared" si="0"/>
        <v>0</v>
      </c>
      <c r="T9" s="46">
        <f t="shared" si="0"/>
        <v>0</v>
      </c>
    </row>
    <row r="10" spans="1:22" ht="31.2" x14ac:dyDescent="0.6">
      <c r="A10" s="47" t="s">
        <v>132</v>
      </c>
      <c r="B10" s="48">
        <v>184172000</v>
      </c>
      <c r="C10" s="49">
        <v>852478000</v>
      </c>
      <c r="D10" s="50">
        <v>13624513347.5</v>
      </c>
      <c r="E10" s="30"/>
      <c r="F10" s="48">
        <v>1873836000</v>
      </c>
      <c r="G10" s="49">
        <v>2287402500</v>
      </c>
      <c r="H10" s="50">
        <v>6066361920.3100004</v>
      </c>
      <c r="I10" s="30"/>
      <c r="J10" s="54"/>
      <c r="K10" s="52"/>
      <c r="L10" s="53"/>
      <c r="M10" s="30"/>
      <c r="N10" s="41">
        <v>2058008000</v>
      </c>
      <c r="O10" s="42">
        <v>3139880500</v>
      </c>
      <c r="P10" s="43">
        <v>19690875267.810001</v>
      </c>
      <c r="Q10" s="31"/>
      <c r="R10" s="44">
        <f>N10-F10-B10</f>
        <v>0</v>
      </c>
      <c r="S10" s="45">
        <f t="shared" si="0"/>
        <v>0</v>
      </c>
      <c r="T10" s="46">
        <f t="shared" si="0"/>
        <v>0</v>
      </c>
    </row>
    <row r="11" spans="1:22" ht="31.2" x14ac:dyDescent="0.6">
      <c r="A11" s="47" t="s">
        <v>133</v>
      </c>
      <c r="B11" s="51">
        <f>B9+B10</f>
        <v>9101179000</v>
      </c>
      <c r="C11" s="52">
        <f>C9+C10</f>
        <v>10131847000</v>
      </c>
      <c r="D11" s="53">
        <f>D9+D10</f>
        <v>23087495784.029999</v>
      </c>
      <c r="E11" s="30"/>
      <c r="F11" s="51">
        <f>F9+F10</f>
        <v>3115979000</v>
      </c>
      <c r="G11" s="52">
        <f>G9+G10</f>
        <v>3510850500</v>
      </c>
      <c r="H11" s="53">
        <f>H9+H10</f>
        <v>7404169659.46</v>
      </c>
      <c r="I11" s="30"/>
      <c r="J11" s="51"/>
      <c r="K11" s="52"/>
      <c r="L11" s="53"/>
      <c r="M11" s="30"/>
      <c r="N11" s="44">
        <f>N9+N10</f>
        <v>12217158000</v>
      </c>
      <c r="O11" s="45">
        <f>O9+O10</f>
        <v>13642697500</v>
      </c>
      <c r="P11" s="46">
        <f>P9+P10</f>
        <v>30491665443.490002</v>
      </c>
      <c r="Q11" s="31"/>
      <c r="R11" s="44">
        <f>N11-F11-B11</f>
        <v>0</v>
      </c>
      <c r="S11" s="45">
        <f t="shared" si="0"/>
        <v>0</v>
      </c>
      <c r="T11" s="46">
        <f t="shared" si="0"/>
        <v>0</v>
      </c>
    </row>
    <row r="12" spans="1:22" ht="31.2" x14ac:dyDescent="0.6">
      <c r="A12" s="47" t="s">
        <v>134</v>
      </c>
      <c r="B12" s="48">
        <v>34775000</v>
      </c>
      <c r="C12" s="49">
        <v>37390000</v>
      </c>
      <c r="D12" s="50">
        <v>12806578758.190001</v>
      </c>
      <c r="E12" s="30"/>
      <c r="F12" s="48">
        <v>24825000</v>
      </c>
      <c r="G12" s="49">
        <v>31529000</v>
      </c>
      <c r="H12" s="50">
        <v>3828962839.4899998</v>
      </c>
      <c r="I12" s="30"/>
      <c r="J12" s="51"/>
      <c r="K12" s="52"/>
      <c r="L12" s="53"/>
      <c r="M12" s="30"/>
      <c r="N12" s="41">
        <v>1744187000</v>
      </c>
      <c r="O12" s="42">
        <v>1872636000</v>
      </c>
      <c r="P12" s="43">
        <v>18426204567</v>
      </c>
      <c r="Q12" s="31"/>
      <c r="R12" s="44">
        <f t="shared" ref="R12:R18" si="1">$J12-$N12</f>
        <v>-1744187000</v>
      </c>
      <c r="S12" s="45">
        <f t="shared" ref="S12:S18" si="2">$K12-$O12</f>
        <v>-1872636000</v>
      </c>
      <c r="T12" s="46">
        <f t="shared" ref="T12:T18" si="3">$L12-$P12</f>
        <v>-18426204567</v>
      </c>
      <c r="V12" s="2"/>
    </row>
    <row r="13" spans="1:22" ht="31.2" x14ac:dyDescent="0.6">
      <c r="A13" s="47" t="s">
        <v>135</v>
      </c>
      <c r="B13" s="51">
        <f>B11-B12</f>
        <v>9066404000</v>
      </c>
      <c r="C13" s="52">
        <f>C11-C12</f>
        <v>10094457000</v>
      </c>
      <c r="D13" s="53">
        <f>D11-D12</f>
        <v>10280917025.839998</v>
      </c>
      <c r="E13" s="30"/>
      <c r="F13" s="51">
        <f>F11-F12</f>
        <v>3091154000</v>
      </c>
      <c r="G13" s="52">
        <f>G11-G12</f>
        <v>3479321500</v>
      </c>
      <c r="H13" s="53">
        <f>H11-H12</f>
        <v>3575206819.9700003</v>
      </c>
      <c r="I13" s="30"/>
      <c r="J13" s="51"/>
      <c r="K13" s="52"/>
      <c r="L13" s="53"/>
      <c r="M13" s="30"/>
      <c r="N13" s="44">
        <f>N11-N12</f>
        <v>10472971000</v>
      </c>
      <c r="O13" s="45">
        <f>O11-O12</f>
        <v>11770061500</v>
      </c>
      <c r="P13" s="46">
        <f>P11-P12</f>
        <v>12065460876.490002</v>
      </c>
      <c r="Q13" s="31"/>
      <c r="R13" s="44">
        <f t="shared" si="1"/>
        <v>-10472971000</v>
      </c>
      <c r="S13" s="45">
        <f t="shared" si="2"/>
        <v>-11770061500</v>
      </c>
      <c r="T13" s="46">
        <f t="shared" si="3"/>
        <v>-12065460876.490002</v>
      </c>
    </row>
    <row r="14" spans="1:22" ht="31.2" x14ac:dyDescent="0.6">
      <c r="A14" s="47" t="s">
        <v>136</v>
      </c>
      <c r="B14" s="48">
        <v>7587726000</v>
      </c>
      <c r="C14" s="49">
        <v>8271026000</v>
      </c>
      <c r="D14" s="50">
        <v>20641808318.150002</v>
      </c>
      <c r="E14" s="30"/>
      <c r="F14" s="48">
        <v>2808239000</v>
      </c>
      <c r="G14" s="49">
        <v>3375632631</v>
      </c>
      <c r="H14" s="50">
        <v>6701615461.3999996</v>
      </c>
      <c r="I14" s="30"/>
      <c r="J14" s="51"/>
      <c r="K14" s="52"/>
      <c r="L14" s="53"/>
      <c r="M14" s="30"/>
      <c r="N14" s="41">
        <v>10395965000</v>
      </c>
      <c r="O14" s="42">
        <v>11646658631</v>
      </c>
      <c r="P14" s="43">
        <v>27343423779.549999</v>
      </c>
      <c r="Q14" s="31"/>
      <c r="R14" s="44">
        <f t="shared" ref="R14:T16" si="4">N14-B14-F14</f>
        <v>0</v>
      </c>
      <c r="S14" s="45">
        <f t="shared" si="4"/>
        <v>0</v>
      </c>
      <c r="T14" s="46">
        <f t="shared" si="4"/>
        <v>0</v>
      </c>
    </row>
    <row r="15" spans="1:22" ht="31.2" x14ac:dyDescent="0.6">
      <c r="A15" s="55" t="s">
        <v>137</v>
      </c>
      <c r="B15" s="48">
        <v>2847222000</v>
      </c>
      <c r="C15" s="49">
        <v>1717493000</v>
      </c>
      <c r="D15" s="50">
        <v>1529449798.9300001</v>
      </c>
      <c r="E15" s="30"/>
      <c r="F15" s="48">
        <v>824879000</v>
      </c>
      <c r="G15" s="49">
        <v>1111996000</v>
      </c>
      <c r="H15" s="50">
        <v>828952029.42999995</v>
      </c>
      <c r="I15" s="30"/>
      <c r="J15" s="51"/>
      <c r="K15" s="52"/>
      <c r="L15" s="53"/>
      <c r="M15" s="30"/>
      <c r="N15" s="41">
        <v>3672101000</v>
      </c>
      <c r="O15" s="42">
        <v>2829489000</v>
      </c>
      <c r="P15" s="43">
        <v>2358401828.3600001</v>
      </c>
      <c r="Q15" s="31"/>
      <c r="R15" s="44">
        <f t="shared" si="4"/>
        <v>0</v>
      </c>
      <c r="S15" s="45">
        <f t="shared" si="4"/>
        <v>0</v>
      </c>
      <c r="T15" s="46">
        <f t="shared" si="4"/>
        <v>0</v>
      </c>
    </row>
    <row r="16" spans="1:22" ht="31.2" x14ac:dyDescent="0.6">
      <c r="A16" s="56" t="s">
        <v>138</v>
      </c>
      <c r="B16" s="51">
        <f>B14+B15</f>
        <v>10434948000</v>
      </c>
      <c r="C16" s="52">
        <f>C14+C15</f>
        <v>9988519000</v>
      </c>
      <c r="D16" s="53">
        <f>D14+D15</f>
        <v>22171258117.080002</v>
      </c>
      <c r="E16" s="30"/>
      <c r="F16" s="51">
        <f>F14+F15</f>
        <v>3633118000</v>
      </c>
      <c r="G16" s="52">
        <f>G14+G15</f>
        <v>4487628631</v>
      </c>
      <c r="H16" s="53">
        <f>H14+H15</f>
        <v>7530567490.8299999</v>
      </c>
      <c r="I16" s="30"/>
      <c r="J16" s="51"/>
      <c r="K16" s="52"/>
      <c r="L16" s="53"/>
      <c r="M16" s="30"/>
      <c r="N16" s="44">
        <f>N14+N15</f>
        <v>14068066000</v>
      </c>
      <c r="O16" s="45">
        <f>O14+O15</f>
        <v>14476147631</v>
      </c>
      <c r="P16" s="46">
        <f>P14+P15</f>
        <v>29701825607.91</v>
      </c>
      <c r="Q16" s="31"/>
      <c r="R16" s="44">
        <f t="shared" si="4"/>
        <v>0</v>
      </c>
      <c r="S16" s="45">
        <f t="shared" si="4"/>
        <v>0</v>
      </c>
      <c r="T16" s="46">
        <f t="shared" si="4"/>
        <v>0</v>
      </c>
    </row>
    <row r="17" spans="1:20" ht="31.2" x14ac:dyDescent="0.6">
      <c r="A17" s="47" t="s">
        <v>134</v>
      </c>
      <c r="B17" s="48">
        <v>34775000</v>
      </c>
      <c r="C17" s="49">
        <v>37390000</v>
      </c>
      <c r="D17" s="50">
        <v>12806578758.190001</v>
      </c>
      <c r="E17" s="30"/>
      <c r="F17" s="48">
        <v>24825000</v>
      </c>
      <c r="G17" s="49">
        <v>31529000</v>
      </c>
      <c r="H17" s="50">
        <v>3828962839.4899998</v>
      </c>
      <c r="I17" s="30"/>
      <c r="J17" s="51"/>
      <c r="K17" s="52"/>
      <c r="L17" s="53"/>
      <c r="M17" s="30"/>
      <c r="N17" s="41">
        <v>1744187000</v>
      </c>
      <c r="O17" s="42">
        <v>1872636000</v>
      </c>
      <c r="P17" s="43">
        <v>18426204567</v>
      </c>
      <c r="Q17" s="31"/>
      <c r="R17" s="44">
        <f t="shared" si="1"/>
        <v>-1744187000</v>
      </c>
      <c r="S17" s="45">
        <f t="shared" si="2"/>
        <v>-1872636000</v>
      </c>
      <c r="T17" s="46">
        <f t="shared" si="3"/>
        <v>-18426204567</v>
      </c>
    </row>
    <row r="18" spans="1:20" ht="31.2" x14ac:dyDescent="0.6">
      <c r="A18" s="47" t="s">
        <v>139</v>
      </c>
      <c r="B18" s="54">
        <f>B16-B17</f>
        <v>10400173000</v>
      </c>
      <c r="C18" s="57">
        <f>C16-C17</f>
        <v>9951129000</v>
      </c>
      <c r="D18" s="58">
        <f>D16-D17</f>
        <v>9364679358.8900013</v>
      </c>
      <c r="E18" s="30"/>
      <c r="F18" s="54">
        <f>F16-F17</f>
        <v>3608293000</v>
      </c>
      <c r="G18" s="57">
        <f>G16-G17</f>
        <v>4456099631</v>
      </c>
      <c r="H18" s="58">
        <f>H16-H17</f>
        <v>3701604651.3400002</v>
      </c>
      <c r="I18" s="30"/>
      <c r="J18" s="54"/>
      <c r="K18" s="57"/>
      <c r="L18" s="58"/>
      <c r="M18" s="30"/>
      <c r="N18" s="54">
        <f>N16-N17</f>
        <v>12323879000</v>
      </c>
      <c r="O18" s="57">
        <f>O16-O17</f>
        <v>12603511631</v>
      </c>
      <c r="P18" s="58">
        <f>P16-P17</f>
        <v>11275621040.91</v>
      </c>
      <c r="Q18" s="31"/>
      <c r="R18" s="54">
        <f t="shared" si="1"/>
        <v>-12323879000</v>
      </c>
      <c r="S18" s="57">
        <f t="shared" si="2"/>
        <v>-12603511631</v>
      </c>
      <c r="T18" s="58">
        <f t="shared" si="3"/>
        <v>-11275621040.91</v>
      </c>
    </row>
    <row r="19" spans="1:20" ht="8.1" customHeight="1" x14ac:dyDescent="0.6">
      <c r="A19" s="56"/>
      <c r="B19" s="59"/>
      <c r="C19" s="60"/>
      <c r="D19" s="58"/>
      <c r="E19" s="30"/>
      <c r="F19" s="59"/>
      <c r="G19" s="60"/>
      <c r="H19" s="58"/>
      <c r="I19" s="30"/>
      <c r="J19" s="59"/>
      <c r="K19" s="60"/>
      <c r="L19" s="58"/>
      <c r="M19" s="30"/>
      <c r="N19" s="59"/>
      <c r="O19" s="60"/>
      <c r="P19" s="58"/>
      <c r="Q19" s="31"/>
      <c r="R19" s="59"/>
      <c r="S19" s="60"/>
      <c r="T19" s="58"/>
    </row>
    <row r="20" spans="1:20" ht="31.2" x14ac:dyDescent="0.6">
      <c r="A20" s="56" t="s">
        <v>140</v>
      </c>
      <c r="B20" s="44">
        <f>B13-B18</f>
        <v>-1333769000</v>
      </c>
      <c r="C20" s="61">
        <f>C13-C18</f>
        <v>143328000</v>
      </c>
      <c r="D20" s="46">
        <f>D13-D18</f>
        <v>916237666.94999695</v>
      </c>
      <c r="E20" s="30"/>
      <c r="F20" s="44">
        <f>F13-F18</f>
        <v>-517139000</v>
      </c>
      <c r="G20" s="61">
        <f>G13-G18</f>
        <v>-976778131</v>
      </c>
      <c r="H20" s="46">
        <f>H13-H18</f>
        <v>-126397831.36999989</v>
      </c>
      <c r="I20" s="30"/>
      <c r="J20" s="44"/>
      <c r="K20" s="45"/>
      <c r="L20" s="46"/>
      <c r="M20" s="30"/>
      <c r="N20" s="44">
        <f>N13-N18</f>
        <v>-1850908000</v>
      </c>
      <c r="O20" s="45">
        <f>O13-O18</f>
        <v>-833450131</v>
      </c>
      <c r="P20" s="46">
        <f>P13-P18</f>
        <v>789839835.58000183</v>
      </c>
      <c r="Q20" s="31"/>
      <c r="R20" s="44">
        <f>$J20-$N20</f>
        <v>1850908000</v>
      </c>
      <c r="S20" s="45">
        <f>S13-S18</f>
        <v>833450131</v>
      </c>
      <c r="T20" s="46">
        <f>T13-T18</f>
        <v>-789839835.58000183</v>
      </c>
    </row>
    <row r="21" spans="1:20" ht="31.2" x14ac:dyDescent="0.6">
      <c r="A21" s="47" t="s">
        <v>141</v>
      </c>
      <c r="B21" s="62">
        <v>1333769000</v>
      </c>
      <c r="C21" s="63">
        <v>-143328000</v>
      </c>
      <c r="D21" s="64">
        <v>-916237666.95000005</v>
      </c>
      <c r="E21" s="30"/>
      <c r="F21" s="62">
        <v>517139000</v>
      </c>
      <c r="G21" s="63">
        <v>976778131</v>
      </c>
      <c r="H21" s="64">
        <v>126397831.37</v>
      </c>
      <c r="I21" s="30"/>
      <c r="J21" s="54"/>
      <c r="K21" s="57"/>
      <c r="L21" s="58"/>
      <c r="M21" s="30"/>
      <c r="N21" s="62">
        <v>1850908000</v>
      </c>
      <c r="O21" s="65">
        <v>833450131</v>
      </c>
      <c r="P21" s="64">
        <v>-789839835.58000004</v>
      </c>
      <c r="Q21" s="31"/>
      <c r="R21" s="66">
        <f>$J21-$N21</f>
        <v>-1850908000</v>
      </c>
      <c r="S21" s="57">
        <f>K21-O21</f>
        <v>-833450131</v>
      </c>
      <c r="T21" s="58">
        <f>L21-P21</f>
        <v>789839835.58000004</v>
      </c>
    </row>
    <row r="22" spans="1:20" ht="8.1" customHeight="1" x14ac:dyDescent="0.6">
      <c r="A22" s="56"/>
      <c r="B22" s="59"/>
      <c r="C22" s="60"/>
      <c r="D22" s="58"/>
      <c r="E22" s="30"/>
      <c r="F22" s="59"/>
      <c r="G22" s="60"/>
      <c r="H22" s="58"/>
      <c r="I22" s="30"/>
      <c r="J22" s="59"/>
      <c r="K22" s="60"/>
      <c r="L22" s="58"/>
      <c r="M22" s="30"/>
      <c r="N22" s="59"/>
      <c r="O22" s="60"/>
      <c r="P22" s="58"/>
      <c r="Q22" s="31"/>
      <c r="R22" s="59"/>
      <c r="S22" s="60"/>
      <c r="T22" s="58"/>
    </row>
    <row r="23" spans="1:20" ht="31.2" x14ac:dyDescent="0.6">
      <c r="A23" s="56" t="s">
        <v>142</v>
      </c>
      <c r="B23" s="44">
        <f>B10-B12</f>
        <v>149397000</v>
      </c>
      <c r="C23" s="45">
        <f>C10-C12</f>
        <v>815088000</v>
      </c>
      <c r="D23" s="46">
        <f>D10-D12</f>
        <v>817934589.30999947</v>
      </c>
      <c r="E23" s="30"/>
      <c r="F23" s="44">
        <f>F10-F12</f>
        <v>1849011000</v>
      </c>
      <c r="G23" s="45">
        <f>G10-G12</f>
        <v>2255873500</v>
      </c>
      <c r="H23" s="46">
        <f>H10-H12</f>
        <v>2237399080.8200006</v>
      </c>
      <c r="I23" s="30"/>
      <c r="J23" s="44"/>
      <c r="K23" s="45"/>
      <c r="L23" s="46"/>
      <c r="M23" s="30"/>
      <c r="N23" s="44">
        <f>N10-N12</f>
        <v>313821000</v>
      </c>
      <c r="O23" s="45">
        <f>O10-O12</f>
        <v>1267244500</v>
      </c>
      <c r="P23" s="46">
        <f>P10-P12</f>
        <v>1264670700.8100014</v>
      </c>
      <c r="Q23" s="31"/>
      <c r="R23" s="44">
        <f>R10-R12</f>
        <v>1744187000</v>
      </c>
      <c r="S23" s="45">
        <f>S10-S12</f>
        <v>1872636000</v>
      </c>
      <c r="T23" s="46">
        <f>T10-T12</f>
        <v>18426204567</v>
      </c>
    </row>
    <row r="24" spans="1:20" ht="31.8" thickBot="1" x14ac:dyDescent="0.65">
      <c r="A24" s="67" t="s">
        <v>143</v>
      </c>
      <c r="B24" s="68">
        <f>B14-B17</f>
        <v>7552951000</v>
      </c>
      <c r="C24" s="69">
        <f>C14-C17</f>
        <v>8233636000</v>
      </c>
      <c r="D24" s="70">
        <f>D14-D17</f>
        <v>7835229559.960001</v>
      </c>
      <c r="E24" s="30"/>
      <c r="F24" s="68">
        <f>F14-F17</f>
        <v>2783414000</v>
      </c>
      <c r="G24" s="69">
        <f>G14-G17</f>
        <v>3344103631</v>
      </c>
      <c r="H24" s="70">
        <f>H14-H17</f>
        <v>2872652621.9099998</v>
      </c>
      <c r="I24" s="30"/>
      <c r="J24" s="68"/>
      <c r="K24" s="69"/>
      <c r="L24" s="70"/>
      <c r="M24" s="30"/>
      <c r="N24" s="68">
        <f>N14-N17</f>
        <v>8651778000</v>
      </c>
      <c r="O24" s="69">
        <f>O14-O17</f>
        <v>9774022631</v>
      </c>
      <c r="P24" s="70">
        <f>P14-P17</f>
        <v>8917219212.5499992</v>
      </c>
      <c r="Q24" s="31"/>
      <c r="R24" s="68">
        <f>R14-R17</f>
        <v>1744187000</v>
      </c>
      <c r="S24" s="69">
        <f>S14-S17</f>
        <v>1872636000</v>
      </c>
      <c r="T24" s="70">
        <f>T14-T17</f>
        <v>18426204567</v>
      </c>
    </row>
  </sheetData>
  <sheetProtection formatCells="0" selectLockedCells="1"/>
  <mergeCells count="5">
    <mergeCell ref="B3:D3"/>
    <mergeCell ref="F3:H3"/>
    <mergeCell ref="J3:L3"/>
    <mergeCell ref="N3:P3"/>
    <mergeCell ref="R3:T3"/>
  </mergeCells>
  <pageMargins left="0.19685039370078741" right="0.19685039370078741" top="0.59055118110236227" bottom="0.59055118110236227" header="0.51181102362204722" footer="0.51181102362204722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Bilance</vt:lpstr>
      <vt:lpstr>pomocná tabulka</vt:lpstr>
      <vt:lpstr>Bilance!Názvy_tisku</vt:lpstr>
      <vt:lpstr>Bilance!Oblast_tisku</vt:lpstr>
      <vt:lpstr>'pomocná tabulka'!Oblast_tisku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Dannhoferová Irena</cp:lastModifiedBy>
  <cp:lastPrinted>2020-03-31T13:06:51Z</cp:lastPrinted>
  <dcterms:created xsi:type="dcterms:W3CDTF">1997-01-24T11:07:25Z</dcterms:created>
  <dcterms:modified xsi:type="dcterms:W3CDTF">2020-05-31T18:01:42Z</dcterms:modified>
</cp:coreProperties>
</file>