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45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<sst xmlns="http://schemas.openxmlformats.org/spreadsheetml/2006/main" count="366" uniqueCount="75">
  <si>
    <t>Příloha č. 3</t>
  </si>
  <si>
    <t xml:space="preserve"> </t>
  </si>
  <si>
    <t>(v tis.Kč)</t>
  </si>
  <si>
    <t>v tom:</t>
  </si>
  <si>
    <t>Městský obvod</t>
  </si>
  <si>
    <t>Ukazatel</t>
  </si>
  <si>
    <t>Financování</t>
  </si>
  <si>
    <t xml:space="preserve">Běžné </t>
  </si>
  <si>
    <t>Kapitálové</t>
  </si>
  <si>
    <t>Celkem výdaje</t>
  </si>
  <si>
    <t xml:space="preserve">silnice </t>
  </si>
  <si>
    <t xml:space="preserve">školství </t>
  </si>
  <si>
    <t>Měst. obvod</t>
  </si>
  <si>
    <t>kultura+tělovýchova</t>
  </si>
  <si>
    <t>bytové hospodářství</t>
  </si>
  <si>
    <t>ost. kom. služby</t>
  </si>
  <si>
    <t>ost. soc. péče</t>
  </si>
  <si>
    <t xml:space="preserve"> míst. zast. orgány</t>
  </si>
  <si>
    <t xml:space="preserve"> čin. místní správy</t>
  </si>
  <si>
    <t>výdaje</t>
  </si>
  <si>
    <t>po konsolidaci</t>
  </si>
  <si>
    <t>§ 2212, § 2219</t>
  </si>
  <si>
    <t>§ 31xx, § 32xx</t>
  </si>
  <si>
    <t>§ 33xx, § 34xx</t>
  </si>
  <si>
    <t>§ 3612, § 3613</t>
  </si>
  <si>
    <t>§ 36xx, § 37xx</t>
  </si>
  <si>
    <t>§ 6112</t>
  </si>
  <si>
    <t>§ 6171</t>
  </si>
  <si>
    <t xml:space="preserve">Mor.Ostrava </t>
  </si>
  <si>
    <t>SR</t>
  </si>
  <si>
    <t>skut.</t>
  </si>
  <si>
    <t>a Přívoz</t>
  </si>
  <si>
    <t>UR</t>
  </si>
  <si>
    <t>%plnění</t>
  </si>
  <si>
    <t>x</t>
  </si>
  <si>
    <t xml:space="preserve">Slezská </t>
  </si>
  <si>
    <t>Ostrava</t>
  </si>
  <si>
    <t>Ostrava-Jih</t>
  </si>
  <si>
    <t>Poruba</t>
  </si>
  <si>
    <t>Nová Bělá</t>
  </si>
  <si>
    <t>x/</t>
  </si>
  <si>
    <t>Vítkovice</t>
  </si>
  <si>
    <t>Stará Bělá</t>
  </si>
  <si>
    <t>Pustkovec</t>
  </si>
  <si>
    <t>Mar.Hory</t>
  </si>
  <si>
    <t xml:space="preserve">Mar.Hory a </t>
  </si>
  <si>
    <t>a Hulváky</t>
  </si>
  <si>
    <t>Hulváky</t>
  </si>
  <si>
    <t>Petřkovice</t>
  </si>
  <si>
    <t>Lhotka</t>
  </si>
  <si>
    <t>Hošťálkovice</t>
  </si>
  <si>
    <t>míst. zast. orgány</t>
  </si>
  <si>
    <t xml:space="preserve">   čin. místní správy</t>
  </si>
  <si>
    <t xml:space="preserve">       po konsolidaci</t>
  </si>
  <si>
    <t>Nová Ves</t>
  </si>
  <si>
    <t>Proskovice</t>
  </si>
  <si>
    <t>Michálkovice</t>
  </si>
  <si>
    <t>Radvanice a</t>
  </si>
  <si>
    <t xml:space="preserve">Radvanice a </t>
  </si>
  <si>
    <t>Bartovice</t>
  </si>
  <si>
    <t>Krásné Pole</t>
  </si>
  <si>
    <t>Martinov</t>
  </si>
  <si>
    <t>Polanka</t>
  </si>
  <si>
    <t>nad Odrou</t>
  </si>
  <si>
    <t>Hrabová</t>
  </si>
  <si>
    <t>Svinov</t>
  </si>
  <si>
    <t>Třebovice</t>
  </si>
  <si>
    <t>Plesná</t>
  </si>
  <si>
    <t>CELKEM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</si>
  <si>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</si>
  <si>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</si>
  <si>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§ 431x, § 439x</t>
  </si>
  <si>
    <t>§ 2212- § 2219</t>
  </si>
  <si>
    <t xml:space="preserve">        Přehled o plnění rozpočtu k 31.12. 2017 dle jednotlivých městských obvodů - výdaje</t>
  </si>
  <si>
    <t xml:space="preserve">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</si>
</sst>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&quot;/&quot;"/>
    <numFmt numFmtId="165" formatCode="0.0"/>
  </numFmts>
  <fonts count="46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b/>
      <sz val="8"/>
      <color indexed="10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164" fontId="5" fillId="33" borderId="0" xfId="0" applyNumberFormat="1" applyFont="1" applyFill="1" applyBorder="1" applyAlignment="1">
      <alignment horizontal="right"/>
    </xf>
    <xf numFmtId="165" fontId="5" fillId="33" borderId="0" xfId="0" applyNumberFormat="1" applyFont="1" applyFill="1" applyBorder="1" applyAlignment="1">
      <alignment horizontal="left"/>
    </xf>
    <xf numFmtId="0" fontId="3" fillId="33" borderId="27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36" xfId="0" applyFont="1" applyFill="1" applyBorder="1" applyAlignment="1">
      <alignment horizontal="left"/>
    </xf>
    <xf numFmtId="0" fontId="4" fillId="33" borderId="37" xfId="0" applyFont="1" applyFill="1" applyBorder="1" applyAlignment="1">
      <alignment horizontal="left"/>
    </xf>
    <xf numFmtId="0" fontId="3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49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3" fontId="5" fillId="33" borderId="25" xfId="0" applyNumberFormat="1" applyFont="1" applyFill="1" applyBorder="1" applyAlignment="1">
      <alignment horizontal="right"/>
    </xf>
    <xf numFmtId="164" fontId="5" fillId="33" borderId="34" xfId="0" applyNumberFormat="1" applyFont="1" applyFill="1" applyBorder="1" applyAlignment="1">
      <alignment horizontal="right"/>
    </xf>
    <xf numFmtId="165" fontId="5" fillId="33" borderId="26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 horizontal="right"/>
    </xf>
    <xf numFmtId="164" fontId="5" fillId="33" borderId="0" xfId="0" applyNumberFormat="1" applyFont="1" applyFill="1" applyBorder="1" applyAlignment="1">
      <alignment horizontal="right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49" fontId="5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64" fontId="9" fillId="33" borderId="0" xfId="0" applyNumberFormat="1" applyFont="1" applyFill="1" applyBorder="1" applyAlignment="1">
      <alignment horizontal="right"/>
    </xf>
    <xf numFmtId="165" fontId="9" fillId="33" borderId="0" xfId="0" applyNumberFormat="1" applyFont="1" applyFill="1" applyBorder="1" applyAlignment="1">
      <alignment horizontal="left"/>
    </xf>
    <xf numFmtId="3" fontId="5" fillId="33" borderId="44" xfId="0" applyNumberFormat="1" applyFont="1" applyFill="1" applyBorder="1" applyAlignment="1">
      <alignment horizontal="right"/>
    </xf>
    <xf numFmtId="3" fontId="5" fillId="33" borderId="45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5" fillId="33" borderId="46" xfId="0" applyNumberFormat="1" applyFont="1" applyFill="1" applyBorder="1" applyAlignment="1">
      <alignment horizontal="right"/>
    </xf>
    <xf numFmtId="3" fontId="5" fillId="33" borderId="47" xfId="0" applyNumberFormat="1" applyFont="1" applyFill="1" applyBorder="1" applyAlignment="1">
      <alignment horizontal="right"/>
    </xf>
    <xf numFmtId="3" fontId="5" fillId="33" borderId="24" xfId="0" applyNumberFormat="1" applyFont="1" applyFill="1" applyBorder="1" applyAlignment="1">
      <alignment horizontal="right"/>
    </xf>
    <xf numFmtId="3" fontId="5" fillId="33" borderId="29" xfId="0" applyNumberFormat="1" applyFont="1" applyFill="1" applyBorder="1" applyAlignment="1">
      <alignment horizontal="right"/>
    </xf>
    <xf numFmtId="3" fontId="5" fillId="33" borderId="48" xfId="0" applyNumberFormat="1" applyFont="1" applyFill="1" applyBorder="1" applyAlignment="1">
      <alignment horizontal="right"/>
    </xf>
    <xf numFmtId="3" fontId="5" fillId="33" borderId="49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5" fillId="33" borderId="41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9" fillId="33" borderId="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3" fontId="5" fillId="33" borderId="50" xfId="0" applyNumberFormat="1" applyFont="1" applyFill="1" applyBorder="1" applyAlignment="1">
      <alignment horizontal="right"/>
    </xf>
    <xf numFmtId="3" fontId="5" fillId="33" borderId="51" xfId="0" applyNumberFormat="1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 horizontal="right"/>
    </xf>
    <xf numFmtId="3" fontId="5" fillId="33" borderId="33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164" fontId="5" fillId="33" borderId="52" xfId="0" applyNumberFormat="1" applyFont="1" applyFill="1" applyBorder="1" applyAlignment="1">
      <alignment horizontal="right"/>
    </xf>
    <xf numFmtId="3" fontId="5" fillId="33" borderId="53" xfId="0" applyNumberFormat="1" applyFont="1" applyFill="1" applyBorder="1" applyAlignment="1">
      <alignment horizontal="right"/>
    </xf>
    <xf numFmtId="3" fontId="5" fillId="33" borderId="54" xfId="0" applyNumberFormat="1" applyFont="1" applyFill="1" applyBorder="1" applyAlignment="1">
      <alignment horizontal="right"/>
    </xf>
    <xf numFmtId="3" fontId="5" fillId="33" borderId="55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5" fillId="33" borderId="56" xfId="0" applyNumberFormat="1" applyFont="1" applyFill="1" applyBorder="1" applyAlignment="1">
      <alignment horizontal="right"/>
    </xf>
    <xf numFmtId="3" fontId="5" fillId="33" borderId="57" xfId="0" applyNumberFormat="1" applyFont="1" applyFill="1" applyBorder="1" applyAlignment="1">
      <alignment horizontal="right"/>
    </xf>
    <xf numFmtId="3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center"/>
    </xf>
    <xf numFmtId="3" fontId="5" fillId="33" borderId="32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49" fontId="6" fillId="33" borderId="12" xfId="0" applyNumberFormat="1" applyFont="1" applyFill="1" applyBorder="1" applyAlignment="1">
      <alignment horizontal="center"/>
    </xf>
    <xf numFmtId="3" fontId="5" fillId="33" borderId="58" xfId="0" applyNumberFormat="1" applyFont="1" applyFill="1" applyBorder="1" applyAlignment="1">
      <alignment horizontal="right"/>
    </xf>
    <xf numFmtId="3" fontId="5" fillId="33" borderId="59" xfId="0" applyNumberFormat="1" applyFont="1" applyFill="1" applyBorder="1" applyAlignment="1">
      <alignment horizontal="right"/>
    </xf>
    <xf numFmtId="0" fontId="5" fillId="33" borderId="6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61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center"/>
    </xf>
    <xf numFmtId="0" fontId="4" fillId="33" borderId="63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center"/>
    </xf>
    <xf numFmtId="0" fontId="4" fillId="33" borderId="63" xfId="0" applyFont="1" applyFill="1" applyBorder="1" applyAlignment="1">
      <alignment horizontal="center"/>
    </xf>
    <xf numFmtId="0" fontId="4" fillId="33" borderId="64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6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6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3"/>
  <sheetViews>
    <sheetView tabSelected="1" zoomScalePageLayoutView="0" workbookViewId="0" topLeftCell="V28">
      <selection activeCell="AO48" sqref="AO48"/>
    </sheetView>
  </sheetViews>
  <sheetFormatPr defaultColWidth="9.00390625" defaultRowHeight="12.75"/>
  <cols>
    <col min="1" max="1" width="14.25390625" style="1" customWidth="1"/>
    <col min="2" max="2" width="3.625" style="1" bestFit="1" customWidth="1"/>
    <col min="3" max="3" width="8.125" style="1" bestFit="1" customWidth="1"/>
    <col min="4" max="4" width="7.875" style="1" bestFit="1" customWidth="1"/>
    <col min="5" max="5" width="7.375" style="1" customWidth="1"/>
    <col min="6" max="6" width="8.625" style="1" customWidth="1"/>
    <col min="7" max="7" width="6.75390625" style="1" customWidth="1"/>
    <col min="8" max="8" width="7.875" style="1" customWidth="1"/>
    <col min="9" max="9" width="7.875" style="1" bestFit="1" customWidth="1"/>
    <col min="10" max="10" width="6.125" style="1" customWidth="1"/>
    <col min="11" max="11" width="7.125" style="1" customWidth="1"/>
    <col min="12" max="12" width="7.875" style="1" customWidth="1"/>
    <col min="13" max="13" width="5.25390625" style="1" bestFit="1" customWidth="1"/>
    <col min="14" max="15" width="7.00390625" style="1" bestFit="1" customWidth="1"/>
    <col min="16" max="16" width="6.125" style="1" customWidth="1"/>
    <col min="17" max="17" width="5.25390625" style="1" customWidth="1"/>
    <col min="18" max="18" width="7.125" style="1" bestFit="1" customWidth="1"/>
    <col min="19" max="20" width="5.25390625" style="1" customWidth="1"/>
    <col min="21" max="21" width="11.75390625" style="1" customWidth="1"/>
    <col min="22" max="22" width="11.625" style="1" customWidth="1"/>
    <col min="23" max="23" width="3.625" style="1" customWidth="1"/>
    <col min="24" max="24" width="7.75390625" style="1" customWidth="1"/>
    <col min="25" max="25" width="7.00390625" style="1" customWidth="1"/>
    <col min="26" max="26" width="6.25390625" style="1" customWidth="1"/>
    <col min="27" max="27" width="4.875" style="1" customWidth="1"/>
    <col min="28" max="28" width="7.125" style="1" customWidth="1"/>
    <col min="29" max="29" width="5.875" style="1" customWidth="1"/>
    <col min="30" max="30" width="5.125" style="1" customWidth="1"/>
    <col min="31" max="31" width="7.00390625" style="1" customWidth="1"/>
    <col min="32" max="32" width="6.00390625" style="1" customWidth="1"/>
    <col min="33" max="33" width="5.00390625" style="1" customWidth="1"/>
    <col min="34" max="34" width="7.75390625" style="1" customWidth="1"/>
    <col min="35" max="35" width="6.125" style="1" customWidth="1"/>
    <col min="36" max="36" width="5.25390625" style="1" customWidth="1"/>
    <col min="37" max="37" width="6.125" style="1" customWidth="1"/>
    <col min="38" max="38" width="5.75390625" style="1" customWidth="1"/>
    <col min="39" max="39" width="5.25390625" style="1" customWidth="1"/>
    <col min="40" max="40" width="7.375" style="1" customWidth="1"/>
    <col min="41" max="41" width="5.25390625" style="1" customWidth="1"/>
    <col min="42" max="42" width="4.875" style="1" customWidth="1"/>
    <col min="43" max="16384" width="9.125" style="1" customWidth="1"/>
  </cols>
  <sheetData>
    <row r="1" spans="20:42" ht="12.75">
      <c r="T1" s="2" t="s">
        <v>0</v>
      </c>
      <c r="AP1" s="2" t="s">
        <v>0</v>
      </c>
    </row>
    <row r="2" spans="1:20" ht="18">
      <c r="A2" s="177" t="s">
        <v>73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6:13" ht="12.75">
      <c r="F3" s="1" t="s">
        <v>1</v>
      </c>
      <c r="H3" s="1" t="s">
        <v>1</v>
      </c>
      <c r="K3" s="1" t="s">
        <v>69</v>
      </c>
      <c r="M3" s="1" t="s">
        <v>70</v>
      </c>
    </row>
    <row r="4" spans="20:42" ht="13.5" thickBot="1">
      <c r="T4" s="3" t="s">
        <v>2</v>
      </c>
      <c r="U4" s="2"/>
      <c r="AP4" s="3" t="s">
        <v>2</v>
      </c>
    </row>
    <row r="5" spans="1:42" ht="15" customHeight="1">
      <c r="A5" s="4"/>
      <c r="B5" s="4"/>
      <c r="C5" s="5"/>
      <c r="D5" s="178"/>
      <c r="E5" s="179"/>
      <c r="F5" s="4"/>
      <c r="G5" s="6"/>
      <c r="H5" s="5"/>
      <c r="I5" s="178"/>
      <c r="J5" s="180"/>
      <c r="K5" s="179"/>
      <c r="L5" s="178"/>
      <c r="M5" s="180"/>
      <c r="N5" s="180"/>
      <c r="O5" s="7" t="s">
        <v>3</v>
      </c>
      <c r="P5" s="8"/>
      <c r="Q5" s="9"/>
      <c r="R5" s="9"/>
      <c r="S5" s="9"/>
      <c r="T5" s="10"/>
      <c r="U5" s="11"/>
      <c r="V5" s="4"/>
      <c r="W5" s="4"/>
      <c r="X5" s="5"/>
      <c r="Y5" s="7" t="s">
        <v>3</v>
      </c>
      <c r="Z5" s="8"/>
      <c r="AA5" s="9"/>
      <c r="AB5" s="9"/>
      <c r="AC5" s="9"/>
      <c r="AD5" s="9"/>
      <c r="AE5" s="9"/>
      <c r="AF5" s="9"/>
      <c r="AG5" s="9"/>
      <c r="AH5" s="169"/>
      <c r="AI5" s="169"/>
      <c r="AJ5" s="169"/>
      <c r="AK5" s="169"/>
      <c r="AL5" s="169"/>
      <c r="AM5" s="169"/>
      <c r="AN5" s="169"/>
      <c r="AO5" s="12"/>
      <c r="AP5" s="13"/>
    </row>
    <row r="6" spans="1:42" ht="15" customHeight="1">
      <c r="A6" s="14" t="s">
        <v>4</v>
      </c>
      <c r="B6" s="173" t="s">
        <v>5</v>
      </c>
      <c r="C6" s="174"/>
      <c r="D6" s="173" t="s">
        <v>6</v>
      </c>
      <c r="E6" s="174"/>
      <c r="F6" s="173" t="s">
        <v>7</v>
      </c>
      <c r="G6" s="157"/>
      <c r="H6" s="174"/>
      <c r="I6" s="173" t="s">
        <v>8</v>
      </c>
      <c r="J6" s="157"/>
      <c r="K6" s="174"/>
      <c r="L6" s="173" t="s">
        <v>9</v>
      </c>
      <c r="M6" s="157"/>
      <c r="N6" s="157"/>
      <c r="O6" s="173" t="s">
        <v>10</v>
      </c>
      <c r="P6" s="157"/>
      <c r="Q6" s="157"/>
      <c r="R6" s="155" t="s">
        <v>11</v>
      </c>
      <c r="S6" s="148"/>
      <c r="T6" s="156"/>
      <c r="U6" s="16"/>
      <c r="V6" s="15" t="s">
        <v>12</v>
      </c>
      <c r="W6" s="173" t="s">
        <v>5</v>
      </c>
      <c r="X6" s="174"/>
      <c r="Y6" s="173" t="s">
        <v>13</v>
      </c>
      <c r="Z6" s="157"/>
      <c r="AA6" s="157"/>
      <c r="AB6" s="175" t="s">
        <v>14</v>
      </c>
      <c r="AC6" s="157"/>
      <c r="AD6" s="176"/>
      <c r="AE6" s="155" t="s">
        <v>15</v>
      </c>
      <c r="AF6" s="148"/>
      <c r="AG6" s="158"/>
      <c r="AH6" s="155" t="s">
        <v>16</v>
      </c>
      <c r="AI6" s="148"/>
      <c r="AJ6" s="158"/>
      <c r="AK6" s="155" t="s">
        <v>17</v>
      </c>
      <c r="AL6" s="148"/>
      <c r="AM6" s="158"/>
      <c r="AN6" s="155" t="s">
        <v>18</v>
      </c>
      <c r="AO6" s="148"/>
      <c r="AP6" s="156"/>
    </row>
    <row r="7" spans="1:42" ht="15" customHeight="1" thickBot="1">
      <c r="A7" s="17"/>
      <c r="B7" s="17"/>
      <c r="C7" s="18"/>
      <c r="D7" s="19"/>
      <c r="E7" s="20"/>
      <c r="F7" s="170" t="s">
        <v>19</v>
      </c>
      <c r="G7" s="171"/>
      <c r="H7" s="172"/>
      <c r="I7" s="170" t="s">
        <v>19</v>
      </c>
      <c r="J7" s="171"/>
      <c r="K7" s="172"/>
      <c r="L7" s="170" t="s">
        <v>20</v>
      </c>
      <c r="M7" s="171"/>
      <c r="N7" s="172"/>
      <c r="O7" s="162" t="s">
        <v>72</v>
      </c>
      <c r="P7" s="163"/>
      <c r="Q7" s="164"/>
      <c r="R7" s="144" t="s">
        <v>22</v>
      </c>
      <c r="S7" s="145"/>
      <c r="T7" s="149"/>
      <c r="U7" s="21"/>
      <c r="V7" s="17"/>
      <c r="W7" s="17"/>
      <c r="X7" s="18"/>
      <c r="Y7" s="165" t="s">
        <v>23</v>
      </c>
      <c r="Z7" s="145"/>
      <c r="AA7" s="145"/>
      <c r="AB7" s="144" t="s">
        <v>24</v>
      </c>
      <c r="AC7" s="145"/>
      <c r="AD7" s="146"/>
      <c r="AE7" s="144" t="s">
        <v>25</v>
      </c>
      <c r="AF7" s="145"/>
      <c r="AG7" s="146"/>
      <c r="AH7" s="144" t="s">
        <v>71</v>
      </c>
      <c r="AI7" s="145"/>
      <c r="AJ7" s="146"/>
      <c r="AK7" s="144" t="s">
        <v>26</v>
      </c>
      <c r="AL7" s="145"/>
      <c r="AM7" s="146"/>
      <c r="AN7" s="144" t="s">
        <v>27</v>
      </c>
      <c r="AO7" s="145"/>
      <c r="AP7" s="149"/>
    </row>
    <row r="8" spans="1:42" ht="15" customHeight="1" thickTop="1">
      <c r="A8" s="22" t="s">
        <v>28</v>
      </c>
      <c r="B8" s="82" t="s">
        <v>29</v>
      </c>
      <c r="C8" s="83" t="s">
        <v>30</v>
      </c>
      <c r="D8" s="98">
        <v>49323</v>
      </c>
      <c r="E8" s="115">
        <v>-16318</v>
      </c>
      <c r="F8" s="100">
        <f>345459-3469</f>
        <v>341990</v>
      </c>
      <c r="G8" s="133">
        <f>814636-446006</f>
        <v>368630</v>
      </c>
      <c r="H8" s="134"/>
      <c r="I8" s="100">
        <v>62993</v>
      </c>
      <c r="J8" s="133">
        <v>83482</v>
      </c>
      <c r="K8" s="134"/>
      <c r="L8" s="98">
        <f>SUM(F8+I8)</f>
        <v>404983</v>
      </c>
      <c r="M8" s="133">
        <f>SUM(G8+J8)</f>
        <v>452112</v>
      </c>
      <c r="N8" s="134"/>
      <c r="O8" s="100">
        <v>25407</v>
      </c>
      <c r="P8" s="133">
        <v>35578</v>
      </c>
      <c r="Q8" s="134"/>
      <c r="R8" s="100">
        <v>53067</v>
      </c>
      <c r="S8" s="133">
        <v>68579</v>
      </c>
      <c r="T8" s="134"/>
      <c r="U8" s="25"/>
      <c r="V8" s="22" t="s">
        <v>28</v>
      </c>
      <c r="W8" s="23" t="s">
        <v>29</v>
      </c>
      <c r="X8" s="24" t="s">
        <v>30</v>
      </c>
      <c r="Y8" s="100">
        <v>19040</v>
      </c>
      <c r="Z8" s="133">
        <v>26728</v>
      </c>
      <c r="AA8" s="134"/>
      <c r="AB8" s="100">
        <v>96765</v>
      </c>
      <c r="AC8" s="133">
        <v>91468</v>
      </c>
      <c r="AD8" s="134"/>
      <c r="AE8" s="100">
        <v>79851</v>
      </c>
      <c r="AF8" s="133">
        <v>95793</v>
      </c>
      <c r="AG8" s="134"/>
      <c r="AH8" s="100">
        <v>14154</v>
      </c>
      <c r="AI8" s="133">
        <v>25989</v>
      </c>
      <c r="AJ8" s="134"/>
      <c r="AK8" s="100">
        <v>7866</v>
      </c>
      <c r="AL8" s="133">
        <v>6800</v>
      </c>
      <c r="AM8" s="134"/>
      <c r="AN8" s="98">
        <v>103428</v>
      </c>
      <c r="AO8" s="133">
        <v>94266</v>
      </c>
      <c r="AP8" s="134"/>
    </row>
    <row r="9" spans="1:42" ht="15" customHeight="1" thickBot="1">
      <c r="A9" s="26" t="s">
        <v>31</v>
      </c>
      <c r="B9" s="84" t="s">
        <v>32</v>
      </c>
      <c r="C9" s="85" t="s">
        <v>33</v>
      </c>
      <c r="D9" s="99">
        <v>41216</v>
      </c>
      <c r="E9" s="116" t="s">
        <v>34</v>
      </c>
      <c r="F9" s="101">
        <f>412117-3469</f>
        <v>408648</v>
      </c>
      <c r="G9" s="73">
        <f>G8/F8*100</f>
        <v>107.78970145325886</v>
      </c>
      <c r="H9" s="74">
        <f>G8/F9*100</f>
        <v>90.20721990564006</v>
      </c>
      <c r="I9" s="72">
        <v>94833</v>
      </c>
      <c r="J9" s="73">
        <f>J8/I8*100</f>
        <v>132.52583620402268</v>
      </c>
      <c r="K9" s="74">
        <f>J8/I9*100</f>
        <v>88.03053789292757</v>
      </c>
      <c r="L9" s="99">
        <f aca="true" t="shared" si="0" ref="L9:L31">SUM(F9+I9)</f>
        <v>503481</v>
      </c>
      <c r="M9" s="73">
        <f>M8/L8*100</f>
        <v>111.63727860181784</v>
      </c>
      <c r="N9" s="74">
        <f>M8/L9*100</f>
        <v>89.79723167309194</v>
      </c>
      <c r="O9" s="72">
        <v>40245</v>
      </c>
      <c r="P9" s="73">
        <f>P8/O8*100</f>
        <v>140.0322745700004</v>
      </c>
      <c r="Q9" s="74">
        <f>P8/O9*100</f>
        <v>88.4035283886197</v>
      </c>
      <c r="R9" s="101">
        <v>74898</v>
      </c>
      <c r="S9" s="73">
        <f>S8/R8*100</f>
        <v>129.23097216726026</v>
      </c>
      <c r="T9" s="74">
        <f>S8/R9*100</f>
        <v>91.56319260861439</v>
      </c>
      <c r="U9" s="29"/>
      <c r="V9" s="26" t="s">
        <v>31</v>
      </c>
      <c r="W9" s="27" t="s">
        <v>32</v>
      </c>
      <c r="X9" s="28" t="s">
        <v>33</v>
      </c>
      <c r="Y9" s="72">
        <v>27444</v>
      </c>
      <c r="Z9" s="73">
        <f>Z8/Y8*100</f>
        <v>140.37815126050418</v>
      </c>
      <c r="AA9" s="74">
        <f>Z8/Y9*100</f>
        <v>97.39105086722051</v>
      </c>
      <c r="AB9" s="72">
        <v>108528</v>
      </c>
      <c r="AC9" s="73">
        <f>AC8/AB8*100</f>
        <v>94.52591329509636</v>
      </c>
      <c r="AD9" s="74">
        <f>AC8/AB9*100</f>
        <v>84.28055432699395</v>
      </c>
      <c r="AE9" s="72">
        <v>98386</v>
      </c>
      <c r="AF9" s="73">
        <f>AF8/AE8*100</f>
        <v>119.96468422436789</v>
      </c>
      <c r="AG9" s="74">
        <f>AF8/AE9*100</f>
        <v>97.36446242351555</v>
      </c>
      <c r="AH9" s="105">
        <v>28261</v>
      </c>
      <c r="AI9" s="73">
        <f>AI8/AH8*100</f>
        <v>183.61593895718525</v>
      </c>
      <c r="AJ9" s="74">
        <f>AI8/AH9*100</f>
        <v>91.96065248929621</v>
      </c>
      <c r="AK9" s="105">
        <v>7884</v>
      </c>
      <c r="AL9" s="73">
        <f>AL8/AK8*100</f>
        <v>86.44800406814137</v>
      </c>
      <c r="AM9" s="74">
        <f>AL8/AK9*100</f>
        <v>86.25063419583967</v>
      </c>
      <c r="AN9" s="99">
        <v>101219</v>
      </c>
      <c r="AO9" s="73">
        <f>AO8/AN8*100</f>
        <v>91.14166376609816</v>
      </c>
      <c r="AP9" s="74">
        <f>AO8/AN9*100</f>
        <v>93.1307363242079</v>
      </c>
    </row>
    <row r="10" spans="1:42" ht="15" customHeight="1">
      <c r="A10" s="30" t="s">
        <v>35</v>
      </c>
      <c r="B10" s="31" t="s">
        <v>29</v>
      </c>
      <c r="C10" s="10" t="s">
        <v>30</v>
      </c>
      <c r="D10" s="102">
        <v>72300</v>
      </c>
      <c r="E10" s="117">
        <v>-17605</v>
      </c>
      <c r="F10" s="104">
        <f>302272-3137</f>
        <v>299135</v>
      </c>
      <c r="G10" s="139">
        <f>584093-327585</f>
        <v>256508</v>
      </c>
      <c r="H10" s="140"/>
      <c r="I10" s="104">
        <v>15505</v>
      </c>
      <c r="J10" s="139">
        <v>30774</v>
      </c>
      <c r="K10" s="140"/>
      <c r="L10" s="104">
        <f t="shared" si="0"/>
        <v>314640</v>
      </c>
      <c r="M10" s="139">
        <f>SUM(G10+J10)</f>
        <v>287282</v>
      </c>
      <c r="N10" s="140"/>
      <c r="O10" s="104">
        <v>15902</v>
      </c>
      <c r="P10" s="139">
        <v>32738</v>
      </c>
      <c r="Q10" s="140"/>
      <c r="R10" s="104">
        <v>31591</v>
      </c>
      <c r="S10" s="139">
        <v>54700</v>
      </c>
      <c r="T10" s="140"/>
      <c r="U10" s="25"/>
      <c r="V10" s="30" t="s">
        <v>35</v>
      </c>
      <c r="W10" s="31" t="s">
        <v>29</v>
      </c>
      <c r="X10" s="10" t="s">
        <v>30</v>
      </c>
      <c r="Y10" s="104">
        <v>6564</v>
      </c>
      <c r="Z10" s="139">
        <v>7961</v>
      </c>
      <c r="AA10" s="140"/>
      <c r="AB10" s="104">
        <v>42935</v>
      </c>
      <c r="AC10" s="139">
        <v>40042</v>
      </c>
      <c r="AD10" s="140"/>
      <c r="AE10" s="104">
        <v>36725</v>
      </c>
      <c r="AF10" s="139">
        <v>43044</v>
      </c>
      <c r="AG10" s="140"/>
      <c r="AH10" s="104">
        <v>17163</v>
      </c>
      <c r="AI10" s="139">
        <v>23863</v>
      </c>
      <c r="AJ10" s="140"/>
      <c r="AK10" s="104">
        <v>9123</v>
      </c>
      <c r="AL10" s="139">
        <v>8301</v>
      </c>
      <c r="AM10" s="140"/>
      <c r="AN10" s="102">
        <v>83752</v>
      </c>
      <c r="AO10" s="139">
        <v>69330</v>
      </c>
      <c r="AP10" s="140"/>
    </row>
    <row r="11" spans="1:42" ht="15" customHeight="1" thickBot="1">
      <c r="A11" s="26" t="s">
        <v>36</v>
      </c>
      <c r="B11" s="32" t="s">
        <v>32</v>
      </c>
      <c r="C11" s="33" t="s">
        <v>33</v>
      </c>
      <c r="D11" s="103">
        <v>95553</v>
      </c>
      <c r="E11" s="118" t="s">
        <v>34</v>
      </c>
      <c r="F11" s="72">
        <f>361787-3789</f>
        <v>357998</v>
      </c>
      <c r="G11" s="73">
        <f>G10/F10*100</f>
        <v>85.7499122469788</v>
      </c>
      <c r="H11" s="74">
        <f>G10/F11*100</f>
        <v>71.65067961273527</v>
      </c>
      <c r="I11" s="72">
        <v>41006</v>
      </c>
      <c r="J11" s="73">
        <f>J10/I10*100</f>
        <v>198.4779103514995</v>
      </c>
      <c r="K11" s="74">
        <f>J10/I11*100</f>
        <v>75.04755401648539</v>
      </c>
      <c r="L11" s="72">
        <f t="shared" si="0"/>
        <v>399004</v>
      </c>
      <c r="M11" s="73">
        <f>M10/L10*100</f>
        <v>91.3049834731757</v>
      </c>
      <c r="N11" s="74">
        <f>M10/L11*100</f>
        <v>71.99977945083256</v>
      </c>
      <c r="O11" s="72">
        <v>38143</v>
      </c>
      <c r="P11" s="73">
        <f>P10/O10*100</f>
        <v>205.87347503458685</v>
      </c>
      <c r="Q11" s="74">
        <f>P10/O11*100</f>
        <v>85.82964108748656</v>
      </c>
      <c r="R11" s="72">
        <v>63770</v>
      </c>
      <c r="S11" s="73">
        <f>S10/R10*100</f>
        <v>173.15058086163782</v>
      </c>
      <c r="T11" s="74">
        <f>S10/R11*100</f>
        <v>85.77701113376196</v>
      </c>
      <c r="U11" s="29"/>
      <c r="V11" s="26" t="s">
        <v>36</v>
      </c>
      <c r="W11" s="32" t="s">
        <v>32</v>
      </c>
      <c r="X11" s="33" t="s">
        <v>33</v>
      </c>
      <c r="Y11" s="72">
        <v>10497</v>
      </c>
      <c r="Z11" s="73">
        <f>Z10/Y10*100</f>
        <v>121.28275441803777</v>
      </c>
      <c r="AA11" s="74">
        <f>Z10/Y11*100</f>
        <v>75.84071639516053</v>
      </c>
      <c r="AB11" s="72">
        <v>49643</v>
      </c>
      <c r="AC11" s="73">
        <f>AC10/AB10*100</f>
        <v>93.26190753464539</v>
      </c>
      <c r="AD11" s="74">
        <f>AC10/AB11*100</f>
        <v>80.65991177003808</v>
      </c>
      <c r="AE11" s="72">
        <v>46893</v>
      </c>
      <c r="AF11" s="73">
        <f>AF10/AE10*100</f>
        <v>117.20626276378489</v>
      </c>
      <c r="AG11" s="74">
        <f>AF10/AE11*100</f>
        <v>91.79195189047405</v>
      </c>
      <c r="AH11" s="72">
        <v>29857</v>
      </c>
      <c r="AI11" s="73">
        <f>AI10/AH10*100</f>
        <v>139.03746431276582</v>
      </c>
      <c r="AJ11" s="74">
        <f>AI10/AH11*100</f>
        <v>79.92430585792276</v>
      </c>
      <c r="AK11" s="72">
        <v>9121</v>
      </c>
      <c r="AL11" s="73">
        <f>AL10/AK10*100</f>
        <v>90.9898059848734</v>
      </c>
      <c r="AM11" s="74">
        <f>AL10/AK11*100</f>
        <v>91.00975770200635</v>
      </c>
      <c r="AN11" s="103">
        <v>84308</v>
      </c>
      <c r="AO11" s="73">
        <f>AO10/AN10*100</f>
        <v>82.78011271372624</v>
      </c>
      <c r="AP11" s="74">
        <f>AO10/AN11*100</f>
        <v>82.23418892631778</v>
      </c>
    </row>
    <row r="12" spans="1:42" ht="15" customHeight="1">
      <c r="A12" s="30"/>
      <c r="B12" s="31" t="s">
        <v>29</v>
      </c>
      <c r="C12" s="10" t="s">
        <v>30</v>
      </c>
      <c r="D12" s="98">
        <v>66943</v>
      </c>
      <c r="E12" s="115">
        <v>-42687</v>
      </c>
      <c r="F12" s="104">
        <f>740492-0</f>
        <v>740492</v>
      </c>
      <c r="G12" s="139">
        <f>1522160-809734</f>
        <v>712426</v>
      </c>
      <c r="H12" s="140"/>
      <c r="I12" s="100">
        <v>84318</v>
      </c>
      <c r="J12" s="139">
        <v>126056</v>
      </c>
      <c r="K12" s="140"/>
      <c r="L12" s="104">
        <f t="shared" si="0"/>
        <v>824810</v>
      </c>
      <c r="M12" s="139">
        <f>SUM(G12+J12)</f>
        <v>838482</v>
      </c>
      <c r="N12" s="140"/>
      <c r="O12" s="104">
        <v>39532</v>
      </c>
      <c r="P12" s="139">
        <v>39001</v>
      </c>
      <c r="Q12" s="140"/>
      <c r="R12" s="104">
        <v>148968</v>
      </c>
      <c r="S12" s="139">
        <v>145329</v>
      </c>
      <c r="T12" s="140"/>
      <c r="U12" s="25"/>
      <c r="V12" s="30"/>
      <c r="W12" s="31" t="s">
        <v>29</v>
      </c>
      <c r="X12" s="10" t="s">
        <v>30</v>
      </c>
      <c r="Y12" s="104">
        <v>40389</v>
      </c>
      <c r="Z12" s="139">
        <v>35691</v>
      </c>
      <c r="AA12" s="140"/>
      <c r="AB12" s="104">
        <v>305471</v>
      </c>
      <c r="AC12" s="139">
        <v>296006</v>
      </c>
      <c r="AD12" s="140"/>
      <c r="AE12" s="104">
        <v>76739</v>
      </c>
      <c r="AF12" s="139">
        <v>97704</v>
      </c>
      <c r="AG12" s="140"/>
      <c r="AH12" s="100">
        <v>23092</v>
      </c>
      <c r="AI12" s="139">
        <v>35665</v>
      </c>
      <c r="AJ12" s="140"/>
      <c r="AK12" s="100">
        <v>14441</v>
      </c>
      <c r="AL12" s="139">
        <v>14382</v>
      </c>
      <c r="AM12" s="140"/>
      <c r="AN12" s="98">
        <v>146625</v>
      </c>
      <c r="AO12" s="139">
        <v>151994</v>
      </c>
      <c r="AP12" s="140"/>
    </row>
    <row r="13" spans="1:42" ht="15" customHeight="1" thickBot="1">
      <c r="A13" s="26" t="s">
        <v>37</v>
      </c>
      <c r="B13" s="32" t="s">
        <v>32</v>
      </c>
      <c r="C13" s="33" t="s">
        <v>33</v>
      </c>
      <c r="D13" s="98">
        <v>333384</v>
      </c>
      <c r="E13" s="116" t="s">
        <v>34</v>
      </c>
      <c r="F13" s="101">
        <f>1061823-0</f>
        <v>1061823</v>
      </c>
      <c r="G13" s="73">
        <f>G12/F12*100</f>
        <v>96.20981725663478</v>
      </c>
      <c r="H13" s="74">
        <f>G12/F13*100</f>
        <v>67.09460993028028</v>
      </c>
      <c r="I13" s="105">
        <v>136015</v>
      </c>
      <c r="J13" s="73">
        <f>J12/I12*100</f>
        <v>149.50069973196707</v>
      </c>
      <c r="K13" s="74">
        <f>J12/I13*100</f>
        <v>92.67801345439841</v>
      </c>
      <c r="L13" s="72">
        <f t="shared" si="0"/>
        <v>1197838</v>
      </c>
      <c r="M13" s="73">
        <f>M12/L12*100</f>
        <v>101.65759387010343</v>
      </c>
      <c r="N13" s="74">
        <f>M12/L13*100</f>
        <v>69.99961597478122</v>
      </c>
      <c r="O13" s="72">
        <v>40703</v>
      </c>
      <c r="P13" s="73">
        <f>P12/O12*100</f>
        <v>98.6567843772134</v>
      </c>
      <c r="Q13" s="74">
        <f>P12/O13*100</f>
        <v>95.81849003758937</v>
      </c>
      <c r="R13" s="72">
        <v>155832</v>
      </c>
      <c r="S13" s="73" t="s">
        <v>1</v>
      </c>
      <c r="T13" s="74">
        <f>S12/R13*100</f>
        <v>93.26004928384414</v>
      </c>
      <c r="U13" s="29"/>
      <c r="V13" s="26" t="s">
        <v>37</v>
      </c>
      <c r="W13" s="32" t="s">
        <v>32</v>
      </c>
      <c r="X13" s="33" t="s">
        <v>33</v>
      </c>
      <c r="Y13" s="72">
        <v>38384</v>
      </c>
      <c r="Z13" s="73">
        <f>Z12/Y12*100</f>
        <v>88.36812003268216</v>
      </c>
      <c r="AA13" s="74">
        <f>Z12/Y13*100</f>
        <v>92.98405585660691</v>
      </c>
      <c r="AB13" s="72">
        <v>332817</v>
      </c>
      <c r="AC13" s="73">
        <f>AC12/AB12*100</f>
        <v>96.90150619862442</v>
      </c>
      <c r="AD13" s="74">
        <f>AC12/AB13*100</f>
        <v>88.93956738988693</v>
      </c>
      <c r="AE13" s="72">
        <v>100215</v>
      </c>
      <c r="AF13" s="73">
        <f>AF12/AE12*100</f>
        <v>127.31987646437926</v>
      </c>
      <c r="AG13" s="74">
        <f>AF12/AE13*100</f>
        <v>97.49438706780423</v>
      </c>
      <c r="AH13" s="105">
        <v>39053</v>
      </c>
      <c r="AI13" s="73">
        <f>AI12/AH12*100</f>
        <v>154.44742768058202</v>
      </c>
      <c r="AJ13" s="74">
        <f>AI12/AH13*100</f>
        <v>91.32461014518731</v>
      </c>
      <c r="AK13" s="105">
        <v>14551</v>
      </c>
      <c r="AL13" s="73">
        <f>AL12/AK12*100</f>
        <v>99.59144103593934</v>
      </c>
      <c r="AM13" s="74">
        <f>AL12/AK13*100</f>
        <v>98.83856779602776</v>
      </c>
      <c r="AN13" s="99">
        <v>164337</v>
      </c>
      <c r="AO13" s="73">
        <f>AO12/AN12*100</f>
        <v>103.6617220801364</v>
      </c>
      <c r="AP13" s="74">
        <f>AO12/AN13*100</f>
        <v>92.48921423659918</v>
      </c>
    </row>
    <row r="14" spans="1:42" ht="15" customHeight="1">
      <c r="A14" s="30"/>
      <c r="B14" s="31" t="s">
        <v>29</v>
      </c>
      <c r="C14" s="10" t="s">
        <v>30</v>
      </c>
      <c r="D14" s="102">
        <v>80709</v>
      </c>
      <c r="E14" s="117">
        <v>-14731</v>
      </c>
      <c r="F14" s="104">
        <f>337981-5433</f>
        <v>332548</v>
      </c>
      <c r="G14" s="139">
        <f>516538-128034</f>
        <v>388504</v>
      </c>
      <c r="H14" s="140"/>
      <c r="I14" s="104">
        <v>95604</v>
      </c>
      <c r="J14" s="139">
        <v>76497</v>
      </c>
      <c r="K14" s="140"/>
      <c r="L14" s="104">
        <f t="shared" si="0"/>
        <v>428152</v>
      </c>
      <c r="M14" s="139">
        <f>SUM(G14+J14)</f>
        <v>465001</v>
      </c>
      <c r="N14" s="140"/>
      <c r="O14" s="104">
        <v>45500</v>
      </c>
      <c r="P14" s="139">
        <v>66563</v>
      </c>
      <c r="Q14" s="140"/>
      <c r="R14" s="104">
        <v>66673</v>
      </c>
      <c r="S14" s="139">
        <v>88906</v>
      </c>
      <c r="T14" s="140"/>
      <c r="U14" s="25"/>
      <c r="V14" s="34"/>
      <c r="W14" s="31" t="s">
        <v>29</v>
      </c>
      <c r="X14" s="10" t="s">
        <v>30</v>
      </c>
      <c r="Y14" s="104">
        <v>27424</v>
      </c>
      <c r="Z14" s="139">
        <v>20336</v>
      </c>
      <c r="AA14" s="140"/>
      <c r="AB14" s="104">
        <v>60174</v>
      </c>
      <c r="AC14" s="139">
        <v>51263</v>
      </c>
      <c r="AD14" s="140"/>
      <c r="AE14" s="104">
        <v>51912</v>
      </c>
      <c r="AF14" s="139">
        <v>67547</v>
      </c>
      <c r="AG14" s="140"/>
      <c r="AH14" s="104">
        <v>24796</v>
      </c>
      <c r="AI14" s="139">
        <v>35149</v>
      </c>
      <c r="AJ14" s="140"/>
      <c r="AK14" s="104">
        <v>10347</v>
      </c>
      <c r="AL14" s="139">
        <v>10339</v>
      </c>
      <c r="AM14" s="140"/>
      <c r="AN14" s="102">
        <v>99282</v>
      </c>
      <c r="AO14" s="139">
        <v>104891</v>
      </c>
      <c r="AP14" s="140"/>
    </row>
    <row r="15" spans="1:42" ht="15" customHeight="1" thickBot="1">
      <c r="A15" s="26" t="s">
        <v>38</v>
      </c>
      <c r="B15" s="32" t="s">
        <v>32</v>
      </c>
      <c r="C15" s="33" t="s">
        <v>33</v>
      </c>
      <c r="D15" s="103">
        <v>92183</v>
      </c>
      <c r="E15" s="118" t="s">
        <v>34</v>
      </c>
      <c r="F15" s="72">
        <f>438525-6047</f>
        <v>432478</v>
      </c>
      <c r="G15" s="73">
        <f>G14/F14*100</f>
        <v>116.82644309994348</v>
      </c>
      <c r="H15" s="74">
        <f>G14/F15*100</f>
        <v>89.83208394415439</v>
      </c>
      <c r="I15" s="72">
        <v>139634</v>
      </c>
      <c r="J15" s="73">
        <f>J14/I14*100</f>
        <v>80.01443454248776</v>
      </c>
      <c r="K15" s="74">
        <f>J14/I15*100</f>
        <v>54.783935144735516</v>
      </c>
      <c r="L15" s="72">
        <f t="shared" si="0"/>
        <v>572112</v>
      </c>
      <c r="M15" s="73">
        <f>M14/L14*100</f>
        <v>108.60652291709488</v>
      </c>
      <c r="N15" s="74">
        <f>M14/L15*100</f>
        <v>81.2779665520038</v>
      </c>
      <c r="O15" s="72">
        <v>87985</v>
      </c>
      <c r="P15" s="73">
        <f>P14/O14*100</f>
        <v>146.2923076923077</v>
      </c>
      <c r="Q15" s="74">
        <f>P14/O15*100</f>
        <v>75.65266806842075</v>
      </c>
      <c r="R15" s="72">
        <v>90051</v>
      </c>
      <c r="S15" s="73">
        <f>S14/R14*100</f>
        <v>133.34633209845063</v>
      </c>
      <c r="T15" s="74">
        <f>S14/R15*100</f>
        <v>98.72849829541039</v>
      </c>
      <c r="U15" s="25"/>
      <c r="V15" s="35" t="s">
        <v>38</v>
      </c>
      <c r="W15" s="32" t="s">
        <v>32</v>
      </c>
      <c r="X15" s="33" t="s">
        <v>33</v>
      </c>
      <c r="Y15" s="72">
        <v>45554</v>
      </c>
      <c r="Z15" s="73">
        <f>Z14/Y14*100</f>
        <v>74.15402567094516</v>
      </c>
      <c r="AA15" s="74">
        <f>Z14/Y15*100</f>
        <v>44.641524344733725</v>
      </c>
      <c r="AB15" s="72">
        <v>62043</v>
      </c>
      <c r="AC15" s="73">
        <f>AC14/AB14*100</f>
        <v>85.19127862531991</v>
      </c>
      <c r="AD15" s="74">
        <f>AC14/AB15*100</f>
        <v>82.62495366117048</v>
      </c>
      <c r="AE15" s="72">
        <v>77443</v>
      </c>
      <c r="AF15" s="73">
        <f>AF14/AE14*100</f>
        <v>130.1182770842965</v>
      </c>
      <c r="AG15" s="74">
        <f>AF14/AE15*100</f>
        <v>87.22156941234198</v>
      </c>
      <c r="AH15" s="72">
        <v>38778</v>
      </c>
      <c r="AI15" s="73">
        <f>AI14/AH14*100</f>
        <v>141.75270204871754</v>
      </c>
      <c r="AJ15" s="74">
        <f>AI14/AH15*100</f>
        <v>90.64160090773119</v>
      </c>
      <c r="AK15" s="72">
        <v>10792</v>
      </c>
      <c r="AL15" s="73">
        <f>AL14/AK14*100</f>
        <v>99.92268290325698</v>
      </c>
      <c r="AM15" s="74">
        <f>AL14/AK15*100</f>
        <v>95.80244625648629</v>
      </c>
      <c r="AN15" s="103">
        <v>116202</v>
      </c>
      <c r="AO15" s="73">
        <f>AO14/AN14*100</f>
        <v>105.64956386857638</v>
      </c>
      <c r="AP15" s="74">
        <f>AO14/AN15*100</f>
        <v>90.26608836336723</v>
      </c>
    </row>
    <row r="16" spans="1:42" ht="15" customHeight="1">
      <c r="A16" s="30"/>
      <c r="B16" s="31" t="s">
        <v>29</v>
      </c>
      <c r="C16" s="10" t="s">
        <v>30</v>
      </c>
      <c r="D16" s="98">
        <v>3709</v>
      </c>
      <c r="E16" s="115">
        <v>-4022</v>
      </c>
      <c r="F16" s="104">
        <f>10522-272</f>
        <v>10250</v>
      </c>
      <c r="G16" s="139">
        <f>23112-12602</f>
        <v>10510</v>
      </c>
      <c r="H16" s="140"/>
      <c r="I16" s="100">
        <v>6020</v>
      </c>
      <c r="J16" s="139">
        <v>2997</v>
      </c>
      <c r="K16" s="140"/>
      <c r="L16" s="104">
        <f t="shared" si="0"/>
        <v>16270</v>
      </c>
      <c r="M16" s="139">
        <f>SUM(G16+J16)</f>
        <v>13507</v>
      </c>
      <c r="N16" s="140"/>
      <c r="O16" s="104">
        <v>1840</v>
      </c>
      <c r="P16" s="139">
        <v>3134</v>
      </c>
      <c r="Q16" s="140"/>
      <c r="R16" s="104">
        <v>1716</v>
      </c>
      <c r="S16" s="139">
        <v>2066</v>
      </c>
      <c r="T16" s="140"/>
      <c r="U16" s="25"/>
      <c r="V16" s="30"/>
      <c r="W16" s="31" t="s">
        <v>29</v>
      </c>
      <c r="X16" s="10" t="s">
        <v>30</v>
      </c>
      <c r="Y16" s="104">
        <v>1959</v>
      </c>
      <c r="Z16" s="139">
        <v>791</v>
      </c>
      <c r="AA16" s="140"/>
      <c r="AB16" s="104">
        <v>235</v>
      </c>
      <c r="AC16" s="139">
        <v>19</v>
      </c>
      <c r="AD16" s="140"/>
      <c r="AE16" s="104">
        <v>1172</v>
      </c>
      <c r="AF16" s="139">
        <v>1286</v>
      </c>
      <c r="AG16" s="140"/>
      <c r="AH16" s="100">
        <v>1299</v>
      </c>
      <c r="AI16" s="139">
        <v>1220</v>
      </c>
      <c r="AJ16" s="140"/>
      <c r="AK16" s="100">
        <v>1150</v>
      </c>
      <c r="AL16" s="139">
        <v>1172</v>
      </c>
      <c r="AM16" s="140"/>
      <c r="AN16" s="98">
        <v>3495</v>
      </c>
      <c r="AO16" s="139">
        <v>3137</v>
      </c>
      <c r="AP16" s="140"/>
    </row>
    <row r="17" spans="1:42" ht="15" customHeight="1" thickBot="1">
      <c r="A17" s="26" t="s">
        <v>39</v>
      </c>
      <c r="B17" s="32" t="s">
        <v>32</v>
      </c>
      <c r="C17" s="33" t="s">
        <v>33</v>
      </c>
      <c r="D17" s="72">
        <v>0</v>
      </c>
      <c r="E17" s="116" t="s">
        <v>34</v>
      </c>
      <c r="F17" s="72">
        <f>14414-272</f>
        <v>14142</v>
      </c>
      <c r="G17" s="73">
        <f>G16/F16*100</f>
        <v>102.53658536585365</v>
      </c>
      <c r="H17" s="74">
        <f>G16/F17*100</f>
        <v>74.31763541224721</v>
      </c>
      <c r="I17" s="105">
        <v>3593</v>
      </c>
      <c r="J17" s="73">
        <f>J16/I16*100</f>
        <v>49.78405315614618</v>
      </c>
      <c r="K17" s="74">
        <f>J16/I17*100</f>
        <v>83.41219037016421</v>
      </c>
      <c r="L17" s="72">
        <f t="shared" si="0"/>
        <v>17735</v>
      </c>
      <c r="M17" s="73">
        <f>M16/L16*100</f>
        <v>83.01782421634911</v>
      </c>
      <c r="N17" s="74">
        <f>M16/L17*100</f>
        <v>76.1601353256273</v>
      </c>
      <c r="O17" s="72">
        <v>4188</v>
      </c>
      <c r="P17" s="73">
        <f>P16/O16*100</f>
        <v>170.32608695652175</v>
      </c>
      <c r="Q17" s="74">
        <f>P16/O17*100</f>
        <v>74.83285577841453</v>
      </c>
      <c r="R17" s="72">
        <v>2200</v>
      </c>
      <c r="S17" s="73">
        <f>S16/R16*100</f>
        <v>120.39627039627038</v>
      </c>
      <c r="T17" s="74">
        <f>S16/R17*100</f>
        <v>93.9090909090909</v>
      </c>
      <c r="U17" s="29"/>
      <c r="V17" s="26" t="s">
        <v>39</v>
      </c>
      <c r="W17" s="32" t="s">
        <v>32</v>
      </c>
      <c r="X17" s="33" t="s">
        <v>33</v>
      </c>
      <c r="Y17" s="72">
        <v>1008</v>
      </c>
      <c r="Z17" s="73">
        <f>Z16/Y16*100</f>
        <v>40.3777437468096</v>
      </c>
      <c r="AA17" s="74">
        <f>Z16/Y17*100</f>
        <v>78.47222222222221</v>
      </c>
      <c r="AB17" s="72">
        <v>28</v>
      </c>
      <c r="AC17" s="73">
        <f>AC16/AB16*100</f>
        <v>8.085106382978724</v>
      </c>
      <c r="AD17" s="74">
        <f>AC16/AB17*100</f>
        <v>67.85714285714286</v>
      </c>
      <c r="AE17" s="72">
        <v>1479</v>
      </c>
      <c r="AF17" s="73">
        <f>AF16/AE16*100</f>
        <v>109.72696245733789</v>
      </c>
      <c r="AG17" s="74">
        <f>AF16/AE17*100</f>
        <v>86.95064232589587</v>
      </c>
      <c r="AH17" s="105">
        <v>1495</v>
      </c>
      <c r="AI17" s="73">
        <f>AI16/AH16*100</f>
        <v>93.9183987682833</v>
      </c>
      <c r="AJ17" s="74">
        <f>AI16/AH17*100</f>
        <v>81.60535117056857</v>
      </c>
      <c r="AK17" s="105">
        <v>1221</v>
      </c>
      <c r="AL17" s="73">
        <f>AL16/AK16*100</f>
        <v>101.91304347826087</v>
      </c>
      <c r="AM17" s="74">
        <f>AL16/AK17*100</f>
        <v>95.98689598689599</v>
      </c>
      <c r="AN17" s="99">
        <v>3495</v>
      </c>
      <c r="AO17" s="73">
        <f>AO16/AN16*100</f>
        <v>89.75679542203147</v>
      </c>
      <c r="AP17" s="74">
        <f>AO16/AN17*100</f>
        <v>89.75679542203147</v>
      </c>
    </row>
    <row r="18" spans="1:42" ht="15" customHeight="1">
      <c r="A18" s="30"/>
      <c r="B18" s="31" t="s">
        <v>29</v>
      </c>
      <c r="C18" s="10" t="s">
        <v>30</v>
      </c>
      <c r="D18" s="106">
        <v>7887</v>
      </c>
      <c r="E18" s="117">
        <v>121</v>
      </c>
      <c r="F18" s="104">
        <f>93985-1025</f>
        <v>92960</v>
      </c>
      <c r="G18" s="139">
        <f>307483-190012</f>
        <v>117471</v>
      </c>
      <c r="H18" s="140"/>
      <c r="I18" s="104">
        <v>13791</v>
      </c>
      <c r="J18" s="139">
        <v>14088</v>
      </c>
      <c r="K18" s="140"/>
      <c r="L18" s="104">
        <f t="shared" si="0"/>
        <v>106751</v>
      </c>
      <c r="M18" s="139">
        <f>SUM(G18+J18)</f>
        <v>131559</v>
      </c>
      <c r="N18" s="140"/>
      <c r="O18" s="104">
        <v>16400</v>
      </c>
      <c r="P18" s="139">
        <v>32330</v>
      </c>
      <c r="Q18" s="140"/>
      <c r="R18" s="104">
        <v>5337</v>
      </c>
      <c r="S18" s="139">
        <v>8313</v>
      </c>
      <c r="T18" s="140"/>
      <c r="U18" s="25"/>
      <c r="V18" s="30"/>
      <c r="W18" s="31" t="s">
        <v>29</v>
      </c>
      <c r="X18" s="10" t="s">
        <v>30</v>
      </c>
      <c r="Y18" s="104">
        <v>5604</v>
      </c>
      <c r="Z18" s="139">
        <v>3637</v>
      </c>
      <c r="AA18" s="140"/>
      <c r="AB18" s="104">
        <v>32629</v>
      </c>
      <c r="AC18" s="139">
        <v>35296</v>
      </c>
      <c r="AD18" s="140"/>
      <c r="AE18" s="104">
        <v>12928</v>
      </c>
      <c r="AF18" s="139">
        <v>12989</v>
      </c>
      <c r="AG18" s="140"/>
      <c r="AH18" s="104">
        <v>4684</v>
      </c>
      <c r="AI18" s="139">
        <v>7274</v>
      </c>
      <c r="AJ18" s="140"/>
      <c r="AK18" s="104">
        <v>3045</v>
      </c>
      <c r="AL18" s="139">
        <v>2815</v>
      </c>
      <c r="AM18" s="140"/>
      <c r="AN18" s="102">
        <v>19794</v>
      </c>
      <c r="AO18" s="139">
        <v>21339</v>
      </c>
      <c r="AP18" s="140"/>
    </row>
    <row r="19" spans="1:42" ht="15" customHeight="1" thickBot="1">
      <c r="A19" s="26" t="s">
        <v>41</v>
      </c>
      <c r="B19" s="32" t="s">
        <v>32</v>
      </c>
      <c r="C19" s="33" t="s">
        <v>33</v>
      </c>
      <c r="D19" s="72">
        <v>12465</v>
      </c>
      <c r="E19" s="118" t="s">
        <v>34</v>
      </c>
      <c r="F19" s="72">
        <f>126879-1075</f>
        <v>125804</v>
      </c>
      <c r="G19" s="73">
        <f>G18/F18*100</f>
        <v>126.36725473321859</v>
      </c>
      <c r="H19" s="74">
        <f>G18/F19*100</f>
        <v>93.37620425423675</v>
      </c>
      <c r="I19" s="72">
        <v>16008</v>
      </c>
      <c r="J19" s="73">
        <f>J18/I18*100</f>
        <v>102.15357842070915</v>
      </c>
      <c r="K19" s="74">
        <f>J18/I19*100</f>
        <v>88.00599700149925</v>
      </c>
      <c r="L19" s="72">
        <f t="shared" si="0"/>
        <v>141812</v>
      </c>
      <c r="M19" s="73">
        <f>M18/L18*100</f>
        <v>123.2391265655591</v>
      </c>
      <c r="N19" s="74">
        <f>M18/L19*100</f>
        <v>92.77000535920796</v>
      </c>
      <c r="O19" s="72">
        <v>34655</v>
      </c>
      <c r="P19" s="73">
        <f>P18/O18*100</f>
        <v>197.13414634146343</v>
      </c>
      <c r="Q19" s="74">
        <f>P18/O19*100</f>
        <v>93.29101139806666</v>
      </c>
      <c r="R19" s="72">
        <v>8904</v>
      </c>
      <c r="S19" s="73">
        <f>S18/R18*100</f>
        <v>155.76166385609892</v>
      </c>
      <c r="T19" s="74">
        <f>S18/R19*100</f>
        <v>93.36253369272237</v>
      </c>
      <c r="U19" s="29"/>
      <c r="V19" s="26" t="s">
        <v>41</v>
      </c>
      <c r="W19" s="32" t="s">
        <v>32</v>
      </c>
      <c r="X19" s="33" t="s">
        <v>33</v>
      </c>
      <c r="Y19" s="72">
        <v>4078</v>
      </c>
      <c r="Z19" s="73">
        <f>Z18/Y18*100</f>
        <v>64.90007137758744</v>
      </c>
      <c r="AA19" s="74">
        <f>Z18/Y19*100</f>
        <v>89.18587542913193</v>
      </c>
      <c r="AB19" s="72">
        <v>38647</v>
      </c>
      <c r="AC19" s="73">
        <f>AC18/AB18*100</f>
        <v>108.17371050292684</v>
      </c>
      <c r="AD19" s="74">
        <f>AC18/AB19*100</f>
        <v>91.3292105467436</v>
      </c>
      <c r="AE19" s="72">
        <v>15010</v>
      </c>
      <c r="AF19" s="73">
        <f>AF18/AE18*100</f>
        <v>100.47184405940595</v>
      </c>
      <c r="AG19" s="74">
        <f>AF18/AE19*100</f>
        <v>86.53564290473018</v>
      </c>
      <c r="AH19" s="72">
        <v>7455</v>
      </c>
      <c r="AI19" s="73">
        <f>AI18/AH18*100</f>
        <v>155.29461998292058</v>
      </c>
      <c r="AJ19" s="74">
        <f>AI18/AH19*100</f>
        <v>97.5720992622401</v>
      </c>
      <c r="AK19" s="72">
        <v>2998</v>
      </c>
      <c r="AL19" s="73">
        <f>AL18/AK18*100</f>
        <v>92.44663382594418</v>
      </c>
      <c r="AM19" s="74">
        <f>AL18/AK19*100</f>
        <v>93.89593062041361</v>
      </c>
      <c r="AN19" s="103">
        <v>21690</v>
      </c>
      <c r="AO19" s="73">
        <f>AO18/AN18*100</f>
        <v>107.80539557441648</v>
      </c>
      <c r="AP19" s="74">
        <f>AO18/AN19*100</f>
        <v>98.38174273858921</v>
      </c>
    </row>
    <row r="20" spans="1:42" ht="15" customHeight="1">
      <c r="A20" s="30"/>
      <c r="B20" s="31" t="s">
        <v>29</v>
      </c>
      <c r="C20" s="10" t="s">
        <v>30</v>
      </c>
      <c r="D20" s="98">
        <v>12000</v>
      </c>
      <c r="E20" s="115">
        <v>3603</v>
      </c>
      <c r="F20" s="104">
        <f>21062-480</f>
        <v>20582</v>
      </c>
      <c r="G20" s="139">
        <f>60451-37841</f>
        <v>22610</v>
      </c>
      <c r="H20" s="140"/>
      <c r="I20" s="100">
        <v>19250</v>
      </c>
      <c r="J20" s="139">
        <v>15505</v>
      </c>
      <c r="K20" s="140"/>
      <c r="L20" s="104">
        <f t="shared" si="0"/>
        <v>39832</v>
      </c>
      <c r="M20" s="139">
        <f>SUM(G20+J20)</f>
        <v>38115</v>
      </c>
      <c r="N20" s="140"/>
      <c r="O20" s="104">
        <v>6020</v>
      </c>
      <c r="P20" s="139">
        <v>7831</v>
      </c>
      <c r="Q20" s="140"/>
      <c r="R20" s="104">
        <v>5272</v>
      </c>
      <c r="S20" s="139">
        <v>4868</v>
      </c>
      <c r="T20" s="140"/>
      <c r="U20" s="25"/>
      <c r="V20" s="4"/>
      <c r="W20" s="31" t="s">
        <v>29</v>
      </c>
      <c r="X20" s="10" t="s">
        <v>30</v>
      </c>
      <c r="Y20" s="104">
        <v>1315</v>
      </c>
      <c r="Z20" s="139">
        <v>2210</v>
      </c>
      <c r="AA20" s="140"/>
      <c r="AB20" s="104">
        <v>15650</v>
      </c>
      <c r="AC20" s="139">
        <v>11008</v>
      </c>
      <c r="AD20" s="140"/>
      <c r="AE20" s="104">
        <v>3200</v>
      </c>
      <c r="AF20" s="139">
        <v>5117</v>
      </c>
      <c r="AG20" s="140"/>
      <c r="AH20" s="100">
        <v>330</v>
      </c>
      <c r="AI20" s="139">
        <v>494</v>
      </c>
      <c r="AJ20" s="140"/>
      <c r="AK20" s="100">
        <v>1100</v>
      </c>
      <c r="AL20" s="139">
        <v>1116</v>
      </c>
      <c r="AM20" s="140"/>
      <c r="AN20" s="98">
        <v>4700</v>
      </c>
      <c r="AO20" s="139">
        <v>4263</v>
      </c>
      <c r="AP20" s="140"/>
    </row>
    <row r="21" spans="1:42" ht="15" customHeight="1" thickBot="1">
      <c r="A21" s="26" t="s">
        <v>42</v>
      </c>
      <c r="B21" s="32" t="s">
        <v>32</v>
      </c>
      <c r="C21" s="33" t="s">
        <v>33</v>
      </c>
      <c r="D21" s="99">
        <v>12005</v>
      </c>
      <c r="E21" s="116" t="s">
        <v>34</v>
      </c>
      <c r="F21" s="72">
        <f>26772-480</f>
        <v>26292</v>
      </c>
      <c r="G21" s="73">
        <f>G20/F20*100</f>
        <v>109.8532698474395</v>
      </c>
      <c r="H21" s="74">
        <f>G20/F21*100</f>
        <v>85.99574014909479</v>
      </c>
      <c r="I21" s="105">
        <v>21250</v>
      </c>
      <c r="J21" s="73">
        <f>J20/I20*100</f>
        <v>80.54545454545455</v>
      </c>
      <c r="K21" s="74">
        <f>J20/I21*100</f>
        <v>72.96470588235294</v>
      </c>
      <c r="L21" s="72">
        <f t="shared" si="0"/>
        <v>47542</v>
      </c>
      <c r="M21" s="73">
        <f>M20/L20*100</f>
        <v>95.68939546093593</v>
      </c>
      <c r="N21" s="74">
        <f>M20/L21*100</f>
        <v>80.17121702915317</v>
      </c>
      <c r="O21" s="72">
        <v>9299</v>
      </c>
      <c r="P21" s="73">
        <f>P20/O20*100</f>
        <v>130.08305647840533</v>
      </c>
      <c r="Q21" s="74">
        <f>P20/O21*100</f>
        <v>84.21335627486826</v>
      </c>
      <c r="R21" s="72">
        <v>5649</v>
      </c>
      <c r="S21" s="73">
        <f>S20/R20*100</f>
        <v>92.33687405159333</v>
      </c>
      <c r="T21" s="74">
        <f>S20/R21*100</f>
        <v>86.17454416710922</v>
      </c>
      <c r="U21" s="29"/>
      <c r="V21" s="26" t="s">
        <v>42</v>
      </c>
      <c r="W21" s="32" t="s">
        <v>32</v>
      </c>
      <c r="X21" s="33" t="s">
        <v>33</v>
      </c>
      <c r="Y21" s="72">
        <v>2673</v>
      </c>
      <c r="Z21" s="73">
        <f>Z20/Y20*100</f>
        <v>168.06083650190112</v>
      </c>
      <c r="AA21" s="74">
        <f>Z20/Y21*100</f>
        <v>82.67863823419378</v>
      </c>
      <c r="AB21" s="72">
        <v>15920</v>
      </c>
      <c r="AC21" s="73">
        <f>AC20/AB20*100</f>
        <v>70.33865814696486</v>
      </c>
      <c r="AD21" s="74">
        <f>AC20/AB21*100</f>
        <v>69.14572864321607</v>
      </c>
      <c r="AE21" s="72">
        <v>5192</v>
      </c>
      <c r="AF21" s="73">
        <f>AF20/AE20*100</f>
        <v>159.90625</v>
      </c>
      <c r="AG21" s="74">
        <f>AF20/AE21*100</f>
        <v>98.55546995377505</v>
      </c>
      <c r="AH21" s="105">
        <v>593</v>
      </c>
      <c r="AI21" s="73">
        <f>AI20/AH20*100</f>
        <v>149.69696969696972</v>
      </c>
      <c r="AJ21" s="74">
        <f>AI20/AH21*100</f>
        <v>83.30522765598651</v>
      </c>
      <c r="AK21" s="105">
        <v>1135</v>
      </c>
      <c r="AL21" s="73">
        <f>AL20/AK20*100</f>
        <v>101.45454545454547</v>
      </c>
      <c r="AM21" s="74">
        <f>AL20/AK21*100</f>
        <v>98.32599118942731</v>
      </c>
      <c r="AN21" s="99">
        <v>4700</v>
      </c>
      <c r="AO21" s="73">
        <f>AO20/AN20*100</f>
        <v>90.70212765957447</v>
      </c>
      <c r="AP21" s="74">
        <f>AO20/AN21*100</f>
        <v>90.70212765957447</v>
      </c>
    </row>
    <row r="22" spans="1:42" ht="15" customHeight="1">
      <c r="A22" s="30"/>
      <c r="B22" s="31" t="s">
        <v>29</v>
      </c>
      <c r="C22" s="10" t="s">
        <v>30</v>
      </c>
      <c r="D22" s="102">
        <v>1300</v>
      </c>
      <c r="E22" s="117">
        <v>-292</v>
      </c>
      <c r="F22" s="104">
        <f>7390-110</f>
        <v>7280</v>
      </c>
      <c r="G22" s="139">
        <f>15639-8627</f>
        <v>7012</v>
      </c>
      <c r="H22" s="140"/>
      <c r="I22" s="104">
        <v>1487</v>
      </c>
      <c r="J22" s="139">
        <v>1021</v>
      </c>
      <c r="K22" s="140"/>
      <c r="L22" s="104">
        <f t="shared" si="0"/>
        <v>8767</v>
      </c>
      <c r="M22" s="139">
        <f>SUM(G22+J22)</f>
        <v>8033</v>
      </c>
      <c r="N22" s="140"/>
      <c r="O22" s="104">
        <v>1623</v>
      </c>
      <c r="P22" s="139">
        <v>1049</v>
      </c>
      <c r="Q22" s="140"/>
      <c r="R22" s="104">
        <v>12</v>
      </c>
      <c r="S22" s="139">
        <v>10</v>
      </c>
      <c r="T22" s="140"/>
      <c r="U22" s="25"/>
      <c r="V22" s="30"/>
      <c r="W22" s="31" t="s">
        <v>29</v>
      </c>
      <c r="X22" s="10" t="s">
        <v>30</v>
      </c>
      <c r="Y22" s="104">
        <v>909</v>
      </c>
      <c r="Z22" s="139">
        <v>828</v>
      </c>
      <c r="AA22" s="140"/>
      <c r="AB22" s="104">
        <v>0</v>
      </c>
      <c r="AC22" s="139">
        <v>0</v>
      </c>
      <c r="AD22" s="140"/>
      <c r="AE22" s="104">
        <v>1294</v>
      </c>
      <c r="AF22" s="139">
        <v>1667</v>
      </c>
      <c r="AG22" s="140"/>
      <c r="AH22" s="104">
        <v>0</v>
      </c>
      <c r="AI22" s="139">
        <v>99</v>
      </c>
      <c r="AJ22" s="140"/>
      <c r="AK22" s="104">
        <v>1031</v>
      </c>
      <c r="AL22" s="139">
        <v>1020</v>
      </c>
      <c r="AM22" s="140"/>
      <c r="AN22" s="102">
        <v>3439</v>
      </c>
      <c r="AO22" s="139">
        <v>2909</v>
      </c>
      <c r="AP22" s="140"/>
    </row>
    <row r="23" spans="1:42" ht="15" customHeight="1" thickBot="1">
      <c r="A23" s="26" t="s">
        <v>43</v>
      </c>
      <c r="B23" s="32" t="s">
        <v>32</v>
      </c>
      <c r="C23" s="33" t="s">
        <v>33</v>
      </c>
      <c r="D23" s="103">
        <v>1272</v>
      </c>
      <c r="E23" s="118" t="s">
        <v>34</v>
      </c>
      <c r="F23" s="72">
        <f>8208-123</f>
        <v>8085</v>
      </c>
      <c r="G23" s="73">
        <f>G22/F22*100</f>
        <v>96.31868131868131</v>
      </c>
      <c r="H23" s="74">
        <f>G22/F23*100</f>
        <v>86.72850958565245</v>
      </c>
      <c r="I23" s="72">
        <v>1450</v>
      </c>
      <c r="J23" s="73">
        <f>J22/I22*100</f>
        <v>68.66173503698722</v>
      </c>
      <c r="K23" s="74">
        <f>J22/I23*100</f>
        <v>70.41379310344827</v>
      </c>
      <c r="L23" s="72">
        <f t="shared" si="0"/>
        <v>9535</v>
      </c>
      <c r="M23" s="73">
        <f>M22/L22*100</f>
        <v>91.62769476445763</v>
      </c>
      <c r="N23" s="74">
        <f>M22/L23*100</f>
        <v>84.24750917671736</v>
      </c>
      <c r="O23" s="72">
        <v>1519</v>
      </c>
      <c r="P23" s="73">
        <f>P22/O22*100</f>
        <v>64.63339494762785</v>
      </c>
      <c r="Q23" s="74">
        <f>P22/O23*100</f>
        <v>69.05859117840684</v>
      </c>
      <c r="R23" s="72">
        <v>12</v>
      </c>
      <c r="S23" s="73">
        <f>S22/R22*100</f>
        <v>83.33333333333334</v>
      </c>
      <c r="T23" s="74">
        <f>S22/R23*100</f>
        <v>83.33333333333334</v>
      </c>
      <c r="U23" s="29"/>
      <c r="V23" s="26" t="s">
        <v>43</v>
      </c>
      <c r="W23" s="32" t="s">
        <v>32</v>
      </c>
      <c r="X23" s="33" t="s">
        <v>33</v>
      </c>
      <c r="Y23" s="72">
        <v>1352</v>
      </c>
      <c r="Z23" s="73">
        <f>Z22/Y22*100</f>
        <v>91.0891089108911</v>
      </c>
      <c r="AA23" s="74">
        <f>Z22/Y23*100</f>
        <v>61.24260355029586</v>
      </c>
      <c r="AB23" s="72">
        <v>0</v>
      </c>
      <c r="AC23" s="73" t="s">
        <v>40</v>
      </c>
      <c r="AD23" s="74" t="s">
        <v>34</v>
      </c>
      <c r="AE23" s="72">
        <v>1750</v>
      </c>
      <c r="AF23" s="73">
        <f>AF22/AE22*100</f>
        <v>128.82534775888718</v>
      </c>
      <c r="AG23" s="74">
        <f>AF22/AE23*100</f>
        <v>95.25714285714287</v>
      </c>
      <c r="AH23" s="72">
        <v>99</v>
      </c>
      <c r="AI23" s="73" t="s">
        <v>40</v>
      </c>
      <c r="AJ23" s="74">
        <f>AI22/AH23*100</f>
        <v>100</v>
      </c>
      <c r="AK23" s="72">
        <v>1044</v>
      </c>
      <c r="AL23" s="73">
        <f>AL22/AK22*100</f>
        <v>98.93307468477207</v>
      </c>
      <c r="AM23" s="74">
        <f>AL22/AK23*100</f>
        <v>97.70114942528735</v>
      </c>
      <c r="AN23" s="103">
        <v>3211</v>
      </c>
      <c r="AO23" s="73">
        <f>AO22/AN22*100</f>
        <v>84.58854318115732</v>
      </c>
      <c r="AP23" s="74">
        <f>AO22/AN23*100</f>
        <v>90.59483027094363</v>
      </c>
    </row>
    <row r="24" spans="1:42" ht="15" customHeight="1">
      <c r="A24" s="30" t="s">
        <v>44</v>
      </c>
      <c r="B24" s="31" t="s">
        <v>29</v>
      </c>
      <c r="C24" s="10" t="s">
        <v>30</v>
      </c>
      <c r="D24" s="98">
        <v>38520</v>
      </c>
      <c r="E24" s="115">
        <v>7448</v>
      </c>
      <c r="F24" s="104">
        <f>195799-1453</f>
        <v>194346</v>
      </c>
      <c r="G24" s="139">
        <f>540655-354423</f>
        <v>186232</v>
      </c>
      <c r="H24" s="140"/>
      <c r="I24" s="100">
        <v>40436</v>
      </c>
      <c r="J24" s="139">
        <v>49581</v>
      </c>
      <c r="K24" s="140"/>
      <c r="L24" s="104">
        <f t="shared" si="0"/>
        <v>234782</v>
      </c>
      <c r="M24" s="139">
        <f>SUM(G24+J24)</f>
        <v>235813</v>
      </c>
      <c r="N24" s="140"/>
      <c r="O24" s="104">
        <v>23798</v>
      </c>
      <c r="P24" s="139">
        <v>22380</v>
      </c>
      <c r="Q24" s="140"/>
      <c r="R24" s="104">
        <v>23892</v>
      </c>
      <c r="S24" s="139">
        <v>19205</v>
      </c>
      <c r="T24" s="140"/>
      <c r="U24" s="25"/>
      <c r="V24" s="30" t="s">
        <v>45</v>
      </c>
      <c r="W24" s="31" t="s">
        <v>29</v>
      </c>
      <c r="X24" s="10" t="s">
        <v>30</v>
      </c>
      <c r="Y24" s="104">
        <v>2449</v>
      </c>
      <c r="Z24" s="139">
        <v>9829</v>
      </c>
      <c r="AA24" s="140"/>
      <c r="AB24" s="104">
        <v>129119</v>
      </c>
      <c r="AC24" s="139">
        <v>121223</v>
      </c>
      <c r="AD24" s="140"/>
      <c r="AE24" s="104">
        <v>9667</v>
      </c>
      <c r="AF24" s="139">
        <v>8215</v>
      </c>
      <c r="AG24" s="140"/>
      <c r="AH24" s="100">
        <v>8430</v>
      </c>
      <c r="AI24" s="139">
        <v>10353</v>
      </c>
      <c r="AJ24" s="140"/>
      <c r="AK24" s="100">
        <v>5189</v>
      </c>
      <c r="AL24" s="139">
        <v>4802</v>
      </c>
      <c r="AM24" s="140"/>
      <c r="AN24" s="98">
        <v>30411</v>
      </c>
      <c r="AO24" s="139">
        <v>36381</v>
      </c>
      <c r="AP24" s="140"/>
    </row>
    <row r="25" spans="1:42" ht="15" customHeight="1" thickBot="1">
      <c r="A25" s="26" t="s">
        <v>46</v>
      </c>
      <c r="B25" s="32" t="s">
        <v>32</v>
      </c>
      <c r="C25" s="33" t="s">
        <v>33</v>
      </c>
      <c r="D25" s="98">
        <v>54447</v>
      </c>
      <c r="E25" s="116" t="s">
        <v>34</v>
      </c>
      <c r="F25" s="72">
        <f>233021-1453</f>
        <v>231568</v>
      </c>
      <c r="G25" s="73">
        <f>G24/F24*100</f>
        <v>95.82497195723091</v>
      </c>
      <c r="H25" s="74">
        <f>G24/F25*100</f>
        <v>80.42216541145581</v>
      </c>
      <c r="I25" s="105">
        <v>57423</v>
      </c>
      <c r="J25" s="73">
        <f>J24/I24*100</f>
        <v>122.61598575526757</v>
      </c>
      <c r="K25" s="74">
        <f>J24/I25*100</f>
        <v>86.34345123034323</v>
      </c>
      <c r="L25" s="72">
        <f t="shared" si="0"/>
        <v>288991</v>
      </c>
      <c r="M25" s="73" t="s">
        <v>1</v>
      </c>
      <c r="N25" s="74">
        <f>M24/L25*100</f>
        <v>81.59873490869958</v>
      </c>
      <c r="O25" s="72">
        <v>28571</v>
      </c>
      <c r="P25" s="73">
        <f>P24/O24*100</f>
        <v>94.0415160937894</v>
      </c>
      <c r="Q25" s="74">
        <f>P24/O25*100</f>
        <v>78.33117496762452</v>
      </c>
      <c r="R25" s="72">
        <v>27144</v>
      </c>
      <c r="S25" s="73">
        <f>S24/R24*100</f>
        <v>80.38255483006864</v>
      </c>
      <c r="T25" s="74">
        <f>S24/R25*100</f>
        <v>70.75228411435307</v>
      </c>
      <c r="U25" s="29"/>
      <c r="V25" s="26" t="s">
        <v>47</v>
      </c>
      <c r="W25" s="32" t="s">
        <v>32</v>
      </c>
      <c r="X25" s="33" t="s">
        <v>33</v>
      </c>
      <c r="Y25" s="72">
        <v>11047</v>
      </c>
      <c r="Z25" s="73">
        <f>Z24/Y24*100</f>
        <v>401.34748877092693</v>
      </c>
      <c r="AA25" s="74">
        <f>Z24/Y25*100</f>
        <v>88.97438218520865</v>
      </c>
      <c r="AB25" s="72">
        <v>140500</v>
      </c>
      <c r="AC25" s="73">
        <f>AC24/AB24*100</f>
        <v>93.88471100302822</v>
      </c>
      <c r="AD25" s="74">
        <f>AC24/AB25*100</f>
        <v>86.2797153024911</v>
      </c>
      <c r="AE25" s="72">
        <v>17106</v>
      </c>
      <c r="AF25" s="73">
        <f>AF24/AE24*100</f>
        <v>84.97982828178338</v>
      </c>
      <c r="AG25" s="74">
        <f>AF24/AE25*100</f>
        <v>48.024085116333445</v>
      </c>
      <c r="AH25" s="105">
        <v>13068</v>
      </c>
      <c r="AI25" s="73">
        <f>AI24/AH24*100</f>
        <v>122.81138790035587</v>
      </c>
      <c r="AJ25" s="74">
        <f>AI24/AH25*100</f>
        <v>79.22405876951332</v>
      </c>
      <c r="AK25" s="105">
        <v>5549</v>
      </c>
      <c r="AL25" s="73">
        <f>AL24/AK24*100</f>
        <v>92.54191559067257</v>
      </c>
      <c r="AM25" s="74">
        <f>AL24/AK25*100</f>
        <v>86.53811497567129</v>
      </c>
      <c r="AN25" s="99">
        <v>41007</v>
      </c>
      <c r="AO25" s="73">
        <f>AO24/AN24*100</f>
        <v>119.631054552629</v>
      </c>
      <c r="AP25" s="74">
        <f>AO24/AN25*100</f>
        <v>88.71899919525934</v>
      </c>
    </row>
    <row r="26" spans="1:42" ht="15" customHeight="1">
      <c r="A26" s="30"/>
      <c r="B26" s="31" t="s">
        <v>29</v>
      </c>
      <c r="C26" s="10" t="s">
        <v>30</v>
      </c>
      <c r="D26" s="102">
        <v>0</v>
      </c>
      <c r="E26" s="117">
        <v>310</v>
      </c>
      <c r="F26" s="104">
        <f>18434-155</f>
        <v>18279</v>
      </c>
      <c r="G26" s="139">
        <f>26047-1989</f>
        <v>24058</v>
      </c>
      <c r="H26" s="140"/>
      <c r="I26" s="104">
        <v>18380</v>
      </c>
      <c r="J26" s="139">
        <v>28910</v>
      </c>
      <c r="K26" s="140"/>
      <c r="L26" s="104">
        <f>SUM(F26+I26)</f>
        <v>36659</v>
      </c>
      <c r="M26" s="139">
        <f>SUM(G26+J26)</f>
        <v>52968</v>
      </c>
      <c r="N26" s="140"/>
      <c r="O26" s="104">
        <v>1050</v>
      </c>
      <c r="P26" s="139">
        <v>2752</v>
      </c>
      <c r="Q26" s="140"/>
      <c r="R26" s="104">
        <v>22381</v>
      </c>
      <c r="S26" s="139">
        <v>33840</v>
      </c>
      <c r="T26" s="140"/>
      <c r="U26" s="25"/>
      <c r="V26" s="30"/>
      <c r="W26" s="31" t="s">
        <v>29</v>
      </c>
      <c r="X26" s="10" t="s">
        <v>30</v>
      </c>
      <c r="Y26" s="104">
        <v>1958</v>
      </c>
      <c r="Z26" s="139">
        <v>2088</v>
      </c>
      <c r="AA26" s="140"/>
      <c r="AB26" s="104">
        <v>1432</v>
      </c>
      <c r="AC26" s="139">
        <v>2613</v>
      </c>
      <c r="AD26" s="140"/>
      <c r="AE26" s="104">
        <v>2408</v>
      </c>
      <c r="AF26" s="139">
        <v>3140</v>
      </c>
      <c r="AG26" s="140"/>
      <c r="AH26" s="104">
        <v>0</v>
      </c>
      <c r="AI26" s="139">
        <v>190</v>
      </c>
      <c r="AJ26" s="140"/>
      <c r="AK26" s="104">
        <v>1234</v>
      </c>
      <c r="AL26" s="139">
        <v>1252</v>
      </c>
      <c r="AM26" s="140"/>
      <c r="AN26" s="102">
        <v>4523</v>
      </c>
      <c r="AO26" s="139">
        <v>4378</v>
      </c>
      <c r="AP26" s="140"/>
    </row>
    <row r="27" spans="1:42" ht="15" customHeight="1" thickBot="1">
      <c r="A27" s="26" t="s">
        <v>48</v>
      </c>
      <c r="B27" s="32" t="s">
        <v>32</v>
      </c>
      <c r="C27" s="33" t="s">
        <v>33</v>
      </c>
      <c r="D27" s="103">
        <v>2681</v>
      </c>
      <c r="E27" s="118" t="s">
        <v>34</v>
      </c>
      <c r="F27" s="72">
        <f>26545-155</f>
        <v>26390</v>
      </c>
      <c r="G27" s="73">
        <f>G26/F26*100</f>
        <v>131.61551507194048</v>
      </c>
      <c r="H27" s="74">
        <f>G26/F27*100</f>
        <v>91.1633194391815</v>
      </c>
      <c r="I27" s="72">
        <v>29250</v>
      </c>
      <c r="J27" s="73">
        <f>J26/I26*100</f>
        <v>157.2905331882481</v>
      </c>
      <c r="K27" s="74">
        <f>J26/I27*100</f>
        <v>98.83760683760684</v>
      </c>
      <c r="L27" s="72">
        <f t="shared" si="0"/>
        <v>55640</v>
      </c>
      <c r="M27" s="73">
        <f>M26/L26*100</f>
        <v>144.48839302763307</v>
      </c>
      <c r="N27" s="74">
        <f>M26/L27*100</f>
        <v>95.19769949676493</v>
      </c>
      <c r="O27" s="72">
        <v>3081</v>
      </c>
      <c r="P27" s="73">
        <f>P26/O26*100</f>
        <v>262.09523809523813</v>
      </c>
      <c r="Q27" s="74">
        <f>P26/O27*100</f>
        <v>89.3216488153197</v>
      </c>
      <c r="R27" s="72">
        <v>33962</v>
      </c>
      <c r="S27" s="73">
        <f>S26/R26*100</f>
        <v>151.19967829855682</v>
      </c>
      <c r="T27" s="74">
        <f>S26/R27*100</f>
        <v>99.64077498380543</v>
      </c>
      <c r="U27" s="29"/>
      <c r="V27" s="26" t="s">
        <v>48</v>
      </c>
      <c r="W27" s="32" t="s">
        <v>32</v>
      </c>
      <c r="X27" s="33" t="s">
        <v>33</v>
      </c>
      <c r="Y27" s="72">
        <v>2493</v>
      </c>
      <c r="Z27" s="73">
        <f>Z26/Y26*100</f>
        <v>106.6394279877426</v>
      </c>
      <c r="AA27" s="74">
        <f>Z26/Y27*100</f>
        <v>83.75451263537906</v>
      </c>
      <c r="AB27" s="72">
        <v>2893</v>
      </c>
      <c r="AC27" s="73">
        <f>AC26/AB26*100</f>
        <v>182.47206703910615</v>
      </c>
      <c r="AD27" s="74">
        <f>AC26/AB27*100</f>
        <v>90.3214656066367</v>
      </c>
      <c r="AE27" s="72">
        <v>3404</v>
      </c>
      <c r="AF27" s="73">
        <f>AF26/AE26*100</f>
        <v>130.3986710963455</v>
      </c>
      <c r="AG27" s="74">
        <f>AF26/AE27*100</f>
        <v>92.24441833137486</v>
      </c>
      <c r="AH27" s="72">
        <v>191</v>
      </c>
      <c r="AI27" s="73" t="s">
        <v>40</v>
      </c>
      <c r="AJ27" s="74">
        <f>AI26/AH27*100</f>
        <v>99.47643979057592</v>
      </c>
      <c r="AK27" s="72">
        <v>1281</v>
      </c>
      <c r="AL27" s="73">
        <f>AL26/AK26*100</f>
        <v>101.45867098865477</v>
      </c>
      <c r="AM27" s="74">
        <f>AL26/AK27*100</f>
        <v>97.73614363778297</v>
      </c>
      <c r="AN27" s="103">
        <v>4590</v>
      </c>
      <c r="AO27" s="73">
        <f>AO26/AN26*100</f>
        <v>96.79416316604024</v>
      </c>
      <c r="AP27" s="74">
        <f>AO26/AN27*100</f>
        <v>95.38126361655773</v>
      </c>
    </row>
    <row r="28" spans="1:42" ht="15" customHeight="1">
      <c r="A28" s="30"/>
      <c r="B28" s="31" t="s">
        <v>29</v>
      </c>
      <c r="C28" s="10" t="s">
        <v>30</v>
      </c>
      <c r="D28" s="98">
        <v>0</v>
      </c>
      <c r="E28" s="115">
        <v>-592</v>
      </c>
      <c r="F28" s="104">
        <f>9143-346</f>
        <v>8797</v>
      </c>
      <c r="G28" s="139">
        <f>23517-13939</f>
        <v>9578</v>
      </c>
      <c r="H28" s="140"/>
      <c r="I28" s="100">
        <v>1000</v>
      </c>
      <c r="J28" s="139">
        <v>4227</v>
      </c>
      <c r="K28" s="140"/>
      <c r="L28" s="104">
        <f t="shared" si="0"/>
        <v>9797</v>
      </c>
      <c r="M28" s="139">
        <f>SUM(G28+J28)</f>
        <v>13805</v>
      </c>
      <c r="N28" s="140"/>
      <c r="O28" s="104">
        <v>671</v>
      </c>
      <c r="P28" s="139">
        <v>802</v>
      </c>
      <c r="Q28" s="140"/>
      <c r="R28" s="104">
        <v>1127</v>
      </c>
      <c r="S28" s="139">
        <v>1590</v>
      </c>
      <c r="T28" s="140"/>
      <c r="U28" s="25"/>
      <c r="V28" s="30"/>
      <c r="W28" s="31" t="s">
        <v>29</v>
      </c>
      <c r="X28" s="10" t="s">
        <v>30</v>
      </c>
      <c r="Y28" s="104">
        <v>1830</v>
      </c>
      <c r="Z28" s="139">
        <v>1847</v>
      </c>
      <c r="AA28" s="140"/>
      <c r="AB28" s="104">
        <v>0</v>
      </c>
      <c r="AC28" s="139">
        <v>0</v>
      </c>
      <c r="AD28" s="140"/>
      <c r="AE28" s="104">
        <v>2066</v>
      </c>
      <c r="AF28" s="139">
        <v>5437</v>
      </c>
      <c r="AG28" s="140"/>
      <c r="AH28" s="100">
        <v>2</v>
      </c>
      <c r="AI28" s="139">
        <v>64</v>
      </c>
      <c r="AJ28" s="140"/>
      <c r="AK28" s="100">
        <v>1018</v>
      </c>
      <c r="AL28" s="139">
        <v>1011</v>
      </c>
      <c r="AM28" s="140"/>
      <c r="AN28" s="98">
        <v>2770</v>
      </c>
      <c r="AO28" s="139">
        <v>2666</v>
      </c>
      <c r="AP28" s="140"/>
    </row>
    <row r="29" spans="1:42" ht="15" customHeight="1" thickBot="1">
      <c r="A29" s="26" t="s">
        <v>49</v>
      </c>
      <c r="B29" s="36" t="s">
        <v>32</v>
      </c>
      <c r="C29" s="37" t="s">
        <v>33</v>
      </c>
      <c r="D29" s="99">
        <v>406</v>
      </c>
      <c r="E29" s="116" t="s">
        <v>34</v>
      </c>
      <c r="F29" s="105">
        <f>10722-346</f>
        <v>10376</v>
      </c>
      <c r="G29" s="73">
        <f>G28/F28*100</f>
        <v>108.87802659997728</v>
      </c>
      <c r="H29" s="74">
        <f>G28/F29*100</f>
        <v>92.30917501927524</v>
      </c>
      <c r="I29" s="105">
        <v>4433</v>
      </c>
      <c r="J29" s="73">
        <f>J28/I28*100</f>
        <v>422.70000000000005</v>
      </c>
      <c r="K29" s="74">
        <f>J28/I29*100</f>
        <v>95.35303406271149</v>
      </c>
      <c r="L29" s="72">
        <f t="shared" si="0"/>
        <v>14809</v>
      </c>
      <c r="M29" s="73">
        <f>M28/L28*100</f>
        <v>140.9104828008574</v>
      </c>
      <c r="N29" s="74">
        <f>M28/L29*100</f>
        <v>93.22033898305084</v>
      </c>
      <c r="O29" s="72">
        <v>1016</v>
      </c>
      <c r="P29" s="73">
        <f>P28/O28*100</f>
        <v>119.52309985096869</v>
      </c>
      <c r="Q29" s="74">
        <f>P28/O29*100</f>
        <v>78.93700787401575</v>
      </c>
      <c r="R29" s="72">
        <v>1590</v>
      </c>
      <c r="S29" s="73">
        <f>S28/R28*100</f>
        <v>141.08251996450753</v>
      </c>
      <c r="T29" s="74">
        <f>S28/R29*100</f>
        <v>100</v>
      </c>
      <c r="U29" s="29"/>
      <c r="V29" s="26" t="s">
        <v>49</v>
      </c>
      <c r="W29" s="36" t="s">
        <v>32</v>
      </c>
      <c r="X29" s="37" t="s">
        <v>33</v>
      </c>
      <c r="Y29" s="72">
        <v>2029</v>
      </c>
      <c r="Z29" s="73">
        <f>Z28/Y28*100</f>
        <v>100.92896174863388</v>
      </c>
      <c r="AA29" s="74">
        <f>Z28/Y29*100</f>
        <v>91.03006407097092</v>
      </c>
      <c r="AB29" s="72">
        <v>0</v>
      </c>
      <c r="AC29" s="73" t="s">
        <v>40</v>
      </c>
      <c r="AD29" s="74" t="s">
        <v>34</v>
      </c>
      <c r="AE29" s="72">
        <v>5651</v>
      </c>
      <c r="AF29" s="73">
        <f>AF28/AE28*100</f>
        <v>263.16553727008716</v>
      </c>
      <c r="AG29" s="74">
        <f>AF28/AE29*100</f>
        <v>96.21305963546276</v>
      </c>
      <c r="AH29" s="105">
        <v>66</v>
      </c>
      <c r="AI29" s="73">
        <f>AI28/AH28*100</f>
        <v>3200</v>
      </c>
      <c r="AJ29" s="74">
        <f>AI28/AH29*100</f>
        <v>96.96969696969697</v>
      </c>
      <c r="AK29" s="105">
        <v>1077</v>
      </c>
      <c r="AL29" s="73">
        <f>AL28/AK28*100</f>
        <v>99.31237721021611</v>
      </c>
      <c r="AM29" s="74">
        <f>AL28/AK29*100</f>
        <v>93.87186629526462</v>
      </c>
      <c r="AN29" s="99">
        <v>2966</v>
      </c>
      <c r="AO29" s="73">
        <f>AO28/AN28*100</f>
        <v>96.24548736462094</v>
      </c>
      <c r="AP29" s="74">
        <f>AO28/AN29*100</f>
        <v>89.88536749831422</v>
      </c>
    </row>
    <row r="30" spans="1:42" ht="15" customHeight="1">
      <c r="A30" s="30"/>
      <c r="B30" s="31" t="s">
        <v>29</v>
      </c>
      <c r="C30" s="38" t="s">
        <v>30</v>
      </c>
      <c r="D30" s="102">
        <v>2400</v>
      </c>
      <c r="E30" s="117">
        <v>135</v>
      </c>
      <c r="F30" s="104">
        <f>13725-180</f>
        <v>13545</v>
      </c>
      <c r="G30" s="139">
        <f>15475-2790</f>
        <v>12685</v>
      </c>
      <c r="H30" s="140"/>
      <c r="I30" s="104">
        <v>3436</v>
      </c>
      <c r="J30" s="139">
        <v>4692</v>
      </c>
      <c r="K30" s="140"/>
      <c r="L30" s="104">
        <f t="shared" si="0"/>
        <v>16981</v>
      </c>
      <c r="M30" s="139">
        <f>SUM(G30+J30)</f>
        <v>17377</v>
      </c>
      <c r="N30" s="140"/>
      <c r="O30" s="104">
        <v>275</v>
      </c>
      <c r="P30" s="139">
        <v>270</v>
      </c>
      <c r="Q30" s="140"/>
      <c r="R30" s="104">
        <v>4300</v>
      </c>
      <c r="S30" s="139">
        <v>5232</v>
      </c>
      <c r="T30" s="140"/>
      <c r="U30" s="25"/>
      <c r="V30" s="30"/>
      <c r="W30" s="31" t="s">
        <v>29</v>
      </c>
      <c r="X30" s="39" t="s">
        <v>30</v>
      </c>
      <c r="Y30" s="104">
        <v>3250</v>
      </c>
      <c r="Z30" s="139">
        <v>2448</v>
      </c>
      <c r="AA30" s="140"/>
      <c r="AB30" s="104">
        <v>1451</v>
      </c>
      <c r="AC30" s="139">
        <v>652</v>
      </c>
      <c r="AD30" s="140"/>
      <c r="AE30" s="104">
        <v>2392</v>
      </c>
      <c r="AF30" s="139">
        <v>2706</v>
      </c>
      <c r="AG30" s="140"/>
      <c r="AH30" s="104">
        <v>17</v>
      </c>
      <c r="AI30" s="139">
        <v>137</v>
      </c>
      <c r="AJ30" s="140"/>
      <c r="AK30" s="104">
        <v>1040</v>
      </c>
      <c r="AL30" s="139">
        <v>1082</v>
      </c>
      <c r="AM30" s="140"/>
      <c r="AN30" s="102">
        <v>3621</v>
      </c>
      <c r="AO30" s="139">
        <v>4033</v>
      </c>
      <c r="AP30" s="140"/>
    </row>
    <row r="31" spans="1:42" ht="15" customHeight="1" thickBot="1">
      <c r="A31" s="26" t="s">
        <v>50</v>
      </c>
      <c r="B31" s="32" t="s">
        <v>32</v>
      </c>
      <c r="C31" s="40" t="s">
        <v>33</v>
      </c>
      <c r="D31" s="103">
        <v>2797</v>
      </c>
      <c r="E31" s="118" t="s">
        <v>34</v>
      </c>
      <c r="F31" s="72">
        <f>15311-180</f>
        <v>15131</v>
      </c>
      <c r="G31" s="73">
        <f>G30/F30*100</f>
        <v>93.65079365079364</v>
      </c>
      <c r="H31" s="74">
        <f>G30/F31*100</f>
        <v>83.83451192915207</v>
      </c>
      <c r="I31" s="72">
        <v>5044</v>
      </c>
      <c r="J31" s="73">
        <f>J30/I31*100</f>
        <v>93.0214115781126</v>
      </c>
      <c r="K31" s="74">
        <f>J30/I30*100</f>
        <v>136.55413271245635</v>
      </c>
      <c r="L31" s="72">
        <f t="shared" si="0"/>
        <v>20175</v>
      </c>
      <c r="M31" s="73">
        <f>M30/L30*100</f>
        <v>102.33201813791885</v>
      </c>
      <c r="N31" s="74">
        <f>M30/L31*100</f>
        <v>86.13135068153656</v>
      </c>
      <c r="O31" s="72">
        <v>290</v>
      </c>
      <c r="P31" s="73">
        <f>P30/O30*100</f>
        <v>98.18181818181819</v>
      </c>
      <c r="Q31" s="74">
        <f>P30/O31*100</f>
        <v>93.10344827586206</v>
      </c>
      <c r="R31" s="72">
        <v>5294</v>
      </c>
      <c r="S31" s="73">
        <f>S30/R30*100</f>
        <v>121.67441860465115</v>
      </c>
      <c r="T31" s="74">
        <f>S30/R31*100</f>
        <v>98.8288628636192</v>
      </c>
      <c r="U31" s="29"/>
      <c r="V31" s="26" t="s">
        <v>50</v>
      </c>
      <c r="W31" s="32" t="s">
        <v>32</v>
      </c>
      <c r="X31" s="41" t="s">
        <v>33</v>
      </c>
      <c r="Y31" s="72">
        <v>3195</v>
      </c>
      <c r="Z31" s="73">
        <f>Z30/Y30*100</f>
        <v>75.32307692307693</v>
      </c>
      <c r="AA31" s="74">
        <f>Z30/Y31*100</f>
        <v>76.61971830985915</v>
      </c>
      <c r="AB31" s="72">
        <v>1451</v>
      </c>
      <c r="AC31" s="73">
        <f>AC30/AB30*100</f>
        <v>44.934527911784976</v>
      </c>
      <c r="AD31" s="74">
        <f>AC30/AB31*100</f>
        <v>44.934527911784976</v>
      </c>
      <c r="AE31" s="72">
        <v>3467</v>
      </c>
      <c r="AF31" s="73">
        <f>AF30/AE30*100</f>
        <v>113.12709030100334</v>
      </c>
      <c r="AG31" s="74">
        <f>AF30/AE31*100</f>
        <v>78.05018748197288</v>
      </c>
      <c r="AH31" s="72">
        <v>143</v>
      </c>
      <c r="AI31" s="73">
        <f>AI30/AH30*100</f>
        <v>805.8823529411765</v>
      </c>
      <c r="AJ31" s="74">
        <f>AI30/AH31*100</f>
        <v>95.8041958041958</v>
      </c>
      <c r="AK31" s="72">
        <v>1106</v>
      </c>
      <c r="AL31" s="73">
        <f>AL30/AK30*100</f>
        <v>104.03846153846155</v>
      </c>
      <c r="AM31" s="74">
        <f>AL30/AK31*100</f>
        <v>97.83001808318264</v>
      </c>
      <c r="AN31" s="103">
        <v>4155</v>
      </c>
      <c r="AO31" s="73">
        <f>AO30/AN30*100</f>
        <v>111.37807235570286</v>
      </c>
      <c r="AP31" s="74">
        <f>AO30/AN31*100</f>
        <v>97.06377858002406</v>
      </c>
    </row>
    <row r="32" spans="1:42" ht="15" customHeight="1">
      <c r="A32" s="11"/>
      <c r="B32" s="11"/>
      <c r="C32" s="11"/>
      <c r="D32" s="92"/>
      <c r="E32" s="113"/>
      <c r="F32" s="92"/>
      <c r="G32" s="96"/>
      <c r="H32" s="97"/>
      <c r="I32" s="92"/>
      <c r="J32" s="96"/>
      <c r="K32" s="97"/>
      <c r="L32" s="92"/>
      <c r="M32" s="96"/>
      <c r="N32" s="97"/>
      <c r="O32" s="75"/>
      <c r="P32" s="76"/>
      <c r="Q32" s="77"/>
      <c r="R32" s="25"/>
      <c r="S32" s="42"/>
      <c r="T32" s="43"/>
      <c r="U32" s="29"/>
      <c r="V32" s="11"/>
      <c r="W32" s="11"/>
      <c r="X32" s="11"/>
      <c r="Y32" s="25"/>
      <c r="Z32" s="42"/>
      <c r="AA32" s="43"/>
      <c r="AB32" s="25"/>
      <c r="AC32" s="42"/>
      <c r="AD32" s="43"/>
      <c r="AE32" s="25"/>
      <c r="AF32" s="42"/>
      <c r="AG32" s="43"/>
      <c r="AH32" s="25"/>
      <c r="AI32" s="42"/>
      <c r="AJ32" s="43"/>
      <c r="AK32" s="25"/>
      <c r="AL32" s="42"/>
      <c r="AM32" s="43"/>
      <c r="AN32" s="25"/>
      <c r="AO32" s="42"/>
      <c r="AP32" s="43"/>
    </row>
    <row r="33" spans="1:42" ht="15" customHeight="1">
      <c r="A33" s="11"/>
      <c r="B33" s="11"/>
      <c r="C33" s="11"/>
      <c r="D33" s="92"/>
      <c r="E33" s="113"/>
      <c r="F33" s="92"/>
      <c r="G33" s="96" t="s">
        <v>74</v>
      </c>
      <c r="H33" s="97"/>
      <c r="I33" s="92"/>
      <c r="J33" s="96"/>
      <c r="K33" s="97"/>
      <c r="L33" s="92"/>
      <c r="M33" s="96"/>
      <c r="N33" s="97"/>
      <c r="O33" s="75"/>
      <c r="P33" s="76"/>
      <c r="Q33" s="77"/>
      <c r="R33" s="25"/>
      <c r="S33" s="42"/>
      <c r="T33" s="43"/>
      <c r="U33" s="29"/>
      <c r="V33" s="11"/>
      <c r="W33" s="11"/>
      <c r="X33" s="11"/>
      <c r="Y33" s="25"/>
      <c r="Z33" s="42"/>
      <c r="AA33" s="43"/>
      <c r="AB33" s="25"/>
      <c r="AC33" s="42"/>
      <c r="AD33" s="43"/>
      <c r="AE33" s="25"/>
      <c r="AF33" s="42"/>
      <c r="AG33" s="43"/>
      <c r="AH33" s="25"/>
      <c r="AI33" s="42"/>
      <c r="AJ33" s="43"/>
      <c r="AK33" s="25"/>
      <c r="AL33" s="42"/>
      <c r="AM33" s="43"/>
      <c r="AN33" s="25"/>
      <c r="AO33" s="42"/>
      <c r="AP33" s="43"/>
    </row>
    <row r="34" spans="1:42" ht="15" customHeight="1">
      <c r="A34" s="11"/>
      <c r="B34" s="11"/>
      <c r="C34" s="11"/>
      <c r="D34" s="92"/>
      <c r="E34" s="113"/>
      <c r="F34" s="92"/>
      <c r="G34" s="96"/>
      <c r="H34" s="97"/>
      <c r="I34" s="92"/>
      <c r="J34" s="96"/>
      <c r="K34" s="97" t="s">
        <v>1</v>
      </c>
      <c r="L34" s="92"/>
      <c r="M34" s="96"/>
      <c r="N34" s="97"/>
      <c r="O34" s="75"/>
      <c r="P34" s="76" t="s">
        <v>1</v>
      </c>
      <c r="Q34" s="77"/>
      <c r="R34" s="25"/>
      <c r="S34" s="42"/>
      <c r="T34" s="43"/>
      <c r="U34" s="29"/>
      <c r="V34" s="11"/>
      <c r="W34" s="11"/>
      <c r="X34" s="11"/>
      <c r="Y34" s="25"/>
      <c r="Z34" s="42"/>
      <c r="AA34" s="43"/>
      <c r="AB34" s="25"/>
      <c r="AC34" s="42"/>
      <c r="AD34" s="43"/>
      <c r="AE34" s="25"/>
      <c r="AF34" s="42"/>
      <c r="AG34" s="43"/>
      <c r="AH34" s="25"/>
      <c r="AI34" s="42"/>
      <c r="AJ34" s="43"/>
      <c r="AK34" s="25"/>
      <c r="AL34" s="42"/>
      <c r="AM34" s="43"/>
      <c r="AN34" s="25"/>
      <c r="AO34" s="42"/>
      <c r="AP34" s="43"/>
    </row>
    <row r="35" spans="4:42" s="11" customFormat="1" ht="15" customHeight="1">
      <c r="D35" s="92"/>
      <c r="E35" s="113"/>
      <c r="F35" s="92"/>
      <c r="G35" s="96"/>
      <c r="H35" s="97"/>
      <c r="I35" s="92"/>
      <c r="J35" s="96"/>
      <c r="K35" s="97"/>
      <c r="L35" s="92"/>
      <c r="M35" s="96"/>
      <c r="N35" s="97"/>
      <c r="O35" s="75"/>
      <c r="P35" s="76"/>
      <c r="Q35" s="77"/>
      <c r="R35" s="25"/>
      <c r="S35" s="42"/>
      <c r="T35" s="2" t="s">
        <v>0</v>
      </c>
      <c r="U35" s="29"/>
      <c r="Y35" s="25"/>
      <c r="Z35" s="42"/>
      <c r="AA35" s="43"/>
      <c r="AB35" s="25"/>
      <c r="AC35" s="42"/>
      <c r="AD35" s="43"/>
      <c r="AE35" s="25"/>
      <c r="AF35" s="42"/>
      <c r="AG35" s="43"/>
      <c r="AH35" s="25"/>
      <c r="AI35" s="42"/>
      <c r="AJ35" s="43"/>
      <c r="AK35" s="25"/>
      <c r="AL35" s="42"/>
      <c r="AM35" s="43"/>
      <c r="AN35" s="25"/>
      <c r="AO35" s="42"/>
      <c r="AP35" s="2" t="s">
        <v>0</v>
      </c>
    </row>
    <row r="36" spans="4:17" ht="12.75"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78"/>
      <c r="P36" s="78"/>
      <c r="Q36" s="78"/>
    </row>
    <row r="37" spans="4:42" s="11" customFormat="1" ht="15" customHeight="1" thickBot="1">
      <c r="D37" s="92"/>
      <c r="E37" s="113"/>
      <c r="F37" s="92"/>
      <c r="G37" s="96"/>
      <c r="H37" s="97"/>
      <c r="I37" s="92"/>
      <c r="J37" s="96"/>
      <c r="K37" s="97"/>
      <c r="L37" s="92"/>
      <c r="M37" s="96"/>
      <c r="N37" s="97"/>
      <c r="O37" s="75"/>
      <c r="P37" s="76"/>
      <c r="Q37" s="77"/>
      <c r="R37" s="25"/>
      <c r="S37" s="42"/>
      <c r="T37" s="43"/>
      <c r="U37" s="29"/>
      <c r="Y37" s="25"/>
      <c r="Z37" s="42"/>
      <c r="AA37" s="43"/>
      <c r="AB37" s="25"/>
      <c r="AC37" s="42"/>
      <c r="AD37" s="43"/>
      <c r="AE37" s="25"/>
      <c r="AF37" s="42"/>
      <c r="AG37" s="43" t="s">
        <v>1</v>
      </c>
      <c r="AH37" s="25"/>
      <c r="AI37" s="42"/>
      <c r="AJ37" s="43"/>
      <c r="AK37" s="25"/>
      <c r="AL37" s="42"/>
      <c r="AM37" s="43"/>
      <c r="AN37" s="25"/>
      <c r="AO37" s="42"/>
      <c r="AP37" s="43"/>
    </row>
    <row r="38" spans="1:42" ht="15" customHeight="1">
      <c r="A38" s="44"/>
      <c r="B38" s="6"/>
      <c r="C38" s="6"/>
      <c r="D38" s="166"/>
      <c r="E38" s="167"/>
      <c r="F38" s="119"/>
      <c r="G38" s="119"/>
      <c r="H38" s="120"/>
      <c r="I38" s="166"/>
      <c r="J38" s="168"/>
      <c r="K38" s="167"/>
      <c r="L38" s="166"/>
      <c r="M38" s="168"/>
      <c r="N38" s="167"/>
      <c r="O38" s="79" t="s">
        <v>3</v>
      </c>
      <c r="P38" s="80"/>
      <c r="Q38" s="81"/>
      <c r="R38" s="47"/>
      <c r="S38" s="47"/>
      <c r="T38" s="48"/>
      <c r="U38" s="11"/>
      <c r="V38" s="44"/>
      <c r="W38" s="6"/>
      <c r="X38" s="6"/>
      <c r="Y38" s="45" t="s">
        <v>3</v>
      </c>
      <c r="Z38" s="46"/>
      <c r="AA38" s="47"/>
      <c r="AB38" s="47"/>
      <c r="AC38" s="47"/>
      <c r="AD38" s="47"/>
      <c r="AE38" s="47"/>
      <c r="AF38" s="47"/>
      <c r="AG38" s="9"/>
      <c r="AH38" s="169"/>
      <c r="AI38" s="169"/>
      <c r="AJ38" s="169"/>
      <c r="AK38" s="169"/>
      <c r="AL38" s="169"/>
      <c r="AM38" s="169"/>
      <c r="AN38" s="169"/>
      <c r="AO38" s="12"/>
      <c r="AP38" s="13"/>
    </row>
    <row r="39" spans="1:42" ht="15" customHeight="1">
      <c r="A39" s="49" t="s">
        <v>4</v>
      </c>
      <c r="B39" s="157" t="s">
        <v>5</v>
      </c>
      <c r="C39" s="157"/>
      <c r="D39" s="150" t="s">
        <v>6</v>
      </c>
      <c r="E39" s="152"/>
      <c r="F39" s="151" t="s">
        <v>7</v>
      </c>
      <c r="G39" s="151"/>
      <c r="H39" s="152"/>
      <c r="I39" s="150" t="s">
        <v>8</v>
      </c>
      <c r="J39" s="151"/>
      <c r="K39" s="152"/>
      <c r="L39" s="150" t="s">
        <v>9</v>
      </c>
      <c r="M39" s="151"/>
      <c r="N39" s="152"/>
      <c r="O39" s="153" t="s">
        <v>10</v>
      </c>
      <c r="P39" s="154"/>
      <c r="Q39" s="154"/>
      <c r="R39" s="155" t="s">
        <v>11</v>
      </c>
      <c r="S39" s="148"/>
      <c r="T39" s="156"/>
      <c r="U39" s="16"/>
      <c r="V39" s="49" t="s">
        <v>12</v>
      </c>
      <c r="W39" s="157" t="s">
        <v>5</v>
      </c>
      <c r="X39" s="157"/>
      <c r="Y39" s="147" t="s">
        <v>13</v>
      </c>
      <c r="Z39" s="148"/>
      <c r="AA39" s="148"/>
      <c r="AB39" s="155" t="s">
        <v>14</v>
      </c>
      <c r="AC39" s="148"/>
      <c r="AD39" s="158"/>
      <c r="AE39" s="155" t="s">
        <v>15</v>
      </c>
      <c r="AF39" s="148"/>
      <c r="AG39" s="158"/>
      <c r="AH39" s="155" t="s">
        <v>16</v>
      </c>
      <c r="AI39" s="148"/>
      <c r="AJ39" s="158"/>
      <c r="AK39" s="50" t="s">
        <v>51</v>
      </c>
      <c r="AL39" s="50"/>
      <c r="AM39" s="51"/>
      <c r="AN39" s="52" t="s">
        <v>52</v>
      </c>
      <c r="AO39" s="50"/>
      <c r="AP39" s="53"/>
    </row>
    <row r="40" spans="1:42" ht="15" customHeight="1" thickBot="1">
      <c r="A40" s="54"/>
      <c r="B40" s="55"/>
      <c r="C40" s="55"/>
      <c r="D40" s="121"/>
      <c r="E40" s="122"/>
      <c r="F40" s="159" t="s">
        <v>19</v>
      </c>
      <c r="G40" s="159"/>
      <c r="H40" s="160"/>
      <c r="I40" s="161" t="s">
        <v>19</v>
      </c>
      <c r="J40" s="159"/>
      <c r="K40" s="160"/>
      <c r="L40" s="123" t="s">
        <v>53</v>
      </c>
      <c r="M40" s="124"/>
      <c r="N40" s="122"/>
      <c r="O40" s="162" t="s">
        <v>21</v>
      </c>
      <c r="P40" s="163"/>
      <c r="Q40" s="164"/>
      <c r="R40" s="144" t="s">
        <v>22</v>
      </c>
      <c r="S40" s="145"/>
      <c r="T40" s="149"/>
      <c r="U40" s="21"/>
      <c r="V40" s="54"/>
      <c r="W40" s="55"/>
      <c r="X40" s="55"/>
      <c r="Y40" s="165" t="s">
        <v>23</v>
      </c>
      <c r="Z40" s="145"/>
      <c r="AA40" s="145"/>
      <c r="AB40" s="144" t="s">
        <v>24</v>
      </c>
      <c r="AC40" s="145"/>
      <c r="AD40" s="146"/>
      <c r="AE40" s="144" t="s">
        <v>25</v>
      </c>
      <c r="AF40" s="145"/>
      <c r="AG40" s="146"/>
      <c r="AH40" s="144" t="s">
        <v>71</v>
      </c>
      <c r="AI40" s="145"/>
      <c r="AJ40" s="146"/>
      <c r="AK40" s="144" t="s">
        <v>26</v>
      </c>
      <c r="AL40" s="145"/>
      <c r="AM40" s="146"/>
      <c r="AN40" s="144" t="s">
        <v>27</v>
      </c>
      <c r="AO40" s="145"/>
      <c r="AP40" s="149"/>
    </row>
    <row r="41" spans="1:42" ht="15" customHeight="1" thickTop="1">
      <c r="A41" s="22"/>
      <c r="B41" s="23" t="s">
        <v>29</v>
      </c>
      <c r="C41" s="24" t="s">
        <v>30</v>
      </c>
      <c r="D41" s="100">
        <v>4424</v>
      </c>
      <c r="E41" s="115">
        <v>1472</v>
      </c>
      <c r="F41" s="100">
        <f>13568-269</f>
        <v>13299</v>
      </c>
      <c r="G41" s="133">
        <f>28755-16680</f>
        <v>12075</v>
      </c>
      <c r="H41" s="134"/>
      <c r="I41" s="100">
        <v>2050</v>
      </c>
      <c r="J41" s="133">
        <v>1896</v>
      </c>
      <c r="K41" s="134"/>
      <c r="L41" s="100">
        <f>SUM(F41+I41)</f>
        <v>15349</v>
      </c>
      <c r="M41" s="133">
        <f>SUM(G41+J41)</f>
        <v>13971</v>
      </c>
      <c r="N41" s="134"/>
      <c r="O41" s="100">
        <v>1155</v>
      </c>
      <c r="P41" s="133">
        <v>795</v>
      </c>
      <c r="Q41" s="134"/>
      <c r="R41" s="100">
        <v>0</v>
      </c>
      <c r="S41" s="133">
        <v>0</v>
      </c>
      <c r="T41" s="134"/>
      <c r="U41" s="25"/>
      <c r="V41" s="22"/>
      <c r="W41" s="23" t="s">
        <v>29</v>
      </c>
      <c r="X41" s="24" t="s">
        <v>30</v>
      </c>
      <c r="Y41" s="100">
        <v>853</v>
      </c>
      <c r="Z41" s="142">
        <v>823</v>
      </c>
      <c r="AA41" s="143"/>
      <c r="AB41" s="100">
        <v>996</v>
      </c>
      <c r="AC41" s="133">
        <v>540</v>
      </c>
      <c r="AD41" s="134"/>
      <c r="AE41" s="100">
        <v>6884</v>
      </c>
      <c r="AF41" s="133">
        <v>6416</v>
      </c>
      <c r="AG41" s="134"/>
      <c r="AH41" s="100">
        <v>0</v>
      </c>
      <c r="AI41" s="133">
        <v>88</v>
      </c>
      <c r="AJ41" s="134"/>
      <c r="AK41" s="100">
        <v>862</v>
      </c>
      <c r="AL41" s="133">
        <v>911</v>
      </c>
      <c r="AM41" s="134"/>
      <c r="AN41" s="98">
        <v>3933</v>
      </c>
      <c r="AO41" s="133">
        <v>3669</v>
      </c>
      <c r="AP41" s="134"/>
    </row>
    <row r="42" spans="1:42" ht="15" customHeight="1" thickBot="1">
      <c r="A42" s="26" t="s">
        <v>54</v>
      </c>
      <c r="B42" s="32" t="s">
        <v>32</v>
      </c>
      <c r="C42" s="33" t="s">
        <v>33</v>
      </c>
      <c r="D42" s="72">
        <v>5591</v>
      </c>
      <c r="E42" s="118" t="s">
        <v>34</v>
      </c>
      <c r="F42" s="72">
        <f>15019-341</f>
        <v>14678</v>
      </c>
      <c r="G42" s="73">
        <f>G41/F41*100</f>
        <v>90.79630047371982</v>
      </c>
      <c r="H42" s="74">
        <f>G41/F42*100</f>
        <v>82.26597629104782</v>
      </c>
      <c r="I42" s="72">
        <v>5126</v>
      </c>
      <c r="J42" s="73">
        <f>J41/I41*100</f>
        <v>92.48780487804879</v>
      </c>
      <c r="K42" s="74">
        <f>J41/I42*100</f>
        <v>36.9879047990636</v>
      </c>
      <c r="L42" s="72">
        <f aca="true" t="shared" si="1" ref="L42:L64">SUM(F42+I42)</f>
        <v>19804</v>
      </c>
      <c r="M42" s="73">
        <f>M41/L41*100</f>
        <v>91.02221643103785</v>
      </c>
      <c r="N42" s="74">
        <f>M41/L42*100</f>
        <v>70.54635427186426</v>
      </c>
      <c r="O42" s="72">
        <v>1258</v>
      </c>
      <c r="P42" s="73">
        <f>P41/O41*100</f>
        <v>68.83116883116884</v>
      </c>
      <c r="Q42" s="74">
        <f>P41/O42*100</f>
        <v>63.19554848966613</v>
      </c>
      <c r="R42" s="72">
        <v>0</v>
      </c>
      <c r="S42" s="73" t="s">
        <v>40</v>
      </c>
      <c r="T42" s="74" t="s">
        <v>34</v>
      </c>
      <c r="U42" s="29"/>
      <c r="V42" s="26" t="s">
        <v>54</v>
      </c>
      <c r="W42" s="32" t="s">
        <v>32</v>
      </c>
      <c r="X42" s="33" t="s">
        <v>33</v>
      </c>
      <c r="Y42" s="72">
        <v>1928</v>
      </c>
      <c r="Z42" s="73">
        <f>Z41/Y41*100</f>
        <v>96.48300117233293</v>
      </c>
      <c r="AA42" s="74">
        <f>Z41/Y42*100</f>
        <v>42.68672199170124</v>
      </c>
      <c r="AB42" s="72">
        <v>1180</v>
      </c>
      <c r="AC42" s="73">
        <f>AC41/AB41*100</f>
        <v>54.21686746987952</v>
      </c>
      <c r="AD42" s="74">
        <f>AC41/AB42*100</f>
        <v>45.76271186440678</v>
      </c>
      <c r="AE42" s="72">
        <v>8350</v>
      </c>
      <c r="AF42" s="73">
        <f>AF41/AE41*100</f>
        <v>93.20162696106915</v>
      </c>
      <c r="AG42" s="74">
        <f>AF41/AE42*100</f>
        <v>76.83832335329342</v>
      </c>
      <c r="AH42" s="72">
        <v>88</v>
      </c>
      <c r="AI42" s="73" t="s">
        <v>40</v>
      </c>
      <c r="AJ42" s="74">
        <f>AI41/AH42*100</f>
        <v>100</v>
      </c>
      <c r="AK42" s="72">
        <v>1106</v>
      </c>
      <c r="AL42" s="73">
        <f>AL41/AK41*100</f>
        <v>105.6844547563805</v>
      </c>
      <c r="AM42" s="74">
        <f>AL41/AK42*100</f>
        <v>82.36889692585895</v>
      </c>
      <c r="AN42" s="103">
        <v>4882</v>
      </c>
      <c r="AO42" s="73">
        <f>AO41/AN41*100</f>
        <v>93.28756674294432</v>
      </c>
      <c r="AP42" s="74">
        <f>AO41/AN42*100</f>
        <v>75.15362556329373</v>
      </c>
    </row>
    <row r="43" spans="1:42" ht="15" customHeight="1">
      <c r="A43" s="22"/>
      <c r="B43" s="23" t="s">
        <v>29</v>
      </c>
      <c r="C43" s="24" t="s">
        <v>30</v>
      </c>
      <c r="D43" s="98">
        <v>1008</v>
      </c>
      <c r="E43" s="115">
        <v>-513</v>
      </c>
      <c r="F43" s="100">
        <f>9255-95</f>
        <v>9160</v>
      </c>
      <c r="G43" s="139">
        <f>19128-9924</f>
        <v>9204</v>
      </c>
      <c r="H43" s="140"/>
      <c r="I43" s="100">
        <v>1017</v>
      </c>
      <c r="J43" s="139">
        <v>2219</v>
      </c>
      <c r="K43" s="140"/>
      <c r="L43" s="104">
        <f t="shared" si="1"/>
        <v>10177</v>
      </c>
      <c r="M43" s="139">
        <f>SUM(G43+J43)</f>
        <v>11423</v>
      </c>
      <c r="N43" s="140"/>
      <c r="O43" s="104">
        <v>1011</v>
      </c>
      <c r="P43" s="139">
        <v>394</v>
      </c>
      <c r="Q43" s="140"/>
      <c r="R43" s="100">
        <v>1190</v>
      </c>
      <c r="S43" s="139">
        <v>2757</v>
      </c>
      <c r="T43" s="140"/>
      <c r="U43" s="25"/>
      <c r="V43" s="22"/>
      <c r="W43" s="23" t="s">
        <v>29</v>
      </c>
      <c r="X43" s="24" t="s">
        <v>30</v>
      </c>
      <c r="Y43" s="100">
        <v>822</v>
      </c>
      <c r="Z43" s="139">
        <v>483</v>
      </c>
      <c r="AA43" s="140"/>
      <c r="AB43" s="100">
        <v>1227</v>
      </c>
      <c r="AC43" s="139">
        <v>1797</v>
      </c>
      <c r="AD43" s="140"/>
      <c r="AE43" s="100">
        <v>1149</v>
      </c>
      <c r="AF43" s="139">
        <v>1650</v>
      </c>
      <c r="AG43" s="140"/>
      <c r="AH43" s="100">
        <v>0</v>
      </c>
      <c r="AI43" s="139">
        <v>15</v>
      </c>
      <c r="AJ43" s="140"/>
      <c r="AK43" s="100">
        <v>1131</v>
      </c>
      <c r="AL43" s="139">
        <v>1119</v>
      </c>
      <c r="AM43" s="140"/>
      <c r="AN43" s="98">
        <v>3427</v>
      </c>
      <c r="AO43" s="139">
        <v>2836</v>
      </c>
      <c r="AP43" s="140"/>
    </row>
    <row r="44" spans="1:42" ht="15" customHeight="1" thickBot="1">
      <c r="A44" s="22" t="s">
        <v>55</v>
      </c>
      <c r="B44" s="36" t="s">
        <v>32</v>
      </c>
      <c r="C44" s="37" t="s">
        <v>33</v>
      </c>
      <c r="D44" s="98">
        <v>4091</v>
      </c>
      <c r="E44" s="116" t="s">
        <v>34</v>
      </c>
      <c r="F44" s="105">
        <f>12144-95</f>
        <v>12049</v>
      </c>
      <c r="G44" s="73">
        <f>G43/F43*100</f>
        <v>100.48034934497817</v>
      </c>
      <c r="H44" s="74">
        <f>G43/F44*100</f>
        <v>76.3880819985061</v>
      </c>
      <c r="I44" s="105">
        <v>4087</v>
      </c>
      <c r="J44" s="73">
        <f>J43/I43*100</f>
        <v>218.19075712881025</v>
      </c>
      <c r="K44" s="74">
        <f>J43/I44*100</f>
        <v>54.2941032542207</v>
      </c>
      <c r="L44" s="72">
        <f t="shared" si="1"/>
        <v>16136</v>
      </c>
      <c r="M44" s="73">
        <f>M43/L43*100</f>
        <v>112.24329370148374</v>
      </c>
      <c r="N44" s="74">
        <f>M43/L44*100</f>
        <v>70.79201784828953</v>
      </c>
      <c r="O44" s="72">
        <v>663</v>
      </c>
      <c r="P44" s="73">
        <f>P43/O43*100</f>
        <v>38.97131552917903</v>
      </c>
      <c r="Q44" s="74">
        <f>P43/O44*100</f>
        <v>59.42684766214178</v>
      </c>
      <c r="R44" s="105">
        <v>2898</v>
      </c>
      <c r="S44" s="73">
        <f>S43/R43*100</f>
        <v>231.68067226890759</v>
      </c>
      <c r="T44" s="74">
        <f>S43/R44*100</f>
        <v>95.13457556935818</v>
      </c>
      <c r="U44" s="29"/>
      <c r="V44" s="22" t="s">
        <v>55</v>
      </c>
      <c r="W44" s="36" t="s">
        <v>32</v>
      </c>
      <c r="X44" s="37" t="s">
        <v>33</v>
      </c>
      <c r="Y44" s="105">
        <v>993</v>
      </c>
      <c r="Z44" s="73">
        <f>Z43/Y43*100</f>
        <v>58.75912408759124</v>
      </c>
      <c r="AA44" s="74">
        <f>Z43/Y44*100</f>
        <v>48.6404833836858</v>
      </c>
      <c r="AB44" s="105">
        <v>2703</v>
      </c>
      <c r="AC44" s="73">
        <f>AC43/AB43*100</f>
        <v>146.45476772616138</v>
      </c>
      <c r="AD44" s="74">
        <f>AC43/AB44*100</f>
        <v>66.48168701442842</v>
      </c>
      <c r="AE44" s="105">
        <v>2024</v>
      </c>
      <c r="AF44" s="73">
        <f>AF43/AE43*100</f>
        <v>143.60313315926894</v>
      </c>
      <c r="AG44" s="74">
        <f>AF43/AE44*100</f>
        <v>81.52173913043478</v>
      </c>
      <c r="AH44" s="105">
        <v>15</v>
      </c>
      <c r="AI44" s="73" t="s">
        <v>40</v>
      </c>
      <c r="AJ44" s="74">
        <f>AI43/AH44*100</f>
        <v>100</v>
      </c>
      <c r="AK44" s="105">
        <v>1157</v>
      </c>
      <c r="AL44" s="73">
        <f>AL43/AK43*100</f>
        <v>98.93899204244032</v>
      </c>
      <c r="AM44" s="74">
        <f>AL43/AK44*100</f>
        <v>96.71564390665515</v>
      </c>
      <c r="AN44" s="99">
        <v>3808</v>
      </c>
      <c r="AO44" s="73">
        <f>AO43/AN43*100</f>
        <v>82.7545958564342</v>
      </c>
      <c r="AP44" s="74">
        <f>AO43/AN44*100</f>
        <v>74.47478991596638</v>
      </c>
    </row>
    <row r="45" spans="1:42" ht="15" customHeight="1">
      <c r="A45" s="30"/>
      <c r="B45" s="31" t="s">
        <v>29</v>
      </c>
      <c r="C45" s="10" t="s">
        <v>30</v>
      </c>
      <c r="D45" s="106">
        <v>1779</v>
      </c>
      <c r="E45" s="117">
        <v>-616</v>
      </c>
      <c r="F45" s="104">
        <f>29976-260</f>
        <v>29716</v>
      </c>
      <c r="G45" s="139">
        <f>65100-32265</f>
        <v>32835</v>
      </c>
      <c r="H45" s="140"/>
      <c r="I45" s="104">
        <v>50</v>
      </c>
      <c r="J45" s="139">
        <v>568</v>
      </c>
      <c r="K45" s="140"/>
      <c r="L45" s="104">
        <f t="shared" si="1"/>
        <v>29766</v>
      </c>
      <c r="M45" s="139">
        <f>SUM(G45+J45)</f>
        <v>33403</v>
      </c>
      <c r="N45" s="140"/>
      <c r="O45" s="104">
        <v>8160</v>
      </c>
      <c r="P45" s="139">
        <v>11395</v>
      </c>
      <c r="Q45" s="140"/>
      <c r="R45" s="104">
        <v>3468</v>
      </c>
      <c r="S45" s="139">
        <v>4162</v>
      </c>
      <c r="T45" s="140"/>
      <c r="U45" s="25"/>
      <c r="V45" s="30"/>
      <c r="W45" s="31" t="s">
        <v>29</v>
      </c>
      <c r="X45" s="10" t="s">
        <v>30</v>
      </c>
      <c r="Y45" s="104">
        <v>3458</v>
      </c>
      <c r="Z45" s="139">
        <v>3749</v>
      </c>
      <c r="AA45" s="140"/>
      <c r="AB45" s="104">
        <v>3250</v>
      </c>
      <c r="AC45" s="139">
        <v>3793</v>
      </c>
      <c r="AD45" s="140"/>
      <c r="AE45" s="104">
        <v>2500</v>
      </c>
      <c r="AF45" s="139">
        <v>2932</v>
      </c>
      <c r="AG45" s="140"/>
      <c r="AH45" s="104">
        <v>45</v>
      </c>
      <c r="AI45" s="139">
        <v>270</v>
      </c>
      <c r="AJ45" s="140"/>
      <c r="AK45" s="104">
        <v>1783</v>
      </c>
      <c r="AL45" s="139">
        <v>1793</v>
      </c>
      <c r="AM45" s="140"/>
      <c r="AN45" s="102">
        <v>4752</v>
      </c>
      <c r="AO45" s="139">
        <v>4692</v>
      </c>
      <c r="AP45" s="140"/>
    </row>
    <row r="46" spans="1:42" ht="15" customHeight="1" thickBot="1">
      <c r="A46" s="26" t="s">
        <v>56</v>
      </c>
      <c r="B46" s="32" t="s">
        <v>32</v>
      </c>
      <c r="C46" s="33" t="s">
        <v>33</v>
      </c>
      <c r="D46" s="72">
        <v>3067</v>
      </c>
      <c r="E46" s="118" t="s">
        <v>34</v>
      </c>
      <c r="F46" s="72">
        <f>37861-1760</f>
        <v>36101</v>
      </c>
      <c r="G46" s="73">
        <f>G45/F45*100</f>
        <v>110.49602907524564</v>
      </c>
      <c r="H46" s="74">
        <f>G45/F46*100</f>
        <v>90.95315919226614</v>
      </c>
      <c r="I46" s="72">
        <v>837</v>
      </c>
      <c r="J46" s="73">
        <f>J45/I45*100</f>
        <v>1136</v>
      </c>
      <c r="K46" s="74">
        <f>J45/I46*100</f>
        <v>67.86140979689367</v>
      </c>
      <c r="L46" s="72">
        <f t="shared" si="1"/>
        <v>36938</v>
      </c>
      <c r="M46" s="73">
        <f>M45/L45*100</f>
        <v>112.21863871531276</v>
      </c>
      <c r="N46" s="74">
        <f>M45/L46*100</f>
        <v>90.42990957821215</v>
      </c>
      <c r="O46" s="72">
        <v>12021</v>
      </c>
      <c r="P46" s="73">
        <f>P45/O45*100</f>
        <v>139.64460784313727</v>
      </c>
      <c r="Q46" s="74">
        <f>P45/O46*100</f>
        <v>94.79244655186756</v>
      </c>
      <c r="R46" s="72">
        <v>4220</v>
      </c>
      <c r="S46" s="73">
        <f>S45/R45*100</f>
        <v>120.01153402537486</v>
      </c>
      <c r="T46" s="74">
        <f>S45/R46*100</f>
        <v>98.62559241706161</v>
      </c>
      <c r="U46" s="29"/>
      <c r="V46" s="26" t="s">
        <v>56</v>
      </c>
      <c r="W46" s="32" t="s">
        <v>32</v>
      </c>
      <c r="X46" s="33" t="s">
        <v>33</v>
      </c>
      <c r="Y46" s="72">
        <v>4494</v>
      </c>
      <c r="Z46" s="73">
        <f>Z45/Y45*100</f>
        <v>108.41526894158473</v>
      </c>
      <c r="AA46" s="74">
        <f>Z45/Y46*100</f>
        <v>83.42234089897642</v>
      </c>
      <c r="AB46" s="72">
        <v>4347</v>
      </c>
      <c r="AC46" s="73">
        <f>AC45/AB45*100</f>
        <v>116.70769230769231</v>
      </c>
      <c r="AD46" s="74">
        <f>AC45/AB46*100</f>
        <v>87.25557855992638</v>
      </c>
      <c r="AE46" s="72">
        <v>3415</v>
      </c>
      <c r="AF46" s="73">
        <f>AF45/AE45*100</f>
        <v>117.28</v>
      </c>
      <c r="AG46" s="74">
        <f>AF45/AE46*100</f>
        <v>85.85651537335286</v>
      </c>
      <c r="AH46" s="72">
        <v>309</v>
      </c>
      <c r="AI46" s="73">
        <f>AI45/AH45*100</f>
        <v>600</v>
      </c>
      <c r="AJ46" s="74">
        <f>AI45/AH46*100</f>
        <v>87.37864077669903</v>
      </c>
      <c r="AK46" s="72">
        <v>1884</v>
      </c>
      <c r="AL46" s="73">
        <f>AL45/AK45*100</f>
        <v>100.56085249579361</v>
      </c>
      <c r="AM46" s="74">
        <f>AL45/AK46*100</f>
        <v>95.16985138004246</v>
      </c>
      <c r="AN46" s="103">
        <v>5084</v>
      </c>
      <c r="AO46" s="73">
        <f>AO45/AN45*100</f>
        <v>98.73737373737373</v>
      </c>
      <c r="AP46" s="74">
        <f>AO45/AN46*100</f>
        <v>92.28953579858378</v>
      </c>
    </row>
    <row r="47" spans="1:42" ht="15" customHeight="1">
      <c r="A47" s="22" t="s">
        <v>57</v>
      </c>
      <c r="B47" s="23" t="s">
        <v>29</v>
      </c>
      <c r="C47" s="24" t="s">
        <v>30</v>
      </c>
      <c r="D47" s="98">
        <v>3971</v>
      </c>
      <c r="E47" s="115">
        <v>-4604</v>
      </c>
      <c r="F47" s="100">
        <f>43857-685</f>
        <v>43172</v>
      </c>
      <c r="G47" s="139">
        <f>150445-84763</f>
        <v>65682</v>
      </c>
      <c r="H47" s="140"/>
      <c r="I47" s="100">
        <v>14573</v>
      </c>
      <c r="J47" s="139">
        <v>20614</v>
      </c>
      <c r="K47" s="140"/>
      <c r="L47" s="104">
        <f t="shared" si="1"/>
        <v>57745</v>
      </c>
      <c r="M47" s="139">
        <f>SUM(G47+J47)</f>
        <v>86296</v>
      </c>
      <c r="N47" s="140"/>
      <c r="O47" s="104">
        <v>9598</v>
      </c>
      <c r="P47" s="139">
        <v>15591</v>
      </c>
      <c r="Q47" s="140"/>
      <c r="R47" s="100">
        <v>10789</v>
      </c>
      <c r="S47" s="139">
        <v>16536</v>
      </c>
      <c r="T47" s="140"/>
      <c r="U47" s="25"/>
      <c r="V47" s="22" t="s">
        <v>58</v>
      </c>
      <c r="W47" s="23" t="s">
        <v>29</v>
      </c>
      <c r="X47" s="24" t="s">
        <v>30</v>
      </c>
      <c r="Y47" s="100">
        <v>1068</v>
      </c>
      <c r="Z47" s="139">
        <v>2432</v>
      </c>
      <c r="AA47" s="140"/>
      <c r="AB47" s="100">
        <v>10768</v>
      </c>
      <c r="AC47" s="139">
        <v>6193</v>
      </c>
      <c r="AD47" s="140"/>
      <c r="AE47" s="100">
        <v>7827</v>
      </c>
      <c r="AF47" s="139">
        <v>27165</v>
      </c>
      <c r="AG47" s="140"/>
      <c r="AH47" s="100">
        <v>111</v>
      </c>
      <c r="AI47" s="139">
        <v>2035</v>
      </c>
      <c r="AJ47" s="140"/>
      <c r="AK47" s="100">
        <v>2150</v>
      </c>
      <c r="AL47" s="139">
        <v>2223</v>
      </c>
      <c r="AM47" s="140"/>
      <c r="AN47" s="98">
        <v>11937</v>
      </c>
      <c r="AO47" s="139">
        <v>10833</v>
      </c>
      <c r="AP47" s="140"/>
    </row>
    <row r="48" spans="1:42" ht="15" customHeight="1" thickBot="1">
      <c r="A48" s="22" t="s">
        <v>59</v>
      </c>
      <c r="B48" s="36" t="s">
        <v>32</v>
      </c>
      <c r="C48" s="37" t="s">
        <v>33</v>
      </c>
      <c r="D48" s="99">
        <v>-3059</v>
      </c>
      <c r="E48" s="116" t="s">
        <v>34</v>
      </c>
      <c r="F48" s="105">
        <f>70408-1192</f>
        <v>69216</v>
      </c>
      <c r="G48" s="73">
        <f>G47/F47*100</f>
        <v>152.1402761048828</v>
      </c>
      <c r="H48" s="74">
        <f>G47/F48*100</f>
        <v>94.89424410540916</v>
      </c>
      <c r="I48" s="105">
        <v>20666</v>
      </c>
      <c r="J48" s="73">
        <f>J47/I47*100</f>
        <v>141.45337267549579</v>
      </c>
      <c r="K48" s="74">
        <f>J47/I48*100</f>
        <v>99.7483789799671</v>
      </c>
      <c r="L48" s="72">
        <f t="shared" si="1"/>
        <v>89882</v>
      </c>
      <c r="M48" s="73">
        <f>M47/L47*100</f>
        <v>149.44324183912028</v>
      </c>
      <c r="N48" s="74">
        <f>M47/L48*100</f>
        <v>96.01032464787166</v>
      </c>
      <c r="O48" s="72">
        <v>15698</v>
      </c>
      <c r="P48" s="73">
        <f>P47/O47*100</f>
        <v>162.44009168576787</v>
      </c>
      <c r="Q48" s="74">
        <f>P47/O48*100</f>
        <v>99.31838450758057</v>
      </c>
      <c r="R48" s="105">
        <v>16555</v>
      </c>
      <c r="S48" s="73">
        <f>S47/R47*100</f>
        <v>153.2672166095097</v>
      </c>
      <c r="T48" s="74">
        <f>S47/R48*100</f>
        <v>99.88523104802175</v>
      </c>
      <c r="U48" s="29"/>
      <c r="V48" s="22" t="s">
        <v>59</v>
      </c>
      <c r="W48" s="36" t="s">
        <v>32</v>
      </c>
      <c r="X48" s="37" t="s">
        <v>33</v>
      </c>
      <c r="Y48" s="105">
        <v>2463</v>
      </c>
      <c r="Z48" s="73">
        <f>Z47/Y47*100</f>
        <v>227.71535580524343</v>
      </c>
      <c r="AA48" s="74">
        <f>Z47/Y48*100</f>
        <v>98.74137231019083</v>
      </c>
      <c r="AB48" s="105">
        <v>6350</v>
      </c>
      <c r="AC48" s="73">
        <f>AC47/AB47*100</f>
        <v>57.5130014858841</v>
      </c>
      <c r="AD48" s="74">
        <f>AC47/AB48*100</f>
        <v>97.5275590551181</v>
      </c>
      <c r="AE48" s="105">
        <v>29696</v>
      </c>
      <c r="AF48" s="73">
        <f>AF47/AE47*100</f>
        <v>347.0678420850901</v>
      </c>
      <c r="AG48" s="74">
        <f>AF47/AE48*100</f>
        <v>91.47696659482759</v>
      </c>
      <c r="AH48" s="105">
        <v>2077</v>
      </c>
      <c r="AI48" s="73">
        <f>AI47/AH47*100</f>
        <v>1833.3333333333333</v>
      </c>
      <c r="AJ48" s="74">
        <f>AI47/AH48*100</f>
        <v>97.97785267212326</v>
      </c>
      <c r="AK48" s="105">
        <v>2281</v>
      </c>
      <c r="AL48" s="73">
        <f>AL47/AK47*100</f>
        <v>103.39534883720931</v>
      </c>
      <c r="AM48" s="74">
        <f>AL47/AK48*100</f>
        <v>97.45725558965366</v>
      </c>
      <c r="AN48" s="99">
        <v>10953</v>
      </c>
      <c r="AO48" s="73">
        <f>AO47/AN47*100</f>
        <v>90.7514450867052</v>
      </c>
      <c r="AP48" s="74">
        <f>AO47/AN48*100</f>
        <v>98.90440975075322</v>
      </c>
    </row>
    <row r="49" spans="1:42" ht="15" customHeight="1">
      <c r="A49" s="30"/>
      <c r="B49" s="31" t="s">
        <v>29</v>
      </c>
      <c r="C49" s="10" t="s">
        <v>30</v>
      </c>
      <c r="D49" s="102">
        <v>145</v>
      </c>
      <c r="E49" s="117">
        <v>-1181</v>
      </c>
      <c r="F49" s="104">
        <f>13388-189</f>
        <v>13199</v>
      </c>
      <c r="G49" s="139">
        <f>33881-18317</f>
        <v>15564</v>
      </c>
      <c r="H49" s="140"/>
      <c r="I49" s="104">
        <v>2856</v>
      </c>
      <c r="J49" s="139">
        <v>4541</v>
      </c>
      <c r="K49" s="140"/>
      <c r="L49" s="104">
        <f t="shared" si="1"/>
        <v>16055</v>
      </c>
      <c r="M49" s="125"/>
      <c r="N49" s="126">
        <f>SUM(G49+J49)</f>
        <v>20105</v>
      </c>
      <c r="O49" s="104">
        <v>480</v>
      </c>
      <c r="P49" s="139">
        <v>976</v>
      </c>
      <c r="Q49" s="140"/>
      <c r="R49" s="104">
        <v>2200</v>
      </c>
      <c r="S49" s="139">
        <v>4038</v>
      </c>
      <c r="T49" s="140"/>
      <c r="U49" s="25"/>
      <c r="V49" s="30"/>
      <c r="W49" s="31" t="s">
        <v>29</v>
      </c>
      <c r="X49" s="10" t="s">
        <v>30</v>
      </c>
      <c r="Y49" s="104">
        <v>738</v>
      </c>
      <c r="Z49" s="139">
        <v>1102</v>
      </c>
      <c r="AA49" s="140"/>
      <c r="AB49" s="104">
        <v>47</v>
      </c>
      <c r="AC49" s="139">
        <v>39</v>
      </c>
      <c r="AD49" s="140"/>
      <c r="AE49" s="104">
        <v>2223</v>
      </c>
      <c r="AF49" s="139">
        <v>3431</v>
      </c>
      <c r="AG49" s="140"/>
      <c r="AH49" s="104">
        <v>15</v>
      </c>
      <c r="AI49" s="139">
        <v>199</v>
      </c>
      <c r="AJ49" s="140"/>
      <c r="AK49" s="104">
        <v>1223</v>
      </c>
      <c r="AL49" s="139">
        <v>1145</v>
      </c>
      <c r="AM49" s="140"/>
      <c r="AN49" s="102">
        <v>4670</v>
      </c>
      <c r="AO49" s="139">
        <v>4518</v>
      </c>
      <c r="AP49" s="140"/>
    </row>
    <row r="50" spans="1:42" ht="15" customHeight="1" thickBot="1">
      <c r="A50" s="26" t="s">
        <v>60</v>
      </c>
      <c r="B50" s="32" t="s">
        <v>32</v>
      </c>
      <c r="C50" s="33" t="s">
        <v>33</v>
      </c>
      <c r="D50" s="103">
        <v>1757</v>
      </c>
      <c r="E50" s="118" t="s">
        <v>34</v>
      </c>
      <c r="F50" s="72">
        <f>17711-189</f>
        <v>17522</v>
      </c>
      <c r="G50" s="73">
        <f>G49/F49*100</f>
        <v>117.91802409273431</v>
      </c>
      <c r="H50" s="74">
        <f>G49/F50*100</f>
        <v>88.82547654377355</v>
      </c>
      <c r="I50" s="72">
        <v>5223</v>
      </c>
      <c r="J50" s="73">
        <f>J49/I49*100</f>
        <v>158.9985994397759</v>
      </c>
      <c r="K50" s="74">
        <f>J49/I50*100</f>
        <v>86.94237028527667</v>
      </c>
      <c r="L50" s="72">
        <f t="shared" si="1"/>
        <v>22745</v>
      </c>
      <c r="M50" s="127">
        <f>N49/L49*100</f>
        <v>125.22578635938959</v>
      </c>
      <c r="N50" s="74">
        <f>N49/L50*100</f>
        <v>88.3930534183337</v>
      </c>
      <c r="O50" s="72">
        <v>1234</v>
      </c>
      <c r="P50" s="73">
        <f>P49/O49*100</f>
        <v>203.33333333333331</v>
      </c>
      <c r="Q50" s="74">
        <f>P49/O50*100</f>
        <v>79.09238249594813</v>
      </c>
      <c r="R50" s="72">
        <v>4538</v>
      </c>
      <c r="S50" s="73">
        <f>S49/R49*100</f>
        <v>183.54545454545453</v>
      </c>
      <c r="T50" s="74">
        <f>S49/R50*100</f>
        <v>88.98193036579991</v>
      </c>
      <c r="U50" s="29"/>
      <c r="V50" s="26" t="s">
        <v>60</v>
      </c>
      <c r="W50" s="32" t="s">
        <v>32</v>
      </c>
      <c r="X50" s="33" t="s">
        <v>33</v>
      </c>
      <c r="Y50" s="72">
        <v>1215</v>
      </c>
      <c r="Z50" s="73">
        <f>Z49/Y49*100</f>
        <v>149.32249322493226</v>
      </c>
      <c r="AA50" s="74">
        <f>Z49/Y50*100</f>
        <v>90.69958847736626</v>
      </c>
      <c r="AB50" s="72">
        <v>52</v>
      </c>
      <c r="AC50" s="73">
        <f>AC49/AB49*100</f>
        <v>82.97872340425532</v>
      </c>
      <c r="AD50" s="74">
        <f>AC49/AB50*100</f>
        <v>75</v>
      </c>
      <c r="AE50" s="72">
        <v>3871</v>
      </c>
      <c r="AF50" s="73">
        <f>AF49/AE49*100</f>
        <v>154.34098065677014</v>
      </c>
      <c r="AG50" s="74">
        <f>AF49/AE50*100</f>
        <v>88.6334280547662</v>
      </c>
      <c r="AH50" s="72">
        <v>199</v>
      </c>
      <c r="AI50" s="73">
        <f>AI49/AH49*100</f>
        <v>1326.6666666666667</v>
      </c>
      <c r="AJ50" s="74">
        <f>AI49/AH50*100</f>
        <v>100</v>
      </c>
      <c r="AK50" s="72">
        <v>1181</v>
      </c>
      <c r="AL50" s="73">
        <f>AL49/AK49*100</f>
        <v>93.62224039247752</v>
      </c>
      <c r="AM50" s="74">
        <f>AL49/AK50*100</f>
        <v>96.95173581710415</v>
      </c>
      <c r="AN50" s="103">
        <v>4890</v>
      </c>
      <c r="AO50" s="73">
        <f>AO49/AN49*100</f>
        <v>96.74518201284796</v>
      </c>
      <c r="AP50" s="74">
        <f>AO49/AN50*100</f>
        <v>92.39263803680981</v>
      </c>
    </row>
    <row r="51" spans="1:42" ht="15" customHeight="1">
      <c r="A51" s="22"/>
      <c r="B51" s="23" t="s">
        <v>29</v>
      </c>
      <c r="C51" s="24" t="s">
        <v>30</v>
      </c>
      <c r="D51" s="98">
        <v>1288</v>
      </c>
      <c r="E51" s="115">
        <v>-2375</v>
      </c>
      <c r="F51" s="100">
        <f>12444-199</f>
        <v>12245</v>
      </c>
      <c r="G51" s="139">
        <f>23699-12788</f>
        <v>10911</v>
      </c>
      <c r="H51" s="140"/>
      <c r="I51" s="100">
        <v>1720</v>
      </c>
      <c r="J51" s="139">
        <v>1213</v>
      </c>
      <c r="K51" s="140"/>
      <c r="L51" s="104">
        <f t="shared" si="1"/>
        <v>13965</v>
      </c>
      <c r="M51" s="139">
        <f>SUM(G51+J51)</f>
        <v>12124</v>
      </c>
      <c r="N51" s="140"/>
      <c r="O51" s="104">
        <v>1040</v>
      </c>
      <c r="P51" s="139">
        <v>192</v>
      </c>
      <c r="Q51" s="140"/>
      <c r="R51" s="100">
        <v>777</v>
      </c>
      <c r="S51" s="139">
        <v>770</v>
      </c>
      <c r="T51" s="140"/>
      <c r="U51" s="25"/>
      <c r="V51" s="22"/>
      <c r="W51" s="23" t="s">
        <v>29</v>
      </c>
      <c r="X51" s="24" t="s">
        <v>30</v>
      </c>
      <c r="Y51" s="100">
        <v>395</v>
      </c>
      <c r="Z51" s="139">
        <v>290</v>
      </c>
      <c r="AA51" s="140"/>
      <c r="AB51" s="100">
        <v>1890</v>
      </c>
      <c r="AC51" s="139">
        <v>1737</v>
      </c>
      <c r="AD51" s="140"/>
      <c r="AE51" s="100">
        <v>1606</v>
      </c>
      <c r="AF51" s="139">
        <v>1441</v>
      </c>
      <c r="AG51" s="140"/>
      <c r="AH51" s="100">
        <v>4</v>
      </c>
      <c r="AI51" s="139">
        <v>79</v>
      </c>
      <c r="AJ51" s="140"/>
      <c r="AK51" s="100">
        <v>1142</v>
      </c>
      <c r="AL51" s="139">
        <v>955</v>
      </c>
      <c r="AM51" s="140"/>
      <c r="AN51" s="98">
        <v>6559</v>
      </c>
      <c r="AO51" s="139">
        <v>5962</v>
      </c>
      <c r="AP51" s="140"/>
    </row>
    <row r="52" spans="1:42" ht="15" customHeight="1" thickBot="1">
      <c r="A52" s="22" t="s">
        <v>61</v>
      </c>
      <c r="B52" s="36" t="s">
        <v>32</v>
      </c>
      <c r="C52" s="37" t="s">
        <v>33</v>
      </c>
      <c r="D52" s="99">
        <v>1149</v>
      </c>
      <c r="E52" s="116" t="s">
        <v>34</v>
      </c>
      <c r="F52" s="105">
        <f>14403-199</f>
        <v>14204</v>
      </c>
      <c r="G52" s="73">
        <f>G51/F51*100</f>
        <v>89.10575745202122</v>
      </c>
      <c r="H52" s="74">
        <f>G51/F52*100</f>
        <v>76.81638974936638</v>
      </c>
      <c r="I52" s="105">
        <v>1413</v>
      </c>
      <c r="J52" s="73">
        <f>J51/I51*100</f>
        <v>70.52325581395348</v>
      </c>
      <c r="K52" s="74">
        <f>J51/I52*100</f>
        <v>85.84571832979476</v>
      </c>
      <c r="L52" s="72">
        <f t="shared" si="1"/>
        <v>15617</v>
      </c>
      <c r="M52" s="73">
        <f>M51/L51*100</f>
        <v>86.8170426065163</v>
      </c>
      <c r="N52" s="74">
        <f>M51/L52*100</f>
        <v>77.63334827431645</v>
      </c>
      <c r="O52" s="72">
        <v>617</v>
      </c>
      <c r="P52" s="73">
        <f>P51/O51*100</f>
        <v>18.461538461538463</v>
      </c>
      <c r="Q52" s="74">
        <f>P51/O52*100</f>
        <v>31.118314424635336</v>
      </c>
      <c r="R52" s="105">
        <v>818</v>
      </c>
      <c r="S52" s="73">
        <f>S51/R51*100</f>
        <v>99.09909909909909</v>
      </c>
      <c r="T52" s="74">
        <f>S51/R52*100</f>
        <v>94.13202933985329</v>
      </c>
      <c r="U52" s="29"/>
      <c r="V52" s="22" t="s">
        <v>61</v>
      </c>
      <c r="W52" s="36" t="s">
        <v>32</v>
      </c>
      <c r="X52" s="37" t="s">
        <v>33</v>
      </c>
      <c r="Y52" s="105">
        <v>432</v>
      </c>
      <c r="Z52" s="73">
        <f>Z51/Y51*100</f>
        <v>73.41772151898735</v>
      </c>
      <c r="AA52" s="74">
        <f>Z51/Y52*100</f>
        <v>67.12962962962963</v>
      </c>
      <c r="AB52" s="105">
        <v>2045</v>
      </c>
      <c r="AC52" s="73">
        <f>AC51/AB51*100</f>
        <v>91.9047619047619</v>
      </c>
      <c r="AD52" s="74">
        <f>AC51/AB52*100</f>
        <v>84.93887530562347</v>
      </c>
      <c r="AE52" s="105">
        <v>1951</v>
      </c>
      <c r="AF52" s="73">
        <f>AF51/AE51*100</f>
        <v>89.72602739726028</v>
      </c>
      <c r="AG52" s="74">
        <f>AF51/AE52*100</f>
        <v>73.85955920041005</v>
      </c>
      <c r="AH52" s="105">
        <v>83</v>
      </c>
      <c r="AI52" s="73">
        <f>AI51/AH51*100</f>
        <v>1975</v>
      </c>
      <c r="AJ52" s="74">
        <f>AI51/AH52*100</f>
        <v>95.18072289156626</v>
      </c>
      <c r="AK52" s="105">
        <v>1232</v>
      </c>
      <c r="AL52" s="73">
        <f>AL51/AK51*100</f>
        <v>83.62521891418564</v>
      </c>
      <c r="AM52" s="74">
        <f>AL51/AK52*100</f>
        <v>77.51623376623377</v>
      </c>
      <c r="AN52" s="99">
        <v>7020</v>
      </c>
      <c r="AO52" s="73">
        <f>AO51/AN51*100</f>
        <v>90.89800274432078</v>
      </c>
      <c r="AP52" s="74">
        <f>AO51/AN52*100</f>
        <v>84.92877492877493</v>
      </c>
    </row>
    <row r="53" spans="1:42" ht="15" customHeight="1">
      <c r="A53" s="30" t="s">
        <v>62</v>
      </c>
      <c r="B53" s="31" t="s">
        <v>29</v>
      </c>
      <c r="C53" s="10" t="s">
        <v>30</v>
      </c>
      <c r="D53" s="102">
        <v>16000</v>
      </c>
      <c r="E53" s="117">
        <v>-6458</v>
      </c>
      <c r="F53" s="104">
        <f>31061-230</f>
        <v>30831</v>
      </c>
      <c r="G53" s="139">
        <f>29273-1480</f>
        <v>27793</v>
      </c>
      <c r="H53" s="140"/>
      <c r="I53" s="104">
        <v>17790</v>
      </c>
      <c r="J53" s="139">
        <v>15168</v>
      </c>
      <c r="K53" s="140"/>
      <c r="L53" s="104">
        <f t="shared" si="1"/>
        <v>48621</v>
      </c>
      <c r="M53" s="139">
        <f>SUM(G53+J53)</f>
        <v>42961</v>
      </c>
      <c r="N53" s="140"/>
      <c r="O53" s="104">
        <v>12620</v>
      </c>
      <c r="P53" s="139">
        <v>9121</v>
      </c>
      <c r="Q53" s="140"/>
      <c r="R53" s="104">
        <v>4865</v>
      </c>
      <c r="S53" s="139">
        <v>5263</v>
      </c>
      <c r="T53" s="140"/>
      <c r="U53" s="25"/>
      <c r="V53" s="30" t="s">
        <v>62</v>
      </c>
      <c r="W53" s="31" t="s">
        <v>29</v>
      </c>
      <c r="X53" s="10" t="s">
        <v>30</v>
      </c>
      <c r="Y53" s="104">
        <v>6402</v>
      </c>
      <c r="Z53" s="139">
        <v>11302</v>
      </c>
      <c r="AA53" s="140"/>
      <c r="AB53" s="104">
        <v>8903</v>
      </c>
      <c r="AC53" s="139">
        <v>2294</v>
      </c>
      <c r="AD53" s="140"/>
      <c r="AE53" s="104">
        <v>4575</v>
      </c>
      <c r="AF53" s="139">
        <v>2607</v>
      </c>
      <c r="AG53" s="140"/>
      <c r="AH53" s="104">
        <v>19</v>
      </c>
      <c r="AI53" s="139">
        <v>225</v>
      </c>
      <c r="AJ53" s="140"/>
      <c r="AK53" s="104">
        <v>1196</v>
      </c>
      <c r="AL53" s="139">
        <v>1153</v>
      </c>
      <c r="AM53" s="140"/>
      <c r="AN53" s="102">
        <v>6493</v>
      </c>
      <c r="AO53" s="139">
        <v>10058</v>
      </c>
      <c r="AP53" s="140"/>
    </row>
    <row r="54" spans="1:45" ht="15" customHeight="1" thickBot="1">
      <c r="A54" s="26" t="s">
        <v>63</v>
      </c>
      <c r="B54" s="32" t="s">
        <v>32</v>
      </c>
      <c r="C54" s="33" t="s">
        <v>33</v>
      </c>
      <c r="D54" s="103">
        <v>18970</v>
      </c>
      <c r="E54" s="118" t="s">
        <v>34</v>
      </c>
      <c r="F54" s="72">
        <f>41651-230</f>
        <v>41421</v>
      </c>
      <c r="G54" s="73">
        <f>G53/F53*100</f>
        <v>90.14628134020953</v>
      </c>
      <c r="H54" s="74">
        <f>G53/F54*100</f>
        <v>67.09881461094614</v>
      </c>
      <c r="I54" s="72">
        <v>28912</v>
      </c>
      <c r="J54" s="73">
        <f>J53/I53*100</f>
        <v>85.26138279932547</v>
      </c>
      <c r="K54" s="74">
        <f>J53/I54*100</f>
        <v>52.462645268400664</v>
      </c>
      <c r="L54" s="72">
        <f t="shared" si="1"/>
        <v>70333</v>
      </c>
      <c r="M54" s="73">
        <f>M53/L53*100</f>
        <v>88.3589395528681</v>
      </c>
      <c r="N54" s="74">
        <f>M53/L54*100</f>
        <v>61.08228001080573</v>
      </c>
      <c r="O54" s="72">
        <v>17216</v>
      </c>
      <c r="P54" s="73">
        <f>P53/O53*100</f>
        <v>72.27416798732172</v>
      </c>
      <c r="Q54" s="74">
        <f>P53/O54*100</f>
        <v>52.979786245353154</v>
      </c>
      <c r="R54" s="72">
        <v>5859</v>
      </c>
      <c r="S54" s="73">
        <f>S53/R53*100</f>
        <v>108.1808838643371</v>
      </c>
      <c r="T54" s="74">
        <f>S53/R54*100</f>
        <v>89.82761563406724</v>
      </c>
      <c r="U54" s="29"/>
      <c r="V54" s="26" t="s">
        <v>63</v>
      </c>
      <c r="W54" s="32" t="s">
        <v>32</v>
      </c>
      <c r="X54" s="33" t="s">
        <v>33</v>
      </c>
      <c r="Y54" s="72">
        <v>14269</v>
      </c>
      <c r="Z54" s="73">
        <f>Z53/Y53*100</f>
        <v>176.53858169322086</v>
      </c>
      <c r="AA54" s="74">
        <f>Z53/Y54*100</f>
        <v>79.20667180601303</v>
      </c>
      <c r="AB54" s="72">
        <v>5903</v>
      </c>
      <c r="AC54" s="73">
        <f>AC53/AB53*100</f>
        <v>25.766595529596763</v>
      </c>
      <c r="AD54" s="74">
        <f>AC53/AB54*100</f>
        <v>38.8615957987464</v>
      </c>
      <c r="AE54" s="72">
        <v>6285</v>
      </c>
      <c r="AF54" s="73">
        <f>AF53/AE53*100</f>
        <v>56.98360655737705</v>
      </c>
      <c r="AG54" s="74">
        <f>AF53/AE54*100</f>
        <v>41.47971360381861</v>
      </c>
      <c r="AH54" s="72">
        <v>234</v>
      </c>
      <c r="AI54" s="73">
        <f>AI53/AH53*100</f>
        <v>1184.2105263157896</v>
      </c>
      <c r="AJ54" s="74">
        <f>AI53/AH54*100</f>
        <v>96.15384615384616</v>
      </c>
      <c r="AK54" s="72">
        <v>1221</v>
      </c>
      <c r="AL54" s="73">
        <f>AL53/AK53*100</f>
        <v>96.40468227424749</v>
      </c>
      <c r="AM54" s="74">
        <f>AL53/AK54*100</f>
        <v>94.43079443079444</v>
      </c>
      <c r="AN54" s="103">
        <v>13824</v>
      </c>
      <c r="AO54" s="73">
        <f>AO53/AN53*100</f>
        <v>154.90528261204375</v>
      </c>
      <c r="AP54" s="74">
        <f>AO53/AN54*100</f>
        <v>72.75752314814815</v>
      </c>
      <c r="AS54" s="1" t="s">
        <v>1</v>
      </c>
    </row>
    <row r="55" spans="1:42" ht="15" customHeight="1">
      <c r="A55" s="22"/>
      <c r="B55" s="23" t="s">
        <v>29</v>
      </c>
      <c r="C55" s="24" t="s">
        <v>30</v>
      </c>
      <c r="D55" s="98">
        <v>6133</v>
      </c>
      <c r="E55" s="115">
        <v>-9341</v>
      </c>
      <c r="F55" s="104">
        <f>37205-432</f>
        <v>36773</v>
      </c>
      <c r="G55" s="139">
        <f>70115-37574</f>
        <v>32541</v>
      </c>
      <c r="H55" s="140"/>
      <c r="I55" s="104">
        <v>17594</v>
      </c>
      <c r="J55" s="139">
        <v>10145</v>
      </c>
      <c r="K55" s="140"/>
      <c r="L55" s="104">
        <f t="shared" si="1"/>
        <v>54367</v>
      </c>
      <c r="M55" s="139">
        <f>SUM(G55+J55)</f>
        <v>42686</v>
      </c>
      <c r="N55" s="140"/>
      <c r="O55" s="104">
        <v>7985</v>
      </c>
      <c r="P55" s="139">
        <v>8384</v>
      </c>
      <c r="Q55" s="140"/>
      <c r="R55" s="100">
        <v>10658</v>
      </c>
      <c r="S55" s="139">
        <v>6450</v>
      </c>
      <c r="T55" s="140"/>
      <c r="U55" s="25"/>
      <c r="V55" s="22"/>
      <c r="W55" s="23" t="s">
        <v>29</v>
      </c>
      <c r="X55" s="24" t="s">
        <v>30</v>
      </c>
      <c r="Y55" s="100">
        <v>1686</v>
      </c>
      <c r="Z55" s="139">
        <v>2004</v>
      </c>
      <c r="AA55" s="140"/>
      <c r="AB55" s="100">
        <v>9743</v>
      </c>
      <c r="AC55" s="139">
        <v>9935</v>
      </c>
      <c r="AD55" s="140"/>
      <c r="AE55" s="100">
        <v>4405</v>
      </c>
      <c r="AF55" s="139">
        <v>3724</v>
      </c>
      <c r="AG55" s="140"/>
      <c r="AH55" s="100">
        <v>1652</v>
      </c>
      <c r="AI55" s="139">
        <v>1717</v>
      </c>
      <c r="AJ55" s="140"/>
      <c r="AK55" s="100">
        <v>1847</v>
      </c>
      <c r="AL55" s="139">
        <v>1618</v>
      </c>
      <c r="AM55" s="140"/>
      <c r="AN55" s="98">
        <v>14896</v>
      </c>
      <c r="AO55" s="139">
        <v>7382</v>
      </c>
      <c r="AP55" s="140"/>
    </row>
    <row r="56" spans="1:42" ht="15" customHeight="1" thickBot="1">
      <c r="A56" s="22" t="s">
        <v>64</v>
      </c>
      <c r="B56" s="36" t="s">
        <v>32</v>
      </c>
      <c r="C56" s="37" t="s">
        <v>33</v>
      </c>
      <c r="D56" s="99">
        <v>9481</v>
      </c>
      <c r="E56" s="116" t="s">
        <v>34</v>
      </c>
      <c r="F56" s="72">
        <f>42064-432</f>
        <v>41632</v>
      </c>
      <c r="G56" s="73">
        <f>G55/F55*100</f>
        <v>88.49155630489761</v>
      </c>
      <c r="H56" s="74">
        <f>G55/F56*100</f>
        <v>78.16343197540354</v>
      </c>
      <c r="I56" s="72">
        <v>18020</v>
      </c>
      <c r="J56" s="73">
        <f>J55/I55*100</f>
        <v>57.66170285324542</v>
      </c>
      <c r="K56" s="74">
        <f>J55/I56*100</f>
        <v>56.29855715871253</v>
      </c>
      <c r="L56" s="72">
        <f t="shared" si="1"/>
        <v>59652</v>
      </c>
      <c r="M56" s="73">
        <f>M55/L55*100</f>
        <v>78.51454007026321</v>
      </c>
      <c r="N56" s="74">
        <f>M55/L56*100</f>
        <v>71.55837189029705</v>
      </c>
      <c r="O56" s="72">
        <v>9906</v>
      </c>
      <c r="P56" s="73">
        <f>P55/O55*100</f>
        <v>104.99686912961803</v>
      </c>
      <c r="Q56" s="74">
        <f>P55/O56*100</f>
        <v>84.63557439935393</v>
      </c>
      <c r="R56" s="105">
        <v>8320</v>
      </c>
      <c r="S56" s="73">
        <f>S55/R55*100</f>
        <v>60.517920810658666</v>
      </c>
      <c r="T56" s="74">
        <f>S55/R56*100</f>
        <v>77.52403846153845</v>
      </c>
      <c r="U56" s="29"/>
      <c r="V56" s="22" t="s">
        <v>64</v>
      </c>
      <c r="W56" s="36" t="s">
        <v>32</v>
      </c>
      <c r="X56" s="37" t="s">
        <v>33</v>
      </c>
      <c r="Y56" s="105">
        <v>2172</v>
      </c>
      <c r="Z56" s="73">
        <f>Z55/Y55*100</f>
        <v>118.86120996441281</v>
      </c>
      <c r="AA56" s="74">
        <f>Z55/Y56*100</f>
        <v>92.26519337016575</v>
      </c>
      <c r="AB56" s="105">
        <v>10545</v>
      </c>
      <c r="AC56" s="73">
        <f>AC55/AB55*100</f>
        <v>101.97064559170687</v>
      </c>
      <c r="AD56" s="74">
        <f>AC55/AB56*100</f>
        <v>94.21526789947843</v>
      </c>
      <c r="AE56" s="105">
        <v>5298</v>
      </c>
      <c r="AF56" s="73">
        <f>AF55/AE55*100</f>
        <v>84.54029511918276</v>
      </c>
      <c r="AG56" s="74">
        <f>AF55/AE56*100</f>
        <v>70.29067572668932</v>
      </c>
      <c r="AH56" s="105">
        <v>1684</v>
      </c>
      <c r="AI56" s="73">
        <f>AI55/AH55*100</f>
        <v>103.93462469733656</v>
      </c>
      <c r="AJ56" s="74">
        <f>AI55/AH56*100</f>
        <v>101.95961995249405</v>
      </c>
      <c r="AK56" s="105">
        <v>1852</v>
      </c>
      <c r="AL56" s="73">
        <f>AL55/AK55*100</f>
        <v>87.60151597184624</v>
      </c>
      <c r="AM56" s="74">
        <f>AL55/AK56*100</f>
        <v>87.36501079913607</v>
      </c>
      <c r="AN56" s="99">
        <v>18156</v>
      </c>
      <c r="AO56" s="73">
        <f>AO55/AN55*100</f>
        <v>49.556928034371644</v>
      </c>
      <c r="AP56" s="74">
        <f>AO55/AN56*100</f>
        <v>40.65873540427407</v>
      </c>
    </row>
    <row r="57" spans="1:42" ht="15" customHeight="1">
      <c r="A57" s="30"/>
      <c r="B57" s="31" t="s">
        <v>29</v>
      </c>
      <c r="C57" s="10" t="s">
        <v>30</v>
      </c>
      <c r="D57" s="106">
        <v>8880</v>
      </c>
      <c r="E57" s="128">
        <v>7575</v>
      </c>
      <c r="F57" s="104">
        <f>49322-362</f>
        <v>48960</v>
      </c>
      <c r="G57" s="139">
        <f>64843-2753</f>
        <v>62090</v>
      </c>
      <c r="H57" s="140"/>
      <c r="I57" s="107">
        <v>12754</v>
      </c>
      <c r="J57" s="139">
        <v>13882</v>
      </c>
      <c r="K57" s="140"/>
      <c r="L57" s="104">
        <f t="shared" si="1"/>
        <v>61714</v>
      </c>
      <c r="M57" s="139">
        <f>SUM(G57+J57)</f>
        <v>75972</v>
      </c>
      <c r="N57" s="140"/>
      <c r="O57" s="104">
        <v>7832</v>
      </c>
      <c r="P57" s="139">
        <v>19308</v>
      </c>
      <c r="Q57" s="140"/>
      <c r="R57" s="104">
        <v>15137</v>
      </c>
      <c r="S57" s="139">
        <v>18473</v>
      </c>
      <c r="T57" s="140"/>
      <c r="U57" s="25"/>
      <c r="V57" s="30"/>
      <c r="W57" s="31" t="s">
        <v>29</v>
      </c>
      <c r="X57" s="10" t="s">
        <v>30</v>
      </c>
      <c r="Y57" s="104">
        <v>1018</v>
      </c>
      <c r="Z57" s="139">
        <v>1424</v>
      </c>
      <c r="AA57" s="140"/>
      <c r="AB57" s="104">
        <v>4474</v>
      </c>
      <c r="AC57" s="139">
        <v>4182</v>
      </c>
      <c r="AD57" s="140"/>
      <c r="AE57" s="104">
        <v>15905</v>
      </c>
      <c r="AF57" s="139">
        <v>19517</v>
      </c>
      <c r="AG57" s="140"/>
      <c r="AH57" s="107">
        <v>0</v>
      </c>
      <c r="AI57" s="139">
        <v>360</v>
      </c>
      <c r="AJ57" s="140"/>
      <c r="AK57" s="107">
        <v>1335</v>
      </c>
      <c r="AL57" s="139">
        <v>1377</v>
      </c>
      <c r="AM57" s="140"/>
      <c r="AN57" s="106">
        <v>10832</v>
      </c>
      <c r="AO57" s="139">
        <v>10158</v>
      </c>
      <c r="AP57" s="140"/>
    </row>
    <row r="58" spans="1:42" ht="15" customHeight="1" thickBot="1">
      <c r="A58" s="26" t="s">
        <v>65</v>
      </c>
      <c r="B58" s="32" t="s">
        <v>32</v>
      </c>
      <c r="C58" s="33" t="s">
        <v>33</v>
      </c>
      <c r="D58" s="103">
        <v>16777</v>
      </c>
      <c r="E58" s="118" t="s">
        <v>34</v>
      </c>
      <c r="F58" s="72">
        <f>66939-362</f>
        <v>66577</v>
      </c>
      <c r="G58" s="73">
        <f>G57/F57*100</f>
        <v>126.81781045751634</v>
      </c>
      <c r="H58" s="74">
        <f>G57/F58*100</f>
        <v>93.26043528545894</v>
      </c>
      <c r="I58" s="72">
        <v>18859</v>
      </c>
      <c r="J58" s="73">
        <f>J57/I57*100</f>
        <v>108.84428414615022</v>
      </c>
      <c r="K58" s="74">
        <f>J57/I58*100</f>
        <v>73.6094172543613</v>
      </c>
      <c r="L58" s="72">
        <f t="shared" si="1"/>
        <v>85436</v>
      </c>
      <c r="M58" s="73">
        <f>M57/L57*100</f>
        <v>123.10334770068381</v>
      </c>
      <c r="N58" s="74">
        <f>M57/L58*100</f>
        <v>88.92270237370663</v>
      </c>
      <c r="O58" s="72">
        <v>20929</v>
      </c>
      <c r="P58" s="73">
        <f>P57/O57*100</f>
        <v>246.5270684371808</v>
      </c>
      <c r="Q58" s="74">
        <f>P57/O58*100</f>
        <v>92.2547661140045</v>
      </c>
      <c r="R58" s="72">
        <v>18915</v>
      </c>
      <c r="S58" s="73">
        <f>S57/R57*100</f>
        <v>122.03871308713747</v>
      </c>
      <c r="T58" s="74">
        <f>S57/R58*100</f>
        <v>97.66323024054982</v>
      </c>
      <c r="U58" s="29"/>
      <c r="V58" s="26" t="s">
        <v>65</v>
      </c>
      <c r="W58" s="32" t="s">
        <v>32</v>
      </c>
      <c r="X58" s="33" t="s">
        <v>33</v>
      </c>
      <c r="Y58" s="72">
        <v>2078</v>
      </c>
      <c r="Z58" s="73">
        <f>Z57/Y57*100</f>
        <v>139.8821218074656</v>
      </c>
      <c r="AA58" s="74">
        <f>Z57/Y58*100</f>
        <v>68.5274302213667</v>
      </c>
      <c r="AB58" s="72">
        <v>4642</v>
      </c>
      <c r="AC58" s="73">
        <f>AC57/AB57*100</f>
        <v>93.47340187751453</v>
      </c>
      <c r="AD58" s="74">
        <f>AC57/AB58*100</f>
        <v>90.09047824213701</v>
      </c>
      <c r="AE58" s="72">
        <v>21053</v>
      </c>
      <c r="AF58" s="73">
        <f>AF57/AE57*100</f>
        <v>122.7098396730588</v>
      </c>
      <c r="AG58" s="74">
        <f>AF57/AE58*100</f>
        <v>92.70412767776564</v>
      </c>
      <c r="AH58" s="72">
        <v>360</v>
      </c>
      <c r="AI58" s="73" t="s">
        <v>40</v>
      </c>
      <c r="AJ58" s="74">
        <f>AI57/AH58*100</f>
        <v>100</v>
      </c>
      <c r="AK58" s="72">
        <v>1383</v>
      </c>
      <c r="AL58" s="73">
        <f>AL57/AK57*100</f>
        <v>103.14606741573033</v>
      </c>
      <c r="AM58" s="74">
        <f>AL57/AK58*100</f>
        <v>99.56616052060737</v>
      </c>
      <c r="AN58" s="103">
        <v>10618</v>
      </c>
      <c r="AO58" s="73">
        <f>AO57/AN57*100</f>
        <v>93.77769571639585</v>
      </c>
      <c r="AP58" s="74">
        <f>AO57/AN58*100</f>
        <v>95.66773403654172</v>
      </c>
    </row>
    <row r="59" spans="1:47" ht="15" customHeight="1">
      <c r="A59" s="30"/>
      <c r="B59" s="31" t="s">
        <v>29</v>
      </c>
      <c r="C59" s="10" t="s">
        <v>30</v>
      </c>
      <c r="D59" s="102">
        <v>0</v>
      </c>
      <c r="E59" s="117">
        <v>-2296</v>
      </c>
      <c r="F59" s="104">
        <f>13046-198</f>
        <v>12848</v>
      </c>
      <c r="G59" s="139">
        <f>35375-19420</f>
        <v>15955</v>
      </c>
      <c r="H59" s="140"/>
      <c r="I59" s="102">
        <v>2280</v>
      </c>
      <c r="J59" s="139">
        <v>2448</v>
      </c>
      <c r="K59" s="140"/>
      <c r="L59" s="104">
        <f t="shared" si="1"/>
        <v>15128</v>
      </c>
      <c r="M59" s="139">
        <f>SUM(G59+J59)</f>
        <v>18403</v>
      </c>
      <c r="N59" s="140"/>
      <c r="O59" s="104">
        <v>3220</v>
      </c>
      <c r="P59" s="139">
        <v>6083</v>
      </c>
      <c r="Q59" s="140"/>
      <c r="R59" s="104">
        <v>0</v>
      </c>
      <c r="S59" s="139">
        <v>0</v>
      </c>
      <c r="T59" s="140"/>
      <c r="U59" s="25"/>
      <c r="V59" s="30"/>
      <c r="W59" s="31" t="s">
        <v>29</v>
      </c>
      <c r="X59" s="10" t="s">
        <v>30</v>
      </c>
      <c r="Y59" s="104">
        <v>543</v>
      </c>
      <c r="Z59" s="139">
        <v>446</v>
      </c>
      <c r="AA59" s="140"/>
      <c r="AB59" s="104">
        <v>1190</v>
      </c>
      <c r="AC59" s="139">
        <v>1511</v>
      </c>
      <c r="AD59" s="140"/>
      <c r="AE59" s="104">
        <v>3557</v>
      </c>
      <c r="AF59" s="139">
        <v>3764</v>
      </c>
      <c r="AG59" s="140"/>
      <c r="AH59" s="104">
        <v>0</v>
      </c>
      <c r="AI59" s="139">
        <v>92</v>
      </c>
      <c r="AJ59" s="140"/>
      <c r="AK59" s="104">
        <v>1381</v>
      </c>
      <c r="AL59" s="139">
        <v>1105</v>
      </c>
      <c r="AM59" s="140"/>
      <c r="AN59" s="104">
        <v>4001</v>
      </c>
      <c r="AO59" s="139">
        <v>3818</v>
      </c>
      <c r="AP59" s="140"/>
      <c r="AU59" s="1" t="s">
        <v>1</v>
      </c>
    </row>
    <row r="60" spans="1:42" ht="15" customHeight="1" thickBot="1">
      <c r="A60" s="26" t="s">
        <v>66</v>
      </c>
      <c r="B60" s="32" t="s">
        <v>32</v>
      </c>
      <c r="C60" s="33" t="s">
        <v>33</v>
      </c>
      <c r="D60" s="99">
        <v>11917</v>
      </c>
      <c r="E60" s="116" t="s">
        <v>34</v>
      </c>
      <c r="F60" s="72">
        <f>26117-198</f>
        <v>25919</v>
      </c>
      <c r="G60" s="73">
        <f>G59/F59*100</f>
        <v>124.18275217932752</v>
      </c>
      <c r="H60" s="74">
        <f>G59/F60*100</f>
        <v>61.557158841004664</v>
      </c>
      <c r="I60" s="99">
        <v>5787</v>
      </c>
      <c r="J60" s="73">
        <f>J59/I59*100</f>
        <v>107.36842105263158</v>
      </c>
      <c r="K60" s="74">
        <f>J59/I60*100</f>
        <v>42.30171073094868</v>
      </c>
      <c r="L60" s="72">
        <f t="shared" si="1"/>
        <v>31706</v>
      </c>
      <c r="M60" s="73">
        <f>M59/L59*100</f>
        <v>121.6485986250661</v>
      </c>
      <c r="N60" s="74">
        <f>M59/L60*100</f>
        <v>58.04264177127357</v>
      </c>
      <c r="O60" s="72">
        <v>12168</v>
      </c>
      <c r="P60" s="73">
        <f>P59/O59*100</f>
        <v>188.91304347826087</v>
      </c>
      <c r="Q60" s="74">
        <f>P59/O60*100</f>
        <v>49.991781722550954</v>
      </c>
      <c r="R60" s="72">
        <v>0</v>
      </c>
      <c r="S60" s="73" t="s">
        <v>40</v>
      </c>
      <c r="T60" s="74" t="s">
        <v>34</v>
      </c>
      <c r="U60" s="29"/>
      <c r="V60" s="26" t="s">
        <v>66</v>
      </c>
      <c r="W60" s="32" t="s">
        <v>32</v>
      </c>
      <c r="X60" s="33" t="s">
        <v>33</v>
      </c>
      <c r="Y60" s="72">
        <v>1760</v>
      </c>
      <c r="Z60" s="73">
        <f>Z59/Y59*100</f>
        <v>82.13627992633518</v>
      </c>
      <c r="AA60" s="74">
        <f>Z59/Y60*100</f>
        <v>25.340909090909093</v>
      </c>
      <c r="AB60" s="72">
        <v>2075</v>
      </c>
      <c r="AC60" s="73">
        <f>AC59/AB59*100</f>
        <v>126.97478991596638</v>
      </c>
      <c r="AD60" s="74">
        <f>AC59/AB60*100</f>
        <v>72.81927710843374</v>
      </c>
      <c r="AE60" s="72">
        <v>5239</v>
      </c>
      <c r="AF60" s="73">
        <f>AF59/AE59*100</f>
        <v>105.81951082372787</v>
      </c>
      <c r="AG60" s="74">
        <f>AF59/AE60*100</f>
        <v>71.84577209391105</v>
      </c>
      <c r="AH60" s="72">
        <v>92</v>
      </c>
      <c r="AI60" s="73" t="s">
        <v>40</v>
      </c>
      <c r="AJ60" s="74">
        <f>AI59/AH60*100</f>
        <v>100</v>
      </c>
      <c r="AK60" s="72">
        <v>1381</v>
      </c>
      <c r="AL60" s="73">
        <f>AL59/AK59*100</f>
        <v>80.01448225923244</v>
      </c>
      <c r="AM60" s="74">
        <f>AL59/AK60*100</f>
        <v>80.01448225923244</v>
      </c>
      <c r="AN60" s="105">
        <v>4477</v>
      </c>
      <c r="AO60" s="73">
        <f>AO59/AN59*100</f>
        <v>95.42614346413396</v>
      </c>
      <c r="AP60" s="74">
        <f>AO59/AN60*100</f>
        <v>85.28032164395802</v>
      </c>
    </row>
    <row r="61" spans="1:42" ht="15" customHeight="1">
      <c r="A61" s="22"/>
      <c r="B61" s="56" t="s">
        <v>29</v>
      </c>
      <c r="C61" s="57" t="s">
        <v>30</v>
      </c>
      <c r="D61" s="106">
        <v>1200</v>
      </c>
      <c r="E61" s="128">
        <v>-245</v>
      </c>
      <c r="F61" s="108">
        <f>10586-140</f>
        <v>10446</v>
      </c>
      <c r="G61" s="139">
        <f>19891-9617</f>
        <v>10274</v>
      </c>
      <c r="H61" s="140"/>
      <c r="I61" s="107">
        <v>1770</v>
      </c>
      <c r="J61" s="139">
        <v>425</v>
      </c>
      <c r="K61" s="140"/>
      <c r="L61" s="104">
        <f t="shared" si="1"/>
        <v>12216</v>
      </c>
      <c r="M61" s="139">
        <f>SUM(G61+J61)</f>
        <v>10699</v>
      </c>
      <c r="N61" s="140"/>
      <c r="O61" s="104">
        <v>707</v>
      </c>
      <c r="P61" s="139">
        <v>370</v>
      </c>
      <c r="Q61" s="140"/>
      <c r="R61" s="108">
        <v>600</v>
      </c>
      <c r="S61" s="139">
        <v>834</v>
      </c>
      <c r="T61" s="140"/>
      <c r="U61" s="25"/>
      <c r="V61" s="22"/>
      <c r="W61" s="56" t="s">
        <v>29</v>
      </c>
      <c r="X61" s="57" t="s">
        <v>30</v>
      </c>
      <c r="Y61" s="108">
        <v>644</v>
      </c>
      <c r="Z61" s="139">
        <v>668</v>
      </c>
      <c r="AA61" s="140"/>
      <c r="AB61" s="108">
        <v>155</v>
      </c>
      <c r="AC61" s="139">
        <v>105</v>
      </c>
      <c r="AD61" s="140"/>
      <c r="AE61" s="108">
        <v>3888</v>
      </c>
      <c r="AF61" s="139">
        <v>3250</v>
      </c>
      <c r="AG61" s="140"/>
      <c r="AH61" s="107">
        <v>15</v>
      </c>
      <c r="AI61" s="139">
        <v>172</v>
      </c>
      <c r="AJ61" s="140"/>
      <c r="AK61" s="107">
        <v>1265</v>
      </c>
      <c r="AL61" s="139">
        <v>1248</v>
      </c>
      <c r="AM61" s="140"/>
      <c r="AN61" s="107">
        <v>2914</v>
      </c>
      <c r="AO61" s="139">
        <v>3235</v>
      </c>
      <c r="AP61" s="140"/>
    </row>
    <row r="62" spans="1:42" ht="15" customHeight="1" thickBot="1">
      <c r="A62" s="19" t="s">
        <v>67</v>
      </c>
      <c r="B62" s="58" t="s">
        <v>32</v>
      </c>
      <c r="C62" s="59" t="s">
        <v>33</v>
      </c>
      <c r="D62" s="129">
        <v>1733</v>
      </c>
      <c r="E62" s="130" t="s">
        <v>34</v>
      </c>
      <c r="F62" s="109">
        <f>12436-140</f>
        <v>12296</v>
      </c>
      <c r="G62" s="73">
        <f>G61/F61*100</f>
        <v>98.35343672219031</v>
      </c>
      <c r="H62" s="74">
        <f>G61/F62*100</f>
        <v>83.55562784645413</v>
      </c>
      <c r="I62" s="109">
        <v>438</v>
      </c>
      <c r="J62" s="73">
        <f>J61/I61*100</f>
        <v>24.01129943502825</v>
      </c>
      <c r="K62" s="74">
        <f>J61/I62*100</f>
        <v>97.03196347031964</v>
      </c>
      <c r="L62" s="109">
        <f t="shared" si="1"/>
        <v>12734</v>
      </c>
      <c r="M62" s="73">
        <f>M61/L61*100</f>
        <v>87.58185985592665</v>
      </c>
      <c r="N62" s="74">
        <f>M61/L62*100</f>
        <v>84.01916130045547</v>
      </c>
      <c r="O62" s="109">
        <v>817</v>
      </c>
      <c r="P62" s="73">
        <f>P61/O61*100</f>
        <v>52.33380480905233</v>
      </c>
      <c r="Q62" s="74">
        <f>P61/O62*100</f>
        <v>45.28763769889841</v>
      </c>
      <c r="R62" s="109">
        <v>945</v>
      </c>
      <c r="S62" s="73">
        <f>S61/R61*100</f>
        <v>139</v>
      </c>
      <c r="T62" s="74">
        <f>S61/R62*100</f>
        <v>88.25396825396825</v>
      </c>
      <c r="U62" s="29"/>
      <c r="V62" s="19" t="s">
        <v>67</v>
      </c>
      <c r="W62" s="58" t="s">
        <v>32</v>
      </c>
      <c r="X62" s="59" t="s">
        <v>33</v>
      </c>
      <c r="Y62" s="109">
        <v>835</v>
      </c>
      <c r="Z62" s="73">
        <f>Z61/Y61*100</f>
        <v>103.72670807453417</v>
      </c>
      <c r="AA62" s="74">
        <f>Z61/Y62*100</f>
        <v>80</v>
      </c>
      <c r="AB62" s="109">
        <v>161</v>
      </c>
      <c r="AC62" s="73">
        <f>AC61/AB61*100</f>
        <v>67.74193548387096</v>
      </c>
      <c r="AD62" s="74">
        <f>AC61/AB62*100</f>
        <v>65.21739130434783</v>
      </c>
      <c r="AE62" s="109">
        <v>3771</v>
      </c>
      <c r="AF62" s="73">
        <f>AF61/AE61*100</f>
        <v>83.59053497942386</v>
      </c>
      <c r="AG62" s="74">
        <f>AF61/AE62*100</f>
        <v>86.18403606470433</v>
      </c>
      <c r="AH62" s="109">
        <v>185</v>
      </c>
      <c r="AI62" s="73">
        <f>AI61/AH61*100</f>
        <v>1146.6666666666667</v>
      </c>
      <c r="AJ62" s="74">
        <f>AI61/AH62*100</f>
        <v>92.97297297297298</v>
      </c>
      <c r="AK62" s="109">
        <v>1330</v>
      </c>
      <c r="AL62" s="73">
        <f>AL61/AK61*100</f>
        <v>98.65612648221344</v>
      </c>
      <c r="AM62" s="74">
        <f>AL61/AK62*100</f>
        <v>93.83458646616542</v>
      </c>
      <c r="AN62" s="109">
        <v>3521</v>
      </c>
      <c r="AO62" s="73">
        <f>AO61/AN61*100</f>
        <v>111.01578586135896</v>
      </c>
      <c r="AP62" s="74">
        <f>AO61/AN62*100</f>
        <v>91.87730758307299</v>
      </c>
    </row>
    <row r="63" spans="1:42" ht="15" customHeight="1" thickTop="1">
      <c r="A63" s="22"/>
      <c r="B63" s="60" t="s">
        <v>29</v>
      </c>
      <c r="C63" s="61" t="s">
        <v>30</v>
      </c>
      <c r="D63" s="100">
        <f>SUM(D8+D10+D12+D14+D16+D18+D20+D22+D24+D26+D28+D30+D41+D43+D45+D47+D49+D51+D53+D55+D57+D59+D61)</f>
        <v>379919</v>
      </c>
      <c r="E63" s="115">
        <f>SUM(E8+E10+E12+E14+E16+E18+E20+E22+E24+E26+E28+E30+E41+E43+E45+E47+E49+E51+E53+E55+E57+E59+E61)</f>
        <v>-103212</v>
      </c>
      <c r="F63" s="100">
        <f>SUM(F8+F10+F12+F14+F16+F18+F20+F22+F24+F26+F28+F30+F41+F43+F45+F47+F49+F51+F53+F55+F57+F59+F61)</f>
        <v>2340853</v>
      </c>
      <c r="G63" s="133">
        <f>SUM(G8+G10+G12+G14+G16+G18+G20+G22+G24+G26+G28+G30+G41+G43+G45+G47+G49+G51+G53+G55+G57+G59+G61)</f>
        <v>2411148</v>
      </c>
      <c r="H63" s="134"/>
      <c r="I63" s="98">
        <f>SUM(I8+I10+I12+I14+I16+I18+I20+I22+I24+I26+I28+I30+I41+I43+I45+I47+I49+I51+I53+I55+I57+I59+I61)</f>
        <v>436674</v>
      </c>
      <c r="J63" s="133">
        <f>SUM(J8+J10+J12+J14+J16+J18+J20+J22+J24+J26+J28+J30+J41+J43+J45+J47+J49+J51+J53+J55+J57+J59+J61)</f>
        <v>510949</v>
      </c>
      <c r="K63" s="134"/>
      <c r="L63" s="100">
        <f t="shared" si="1"/>
        <v>2777527</v>
      </c>
      <c r="M63" s="133">
        <f>M8+M10+M12+M14+M16+M18+M20+M22+M24+M26+M28+M30+M41+M43+M45+M47+N49+M51+M53+M55+M57+M59+M61</f>
        <v>2922097</v>
      </c>
      <c r="N63" s="134"/>
      <c r="O63" s="98">
        <f>SUM(O8+O10+O12+O14+O16+O18+O20+O22+O24+O26+O28+O30+O41+O43+O45+O47+O49+O51+O53+O55+O57+O59+O61)</f>
        <v>231826</v>
      </c>
      <c r="P63" s="133">
        <f>SUM(P8+P10+P12+P14+P16+P18+P20+P22+P24+P26+P28+P30+P41+P43+P45+P47+P49+P51+P53+P55+P57+P59+P61)</f>
        <v>317037</v>
      </c>
      <c r="Q63" s="134"/>
      <c r="R63" s="100">
        <f>SUM(R8+R10+R12+R14+R16+R18+R20+R22+R24+R26+R28+R30+R41+R43+R45+R47+R49+R51+R53+R55+R57+R59+R61)</f>
        <v>414020</v>
      </c>
      <c r="S63" s="133">
        <f>SUM(S8+S10+S12+S14+S16+S18+S20+S22+S24+S26+S28+S30+S41+S43+S45+S47+S49+S51+S53+S55+S57+S59+S61)</f>
        <v>491921</v>
      </c>
      <c r="T63" s="134"/>
      <c r="U63" s="25"/>
      <c r="V63" s="22"/>
      <c r="W63" s="60" t="s">
        <v>29</v>
      </c>
      <c r="X63" s="61" t="s">
        <v>30</v>
      </c>
      <c r="Y63" s="100">
        <f>SUM(Y8+Y10+Y12+Y14+Y16+Y18+Y20+Y22+Y24+Y26+Y28+Y30+Y41+Y43+Y45+Y47+Y49+Y51+Y53+Y55+Y57+Y59+Y61)</f>
        <v>130318</v>
      </c>
      <c r="Z63" s="133">
        <f>SUM(Z8+Z10+Z12+Z14+Z16+Z18+Z20+Z22+Z24+Z26+Z28+Z30+Z41+Z43+Z45+Z47+Z49+Z51+Z53+Z55+Z57+Z59+Z61)</f>
        <v>139117</v>
      </c>
      <c r="AA63" s="134"/>
      <c r="AB63" s="100">
        <f>SUM(AB8+AB10+AB12+AB14+AB16+AB18+AB20+AB22+AB24+AB26+AB28+AB30+AB41+AB43+AB45+AB47+AB49+AB51+AB53+AB55+AB57+AB59+AB61)</f>
        <v>728504</v>
      </c>
      <c r="AC63" s="133">
        <f>SUM(AC8+AC10+AC12+AC14+AC16+AC18+AC20+AC22+AC24+AC26+AC28+AC30+AC41+AC43+AC45+AC47+AC49+AC51+AC53+AC55+AC57+AC59+AC61)</f>
        <v>681716</v>
      </c>
      <c r="AD63" s="134"/>
      <c r="AE63" s="100">
        <f>SUM(AE8+AE10+AE12+AE14+AE16+AE18+AE20+AE22+AE24+AE26+AE28+AE30+AE41+AE43+AE45+AE47+AE49+AE51+AE53+AE55+AE57+AE59+AE61)</f>
        <v>334873</v>
      </c>
      <c r="AF63" s="133">
        <f>SUM(AF8+AF10+AF12+AF14+AF16+AF18+AF20+AF22+AF24+AF26+AF28+AF30+AF41+AF43+AF45+AF47+AF49+AF51+AF53+AF55+AF57+AF59+AF61)</f>
        <v>420542</v>
      </c>
      <c r="AG63" s="134"/>
      <c r="AH63" s="100">
        <f>SUM(AH8+AH10+AH12+AH14+AH16+AH18+AH20+AH22+AH24+AH26+AH28+AH30+AH41+AH43+AH45+AH47+AH49+AH51+AH53+AH55+AH57+AH59+AH61)</f>
        <v>95828</v>
      </c>
      <c r="AI63" s="133">
        <f>SUM(AI8+AI10+AI12+AI14+AI16+AI18+AI20+AI22+AI24+AI26+AI28+AI30+AI41+AI43+AI45+AI47+AI49+AI51+AI53+AI55+AI57+AI59+AI61)</f>
        <v>145749</v>
      </c>
      <c r="AJ63" s="134"/>
      <c r="AK63" s="100">
        <f>SUM(AK8+AK10+AK12+AK14+AK16+AK18+AK20+AK22+AK24+AK26+AK28+AK30+AK41+AK43+AK45+AK47+AK49+AK51+AK53+AK55+AK57+AK59+AK61)</f>
        <v>71899</v>
      </c>
      <c r="AL63" s="133">
        <f>SUM(AL8+AL10+AL12+AL14+AL16+AL18+AL20+AL22+AL24+AL26+AL28+AL30+AL41+AL43+AL45+AL47+AL49+AL51+AL53+AL55+AL57+AL59+AL61)</f>
        <v>68739</v>
      </c>
      <c r="AM63" s="134"/>
      <c r="AN63" s="100">
        <f>SUM(AN8+AN10+AN12+AN14+AN16+AN18+AN20+AN22+AN24+AN26+AN28+AN30+AN41+AN43+AN45+AN47+AN49+AN51+AN53+AN55+AN57+AN59+AN61)</f>
        <v>580254</v>
      </c>
      <c r="AO63" s="133">
        <f>SUM(AO8+AO10+AO12+AO14+AO16+AO18+AO20+AO22+AO24+AO26+AO28+AO30+AO41+AO43+AO45+AO47+AO49+AO51+AO53+AO55+AO57+AO59+AO61)</f>
        <v>566748</v>
      </c>
      <c r="AP63" s="134"/>
    </row>
    <row r="64" spans="1:42" ht="15" customHeight="1" thickBot="1">
      <c r="A64" s="62" t="s">
        <v>68</v>
      </c>
      <c r="B64" s="63" t="s">
        <v>32</v>
      </c>
      <c r="C64" s="64" t="s">
        <v>33</v>
      </c>
      <c r="D64" s="72">
        <f>SUM(D9+D11+D13+D15+D17+D19+D21+D23+D25+D27+D29+D31+D42+D44+D46+D48+D50+D52+D54+D56+D58+D60+D62)</f>
        <v>719883</v>
      </c>
      <c r="E64" s="118" t="s">
        <v>34</v>
      </c>
      <c r="F64" s="72">
        <f>SUM(F9+F11+F13+F15+F17+F19+F21+F23+F25+F27+F29+F31+F42+F44+F46+F48+F50+F52+F54+F56+F58+F60+F62)</f>
        <v>3070350</v>
      </c>
      <c r="G64" s="73">
        <f>G63/F63*100</f>
        <v>103.00296515842729</v>
      </c>
      <c r="H64" s="74">
        <f>G63/F64*100</f>
        <v>78.53006986174215</v>
      </c>
      <c r="I64" s="103">
        <f>SUM(I9+I11+I13+I15+I17+I19+I21+I23+I25+I27+I29+I31+I42+I44+I46+I48+I50+I52+I54+I56+I58+I60+I62)</f>
        <v>659307</v>
      </c>
      <c r="J64" s="73">
        <f>J63/I63*100</f>
        <v>117.00925633309976</v>
      </c>
      <c r="K64" s="74">
        <f>J63/I64*100</f>
        <v>77.49788793384569</v>
      </c>
      <c r="L64" s="72">
        <f t="shared" si="1"/>
        <v>3729657</v>
      </c>
      <c r="M64" s="73">
        <f>M63/L63*100</f>
        <v>105.20498990648876</v>
      </c>
      <c r="N64" s="74">
        <f>M63/L64*100</f>
        <v>78.34760676383914</v>
      </c>
      <c r="O64" s="103">
        <f>SUM(O9+O11+O13+O15+O17+O19+O21+O23+O25+O27+O29+O31+O42+O44+O46+O48+O50+O52+O54+O56+O58+O60+O62)</f>
        <v>382222</v>
      </c>
      <c r="P64" s="73">
        <f>P63/O63*100</f>
        <v>136.75644664532882</v>
      </c>
      <c r="Q64" s="74">
        <f>P63/O64*100</f>
        <v>82.94577496847381</v>
      </c>
      <c r="R64" s="72">
        <f>SUM(R9+R11+R13+R15+R17+R19+R21+R23+R25+R27+R29+R31+R42+R44+R46+R48+R50+R52+R54+R56+R58+R60+R62)</f>
        <v>532374</v>
      </c>
      <c r="S64" s="73">
        <f>S63/R63*100</f>
        <v>118.81575769286508</v>
      </c>
      <c r="T64" s="74">
        <f>S63/R64*100</f>
        <v>92.40139450837194</v>
      </c>
      <c r="U64" s="29"/>
      <c r="V64" s="62" t="s">
        <v>68</v>
      </c>
      <c r="W64" s="63" t="s">
        <v>32</v>
      </c>
      <c r="X64" s="64" t="s">
        <v>33</v>
      </c>
      <c r="Y64" s="72">
        <f>SUM(Y9+Y11+Y13+Y15+Y17+Y19+Y21+Y23+Y25+Y27+Y29+Y31+Y42+Y44+Y46+Y48+Y50+Y52+Y54+Y56+Y58+Y60+Y62)</f>
        <v>182393</v>
      </c>
      <c r="Z64" s="73">
        <f>Z63/Y63*100</f>
        <v>106.75194524163969</v>
      </c>
      <c r="AA64" s="74">
        <f>Z63/Y64*100</f>
        <v>76.2732122395048</v>
      </c>
      <c r="AB64" s="72">
        <f>SUM(AB9+AB11+AB13+AB15+AB17+AB19+AB21+AB23+AB25+AB27+AB29+AB31+AB42+AB44+AB46+AB48+AB50+AB52+AB54+AB56+AB58+AB60+AB62)</f>
        <v>792473</v>
      </c>
      <c r="AC64" s="73">
        <f>AC63/AB63*100</f>
        <v>93.57752325313244</v>
      </c>
      <c r="AD64" s="74">
        <f>AC63/AB64*100</f>
        <v>86.02387715417433</v>
      </c>
      <c r="AE64" s="72">
        <f>SUM(AE9+AE11+AE13+AE15+AE17+AE19+AE21+AE23+AE25+AE27+AE29+AE31+AE42+AE44+AE46+AE48+AE50+AE52+AE54+AE56+AE58+AE60+AE62)</f>
        <v>466949</v>
      </c>
      <c r="AF64" s="73">
        <f>AF63/AE63*100</f>
        <v>125.58253427418752</v>
      </c>
      <c r="AG64" s="74">
        <f>AF63/AE64*100</f>
        <v>90.06165555553176</v>
      </c>
      <c r="AH64" s="72">
        <f>SUM(AH9+AH11+AH13+AH15+AH17+AH19+AH21+AH23+AH25+AH27+AH29+AH31+AH42+AH44+AH46+AH48+AH50+AH52+AH54+AH56+AH58+AH60+AH62)</f>
        <v>164385</v>
      </c>
      <c r="AI64" s="73">
        <f>AI63/AH63*100</f>
        <v>152.094377426222</v>
      </c>
      <c r="AJ64" s="74">
        <f>AI63/AH64*100</f>
        <v>88.66319919700703</v>
      </c>
      <c r="AK64" s="72">
        <f>SUM(AK9+AK11+AK13+AK15+AK17+AK19+AK21+AK23+AK25+AK27+AK29+AK31+AK42+AK44+AK46+AK48+AK50+AK52+AK54+AK56+AK58+AK60+AK62)</f>
        <v>73767</v>
      </c>
      <c r="AL64" s="73">
        <f>AL63/AK63*100</f>
        <v>95.6049458267848</v>
      </c>
      <c r="AM64" s="74">
        <f>AL63/AK64*100</f>
        <v>93.18394404001789</v>
      </c>
      <c r="AN64" s="72">
        <f>SUM(AN9+AN11+AN13+AN15+AN17+AN19+AN21+AN23+AN25+AN27+AN29+AN31+AN42+AN44+AN46+AN48+AN50+AN52+AN54+AN56+AN58+AN60+AN62)</f>
        <v>639113</v>
      </c>
      <c r="AO64" s="73">
        <f>AO63/AN63*100</f>
        <v>97.67239863921662</v>
      </c>
      <c r="AP64" s="74">
        <f>AO63/AN64*100</f>
        <v>88.67727616243137</v>
      </c>
    </row>
    <row r="65" spans="4:20" s="65" customFormat="1" ht="11.25">
      <c r="D65" s="86"/>
      <c r="E65" s="131"/>
      <c r="F65" s="86"/>
      <c r="G65" s="141"/>
      <c r="H65" s="141"/>
      <c r="I65" s="86"/>
      <c r="J65" s="141"/>
      <c r="K65" s="141"/>
      <c r="L65" s="86"/>
      <c r="M65" s="141"/>
      <c r="N65" s="141"/>
      <c r="R65" s="86"/>
      <c r="S65" s="86"/>
      <c r="T65" s="86"/>
    </row>
    <row r="66" spans="5:42" ht="12.75">
      <c r="E66" s="66"/>
      <c r="F66" s="67"/>
      <c r="G66" s="138"/>
      <c r="H66" s="138"/>
      <c r="I66" s="67"/>
      <c r="J66" s="138"/>
      <c r="K66" s="138"/>
      <c r="L66" s="67"/>
      <c r="M66" s="138"/>
      <c r="N66" s="138"/>
      <c r="O66" s="67"/>
      <c r="R66" s="78"/>
      <c r="S66" s="78"/>
      <c r="T66" s="78"/>
      <c r="Y66" s="66"/>
      <c r="Z66" s="66"/>
      <c r="AE66" s="66"/>
      <c r="AF66" s="137"/>
      <c r="AG66" s="137"/>
      <c r="AH66" s="66"/>
      <c r="AI66" s="66"/>
      <c r="AL66" s="137"/>
      <c r="AM66" s="137"/>
      <c r="AO66" s="137"/>
      <c r="AP66" s="137"/>
    </row>
    <row r="67" spans="6:41" ht="12.75">
      <c r="F67" s="90"/>
      <c r="G67" s="90"/>
      <c r="H67" s="91"/>
      <c r="I67" s="90"/>
      <c r="J67" s="90"/>
      <c r="K67" s="91"/>
      <c r="L67" s="92"/>
      <c r="M67" s="136"/>
      <c r="N67" s="136"/>
      <c r="O67" s="11"/>
      <c r="R67" s="78"/>
      <c r="S67" s="78"/>
      <c r="T67" s="78"/>
      <c r="Y67" s="68"/>
      <c r="Z67" s="66"/>
      <c r="AE67" s="66"/>
      <c r="AF67" s="137"/>
      <c r="AG67" s="137"/>
      <c r="AH67" s="66"/>
      <c r="AI67" s="66"/>
      <c r="AJ67" s="69"/>
      <c r="AL67" s="70"/>
      <c r="AO67" s="70"/>
    </row>
    <row r="68" spans="6:36" ht="12.75">
      <c r="F68" s="90"/>
      <c r="G68" s="93"/>
      <c r="H68" s="93"/>
      <c r="I68" s="94"/>
      <c r="J68" s="93"/>
      <c r="K68" s="95"/>
      <c r="L68" s="92"/>
      <c r="M68" s="96"/>
      <c r="N68" s="97"/>
      <c r="O68" s="11"/>
      <c r="R68" s="87"/>
      <c r="S68" s="135"/>
      <c r="T68" s="135"/>
      <c r="AB68" s="71"/>
      <c r="AE68" s="69"/>
      <c r="AF68" s="69"/>
      <c r="AG68" s="69"/>
      <c r="AH68" s="66"/>
      <c r="AI68" s="69"/>
      <c r="AJ68" s="69"/>
    </row>
    <row r="69" spans="6:36" ht="12.75">
      <c r="F69" s="90"/>
      <c r="G69" s="90"/>
      <c r="H69" s="111"/>
      <c r="I69" s="90"/>
      <c r="J69" s="90"/>
      <c r="K69" s="111"/>
      <c r="L69" s="110"/>
      <c r="M69" s="11"/>
      <c r="N69" s="111"/>
      <c r="O69" s="11"/>
      <c r="R69" s="87"/>
      <c r="S69" s="88"/>
      <c r="T69" s="88"/>
      <c r="AE69" s="66"/>
      <c r="AF69" s="69"/>
      <c r="AG69" s="69"/>
      <c r="AH69" s="69"/>
      <c r="AI69" s="69"/>
      <c r="AJ69" s="69"/>
    </row>
    <row r="70" spans="6:37" ht="13.5" thickBot="1">
      <c r="F70" s="66"/>
      <c r="G70" s="66"/>
      <c r="H70" s="66"/>
      <c r="I70" s="66"/>
      <c r="J70" s="66"/>
      <c r="K70" s="66"/>
      <c r="L70" s="69"/>
      <c r="N70" s="66"/>
      <c r="R70" s="89"/>
      <c r="S70" s="89"/>
      <c r="T70" s="89"/>
      <c r="AE70" s="69"/>
      <c r="AF70" s="69"/>
      <c r="AG70" s="69"/>
      <c r="AH70" s="69"/>
      <c r="AI70" s="69"/>
      <c r="AJ70" s="69"/>
      <c r="AK70" s="74"/>
    </row>
    <row r="71" spans="5:14" ht="12.75">
      <c r="E71" s="132"/>
      <c r="F71" s="66"/>
      <c r="G71" s="66"/>
      <c r="H71" s="66"/>
      <c r="I71" s="66"/>
      <c r="J71" s="66"/>
      <c r="K71" s="66"/>
      <c r="L71" s="69"/>
      <c r="N71" s="66"/>
    </row>
    <row r="72" spans="6:14" ht="12.75">
      <c r="F72" s="66"/>
      <c r="H72" s="112"/>
      <c r="I72" s="112"/>
      <c r="J72" s="112"/>
      <c r="K72" s="112"/>
      <c r="N72" s="112"/>
    </row>
    <row r="73" ht="12.75">
      <c r="G73" s="1" t="s">
        <v>1</v>
      </c>
    </row>
  </sheetData>
  <sheetProtection/>
  <mergeCells count="331">
    <mergeCell ref="A2:T2"/>
    <mergeCell ref="D5:E5"/>
    <mergeCell ref="I5:K5"/>
    <mergeCell ref="L5:N5"/>
    <mergeCell ref="AH5:AN5"/>
    <mergeCell ref="B6:C6"/>
    <mergeCell ref="D6:E6"/>
    <mergeCell ref="F6:H6"/>
    <mergeCell ref="I6:K6"/>
    <mergeCell ref="L6:N6"/>
    <mergeCell ref="O6:Q6"/>
    <mergeCell ref="R6:T6"/>
    <mergeCell ref="W6:X6"/>
    <mergeCell ref="Y6:AA6"/>
    <mergeCell ref="AB6:AD6"/>
    <mergeCell ref="AE6:AG6"/>
    <mergeCell ref="AH6:AJ6"/>
    <mergeCell ref="AK6:AM6"/>
    <mergeCell ref="AN6:AP6"/>
    <mergeCell ref="F7:H7"/>
    <mergeCell ref="I7:K7"/>
    <mergeCell ref="L7:N7"/>
    <mergeCell ref="O7:Q7"/>
    <mergeCell ref="R7:T7"/>
    <mergeCell ref="Y7:AA7"/>
    <mergeCell ref="AB7:AD7"/>
    <mergeCell ref="AE7:AG7"/>
    <mergeCell ref="AH7:AJ7"/>
    <mergeCell ref="AK7:AM7"/>
    <mergeCell ref="AN7:AP7"/>
    <mergeCell ref="G8:H8"/>
    <mergeCell ref="J8:K8"/>
    <mergeCell ref="M8:N8"/>
    <mergeCell ref="P8:Q8"/>
    <mergeCell ref="S8:T8"/>
    <mergeCell ref="Z8:AA8"/>
    <mergeCell ref="AC8:AD8"/>
    <mergeCell ref="AF8:AG8"/>
    <mergeCell ref="AI8:AJ8"/>
    <mergeCell ref="AL8:AM8"/>
    <mergeCell ref="AO8:AP8"/>
    <mergeCell ref="G10:H10"/>
    <mergeCell ref="J10:K10"/>
    <mergeCell ref="M10:N10"/>
    <mergeCell ref="P10:Q10"/>
    <mergeCell ref="S10:T10"/>
    <mergeCell ref="Z10:AA10"/>
    <mergeCell ref="AC10:AD10"/>
    <mergeCell ref="AF10:AG10"/>
    <mergeCell ref="AI10:AJ10"/>
    <mergeCell ref="AL10:AM10"/>
    <mergeCell ref="AO10:AP10"/>
    <mergeCell ref="G12:H12"/>
    <mergeCell ref="J12:K12"/>
    <mergeCell ref="M12:N12"/>
    <mergeCell ref="P12:Q12"/>
    <mergeCell ref="S12:T12"/>
    <mergeCell ref="Z12:AA12"/>
    <mergeCell ref="AC12:AD12"/>
    <mergeCell ref="AF12:AG12"/>
    <mergeCell ref="AI12:AJ12"/>
    <mergeCell ref="AL12:AM12"/>
    <mergeCell ref="AO12:AP12"/>
    <mergeCell ref="G14:H14"/>
    <mergeCell ref="J14:K14"/>
    <mergeCell ref="M14:N14"/>
    <mergeCell ref="P14:Q14"/>
    <mergeCell ref="S14:T14"/>
    <mergeCell ref="Z14:AA14"/>
    <mergeCell ref="AC14:AD14"/>
    <mergeCell ref="AF14:AG14"/>
    <mergeCell ref="AI14:AJ14"/>
    <mergeCell ref="AL14:AM14"/>
    <mergeCell ref="AO14:AP14"/>
    <mergeCell ref="G16:H16"/>
    <mergeCell ref="J16:K16"/>
    <mergeCell ref="M16:N16"/>
    <mergeCell ref="P16:Q16"/>
    <mergeCell ref="S16:T16"/>
    <mergeCell ref="Z16:AA16"/>
    <mergeCell ref="AC16:AD16"/>
    <mergeCell ref="AF16:AG16"/>
    <mergeCell ref="AI16:AJ16"/>
    <mergeCell ref="AL16:AM16"/>
    <mergeCell ref="AO16:AP16"/>
    <mergeCell ref="G18:H18"/>
    <mergeCell ref="J18:K18"/>
    <mergeCell ref="M18:N18"/>
    <mergeCell ref="P18:Q18"/>
    <mergeCell ref="S18:T18"/>
    <mergeCell ref="Z18:AA18"/>
    <mergeCell ref="AC18:AD18"/>
    <mergeCell ref="AF18:AG18"/>
    <mergeCell ref="AI18:AJ18"/>
    <mergeCell ref="AL18:AM18"/>
    <mergeCell ref="AO18:AP18"/>
    <mergeCell ref="G20:H20"/>
    <mergeCell ref="J20:K20"/>
    <mergeCell ref="M20:N20"/>
    <mergeCell ref="P20:Q20"/>
    <mergeCell ref="S20:T20"/>
    <mergeCell ref="Z20:AA20"/>
    <mergeCell ref="AC20:AD20"/>
    <mergeCell ref="AF20:AG20"/>
    <mergeCell ref="AI20:AJ20"/>
    <mergeCell ref="AL20:AM20"/>
    <mergeCell ref="AO20:AP20"/>
    <mergeCell ref="G22:H22"/>
    <mergeCell ref="J22:K22"/>
    <mergeCell ref="M22:N22"/>
    <mergeCell ref="P22:Q22"/>
    <mergeCell ref="S22:T22"/>
    <mergeCell ref="Z22:AA22"/>
    <mergeCell ref="AC22:AD22"/>
    <mergeCell ref="AF22:AG22"/>
    <mergeCell ref="AI22:AJ22"/>
    <mergeCell ref="AL22:AM22"/>
    <mergeCell ref="AO22:AP22"/>
    <mergeCell ref="G24:H24"/>
    <mergeCell ref="J24:K24"/>
    <mergeCell ref="M24:N24"/>
    <mergeCell ref="P24:Q24"/>
    <mergeCell ref="S24:T24"/>
    <mergeCell ref="Z24:AA24"/>
    <mergeCell ref="AC24:AD24"/>
    <mergeCell ref="AF24:AG24"/>
    <mergeCell ref="AI24:AJ24"/>
    <mergeCell ref="AL24:AM24"/>
    <mergeCell ref="AO24:AP24"/>
    <mergeCell ref="G26:H26"/>
    <mergeCell ref="J26:K26"/>
    <mergeCell ref="M26:N26"/>
    <mergeCell ref="P26:Q26"/>
    <mergeCell ref="S26:T26"/>
    <mergeCell ref="Z26:AA26"/>
    <mergeCell ref="AC26:AD26"/>
    <mergeCell ref="AF26:AG26"/>
    <mergeCell ref="AI26:AJ26"/>
    <mergeCell ref="AL26:AM26"/>
    <mergeCell ref="AO26:AP26"/>
    <mergeCell ref="G28:H28"/>
    <mergeCell ref="J28:K28"/>
    <mergeCell ref="M28:N28"/>
    <mergeCell ref="P28:Q28"/>
    <mergeCell ref="S28:T28"/>
    <mergeCell ref="Z28:AA28"/>
    <mergeCell ref="AC28:AD28"/>
    <mergeCell ref="AF28:AG28"/>
    <mergeCell ref="AI28:AJ28"/>
    <mergeCell ref="AL28:AM28"/>
    <mergeCell ref="AO28:AP28"/>
    <mergeCell ref="G30:H30"/>
    <mergeCell ref="J30:K30"/>
    <mergeCell ref="M30:N30"/>
    <mergeCell ref="P30:Q30"/>
    <mergeCell ref="S30:T30"/>
    <mergeCell ref="Z30:AA30"/>
    <mergeCell ref="AC30:AD30"/>
    <mergeCell ref="AF30:AG30"/>
    <mergeCell ref="AI30:AJ30"/>
    <mergeCell ref="AL30:AM30"/>
    <mergeCell ref="AO30:AP30"/>
    <mergeCell ref="AH38:AN38"/>
    <mergeCell ref="B39:C39"/>
    <mergeCell ref="D39:E39"/>
    <mergeCell ref="F39:H39"/>
    <mergeCell ref="I39:K39"/>
    <mergeCell ref="AB39:AD39"/>
    <mergeCell ref="AE39:AG39"/>
    <mergeCell ref="F40:H40"/>
    <mergeCell ref="I40:K40"/>
    <mergeCell ref="O40:Q40"/>
    <mergeCell ref="R40:T40"/>
    <mergeCell ref="Y40:AA40"/>
    <mergeCell ref="D38:E38"/>
    <mergeCell ref="I38:K38"/>
    <mergeCell ref="L38:N38"/>
    <mergeCell ref="AN40:AP40"/>
    <mergeCell ref="L39:N39"/>
    <mergeCell ref="O39:Q39"/>
    <mergeCell ref="R39:T39"/>
    <mergeCell ref="W39:X39"/>
    <mergeCell ref="AH39:AJ39"/>
    <mergeCell ref="Z41:AA41"/>
    <mergeCell ref="AB40:AD40"/>
    <mergeCell ref="AE40:AG40"/>
    <mergeCell ref="AH40:AJ40"/>
    <mergeCell ref="Y39:AA39"/>
    <mergeCell ref="AK40:AM40"/>
    <mergeCell ref="G43:H43"/>
    <mergeCell ref="J43:K43"/>
    <mergeCell ref="M43:N43"/>
    <mergeCell ref="P43:Q43"/>
    <mergeCell ref="S43:T43"/>
    <mergeCell ref="G41:H41"/>
    <mergeCell ref="J41:K41"/>
    <mergeCell ref="M41:N41"/>
    <mergeCell ref="P41:Q41"/>
    <mergeCell ref="S41:T41"/>
    <mergeCell ref="AO43:AP43"/>
    <mergeCell ref="AC41:AD41"/>
    <mergeCell ref="AF41:AG41"/>
    <mergeCell ref="AI41:AJ41"/>
    <mergeCell ref="AL41:AM41"/>
    <mergeCell ref="AO41:AP41"/>
    <mergeCell ref="Z45:AA45"/>
    <mergeCell ref="Z43:AA43"/>
    <mergeCell ref="AC43:AD43"/>
    <mergeCell ref="AF43:AG43"/>
    <mergeCell ref="AI43:AJ43"/>
    <mergeCell ref="AL43:AM43"/>
    <mergeCell ref="S47:T47"/>
    <mergeCell ref="G45:H45"/>
    <mergeCell ref="J45:K45"/>
    <mergeCell ref="M45:N45"/>
    <mergeCell ref="P45:Q45"/>
    <mergeCell ref="S45:T45"/>
    <mergeCell ref="AL47:AM47"/>
    <mergeCell ref="AI49:AJ49"/>
    <mergeCell ref="AL49:AM49"/>
    <mergeCell ref="AO47:AP47"/>
    <mergeCell ref="AC45:AD45"/>
    <mergeCell ref="AF45:AG45"/>
    <mergeCell ref="AI45:AJ45"/>
    <mergeCell ref="AL45:AM45"/>
    <mergeCell ref="AO45:AP45"/>
    <mergeCell ref="AF49:AG49"/>
    <mergeCell ref="G49:H49"/>
    <mergeCell ref="AC49:AD49"/>
    <mergeCell ref="Z47:AA47"/>
    <mergeCell ref="AC47:AD47"/>
    <mergeCell ref="AF47:AG47"/>
    <mergeCell ref="AI47:AJ47"/>
    <mergeCell ref="G47:H47"/>
    <mergeCell ref="J47:K47"/>
    <mergeCell ref="M47:N47"/>
    <mergeCell ref="P47:Q47"/>
    <mergeCell ref="G51:H51"/>
    <mergeCell ref="J51:K51"/>
    <mergeCell ref="M51:N51"/>
    <mergeCell ref="P51:Q51"/>
    <mergeCell ref="S51:T51"/>
    <mergeCell ref="Z51:AA51"/>
    <mergeCell ref="J49:K49"/>
    <mergeCell ref="P49:Q49"/>
    <mergeCell ref="S49:T49"/>
    <mergeCell ref="Z49:AA49"/>
    <mergeCell ref="AO49:AP49"/>
    <mergeCell ref="AC51:AD51"/>
    <mergeCell ref="AF51:AG51"/>
    <mergeCell ref="AI51:AJ51"/>
    <mergeCell ref="AL51:AM51"/>
    <mergeCell ref="AO51:AP51"/>
    <mergeCell ref="G53:H53"/>
    <mergeCell ref="J53:K53"/>
    <mergeCell ref="M53:N53"/>
    <mergeCell ref="P53:Q53"/>
    <mergeCell ref="S53:T53"/>
    <mergeCell ref="Z53:AA53"/>
    <mergeCell ref="AC53:AD53"/>
    <mergeCell ref="AF53:AG53"/>
    <mergeCell ref="AI53:AJ53"/>
    <mergeCell ref="AL53:AM53"/>
    <mergeCell ref="AO53:AP53"/>
    <mergeCell ref="G55:H55"/>
    <mergeCell ref="J55:K55"/>
    <mergeCell ref="M55:N55"/>
    <mergeCell ref="P55:Q55"/>
    <mergeCell ref="S55:T55"/>
    <mergeCell ref="Z55:AA55"/>
    <mergeCell ref="AC55:AD55"/>
    <mergeCell ref="AF55:AG55"/>
    <mergeCell ref="AI55:AJ55"/>
    <mergeCell ref="AL55:AM55"/>
    <mergeCell ref="AO55:AP55"/>
    <mergeCell ref="G57:H57"/>
    <mergeCell ref="J57:K57"/>
    <mergeCell ref="M57:N57"/>
    <mergeCell ref="P57:Q57"/>
    <mergeCell ref="S57:T57"/>
    <mergeCell ref="Z57:AA57"/>
    <mergeCell ref="AF57:AG57"/>
    <mergeCell ref="AI57:AJ57"/>
    <mergeCell ref="AL57:AM57"/>
    <mergeCell ref="AO57:AP57"/>
    <mergeCell ref="AO59:AP59"/>
    <mergeCell ref="AF59:AG59"/>
    <mergeCell ref="AI59:AJ59"/>
    <mergeCell ref="AL59:AM59"/>
    <mergeCell ref="S61:T61"/>
    <mergeCell ref="Z61:AA61"/>
    <mergeCell ref="AC57:AD57"/>
    <mergeCell ref="S59:T59"/>
    <mergeCell ref="Z59:AA59"/>
    <mergeCell ref="AC61:AD61"/>
    <mergeCell ref="AI61:AJ61"/>
    <mergeCell ref="J66:K66"/>
    <mergeCell ref="AF63:AG63"/>
    <mergeCell ref="AL66:AM66"/>
    <mergeCell ref="AC59:AD59"/>
    <mergeCell ref="G61:H61"/>
    <mergeCell ref="G59:H59"/>
    <mergeCell ref="J59:K59"/>
    <mergeCell ref="AF61:AG61"/>
    <mergeCell ref="J61:K61"/>
    <mergeCell ref="G63:H63"/>
    <mergeCell ref="J63:K63"/>
    <mergeCell ref="M63:N63"/>
    <mergeCell ref="M59:N59"/>
    <mergeCell ref="P59:Q59"/>
    <mergeCell ref="G66:H66"/>
    <mergeCell ref="M61:N61"/>
    <mergeCell ref="P61:Q61"/>
    <mergeCell ref="AO61:AP61"/>
    <mergeCell ref="P63:Q63"/>
    <mergeCell ref="S63:T63"/>
    <mergeCell ref="AO63:AP63"/>
    <mergeCell ref="AL61:AM61"/>
    <mergeCell ref="G65:H65"/>
    <mergeCell ref="J65:K65"/>
    <mergeCell ref="M65:N65"/>
    <mergeCell ref="AC63:AD63"/>
    <mergeCell ref="AI63:AJ63"/>
    <mergeCell ref="AL63:AM63"/>
    <mergeCell ref="S68:T68"/>
    <mergeCell ref="M67:N67"/>
    <mergeCell ref="AO66:AP66"/>
    <mergeCell ref="AF67:AG67"/>
    <mergeCell ref="M66:N66"/>
    <mergeCell ref="AF66:AG66"/>
    <mergeCell ref="Z63:AA63"/>
  </mergeCells>
  <printOptions/>
  <pageMargins left="0.25" right="0.25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Lindovská Jana</cp:lastModifiedBy>
  <cp:lastPrinted>2018-04-03T07:40:38Z</cp:lastPrinted>
  <dcterms:created xsi:type="dcterms:W3CDTF">1997-01-24T11:07:25Z</dcterms:created>
  <dcterms:modified xsi:type="dcterms:W3CDTF">2018-04-03T07:42:05Z</dcterms:modified>
  <cp:category/>
  <cp:version/>
  <cp:contentType/>
  <cp:contentStatus/>
</cp:coreProperties>
</file>