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14235" windowHeight="7560" firstSheet="1" activeTab="5"/>
  </bookViews>
  <sheets>
    <sheet name="Tabulky ke grafům" sheetId="1" state="hidden" r:id="rId1"/>
    <sheet name="Grafy" sheetId="2" r:id="rId2"/>
    <sheet name="2017 (měs)" sheetId="3" state="hidden" r:id="rId3"/>
    <sheet name="Grafy2017 (měs)" sheetId="4" r:id="rId4"/>
    <sheet name="2017 (kum)" sheetId="5" state="hidden" r:id="rId5"/>
    <sheet name="Grafy2017 (kum)" sheetId="6" r:id="rId6"/>
  </sheets>
  <definedNames>
    <definedName name="_xlnm.Print_Area" localSheetId="1">Grafy!$A$1:$K$198</definedName>
    <definedName name="_xlnm.Print_Area" localSheetId="5">'Grafy2017 (kum)'!$A$1:$T$92</definedName>
    <definedName name="_xlnm.Print_Area" localSheetId="3">'Grafy2017 (měs)'!$A$1:$T$92</definedName>
  </definedNames>
  <calcPr calcId="145621"/>
</workbook>
</file>

<file path=xl/calcChain.xml><?xml version="1.0" encoding="utf-8"?>
<calcChain xmlns="http://schemas.openxmlformats.org/spreadsheetml/2006/main">
  <c r="K15" i="6" l="1"/>
  <c r="K16" i="6" s="1"/>
  <c r="K17" i="6" s="1"/>
  <c r="K18" i="6" s="1"/>
  <c r="K13" i="6"/>
  <c r="K8" i="6"/>
  <c r="K9" i="6" s="1"/>
  <c r="H8" i="6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E8" i="6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B8" i="6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H7" i="6"/>
  <c r="I40" i="5"/>
  <c r="F40" i="5"/>
  <c r="C40" i="5"/>
  <c r="I36" i="5"/>
  <c r="I33" i="5"/>
  <c r="I32" i="5"/>
  <c r="J29" i="5"/>
  <c r="I29" i="5"/>
  <c r="H29" i="5"/>
  <c r="H30" i="5" s="1"/>
  <c r="E29" i="5"/>
  <c r="B29" i="5"/>
  <c r="J28" i="5"/>
  <c r="I28" i="5"/>
  <c r="H28" i="5"/>
  <c r="F28" i="5"/>
  <c r="E28" i="5"/>
  <c r="C28" i="5"/>
  <c r="C34" i="5" s="1"/>
  <c r="B28" i="5"/>
  <c r="L20" i="5"/>
  <c r="L40" i="5" s="1"/>
  <c r="L28" i="5" s="1"/>
  <c r="F20" i="5"/>
  <c r="F8" i="5" s="1"/>
  <c r="C20" i="5"/>
  <c r="I18" i="5"/>
  <c r="F18" i="5"/>
  <c r="I17" i="5"/>
  <c r="I16" i="5"/>
  <c r="F16" i="5"/>
  <c r="I14" i="5"/>
  <c r="F14" i="5"/>
  <c r="I13" i="5"/>
  <c r="I12" i="5"/>
  <c r="F12" i="5"/>
  <c r="I10" i="5"/>
  <c r="F10" i="5"/>
  <c r="I9" i="5"/>
  <c r="E9" i="5"/>
  <c r="B9" i="5"/>
  <c r="L8" i="5"/>
  <c r="K8" i="5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I8" i="5"/>
  <c r="I19" i="5" s="1"/>
  <c r="H8" i="5"/>
  <c r="E8" i="5"/>
  <c r="G8" i="5" s="1"/>
  <c r="C8" i="5"/>
  <c r="C19" i="5" s="1"/>
  <c r="B8" i="5"/>
  <c r="D8" i="5" s="1"/>
  <c r="L19" i="4"/>
  <c r="I40" i="3"/>
  <c r="F40" i="3"/>
  <c r="C40" i="3"/>
  <c r="H39" i="3"/>
  <c r="E39" i="3"/>
  <c r="B39" i="3"/>
  <c r="H38" i="3"/>
  <c r="E38" i="3"/>
  <c r="B38" i="3"/>
  <c r="H37" i="3"/>
  <c r="E37" i="3"/>
  <c r="B37" i="3"/>
  <c r="H36" i="3"/>
  <c r="E36" i="3"/>
  <c r="C36" i="3"/>
  <c r="B36" i="3"/>
  <c r="K35" i="3"/>
  <c r="H35" i="3"/>
  <c r="B35" i="3"/>
  <c r="H34" i="3"/>
  <c r="E34" i="3"/>
  <c r="C34" i="3"/>
  <c r="B34" i="3"/>
  <c r="H33" i="3"/>
  <c r="E33" i="3"/>
  <c r="C33" i="3"/>
  <c r="B33" i="3"/>
  <c r="I32" i="3"/>
  <c r="H32" i="3"/>
  <c r="E32" i="3"/>
  <c r="B32" i="3"/>
  <c r="H31" i="3"/>
  <c r="E31" i="3"/>
  <c r="B31" i="3"/>
  <c r="H30" i="3"/>
  <c r="E30" i="3"/>
  <c r="C30" i="3"/>
  <c r="B30" i="3"/>
  <c r="H29" i="3"/>
  <c r="E29" i="3"/>
  <c r="C29" i="3"/>
  <c r="B29" i="3"/>
  <c r="I28" i="3"/>
  <c r="I36" i="3" s="1"/>
  <c r="H28" i="3"/>
  <c r="F28" i="3"/>
  <c r="E28" i="3"/>
  <c r="C28" i="3"/>
  <c r="B28" i="3"/>
  <c r="L20" i="3"/>
  <c r="F20" i="3"/>
  <c r="L40" i="3" s="1"/>
  <c r="L28" i="3" s="1"/>
  <c r="C20" i="3"/>
  <c r="K19" i="3"/>
  <c r="I19" i="3"/>
  <c r="E19" i="3"/>
  <c r="B19" i="3"/>
  <c r="K39" i="3" s="1"/>
  <c r="L18" i="3"/>
  <c r="K18" i="3"/>
  <c r="I18" i="3"/>
  <c r="E18" i="3"/>
  <c r="C18" i="3"/>
  <c r="B18" i="3"/>
  <c r="K38" i="3" s="1"/>
  <c r="K17" i="3"/>
  <c r="I17" i="3"/>
  <c r="E17" i="3"/>
  <c r="B17" i="3"/>
  <c r="K16" i="3"/>
  <c r="J16" i="3"/>
  <c r="E16" i="3"/>
  <c r="C16" i="3"/>
  <c r="B16" i="3"/>
  <c r="K36" i="3" s="1"/>
  <c r="I15" i="3"/>
  <c r="E15" i="3"/>
  <c r="C15" i="3"/>
  <c r="B15" i="3"/>
  <c r="K14" i="3"/>
  <c r="I14" i="3"/>
  <c r="E14" i="3"/>
  <c r="B14" i="3"/>
  <c r="K34" i="3" s="1"/>
  <c r="I13" i="3"/>
  <c r="E13" i="3"/>
  <c r="B13" i="3"/>
  <c r="L12" i="3"/>
  <c r="I12" i="3"/>
  <c r="E12" i="3"/>
  <c r="B12" i="3"/>
  <c r="K32" i="3" s="1"/>
  <c r="I11" i="3"/>
  <c r="E11" i="3"/>
  <c r="B11" i="3"/>
  <c r="L10" i="3"/>
  <c r="K10" i="3"/>
  <c r="I10" i="3"/>
  <c r="E10" i="3"/>
  <c r="C10" i="3"/>
  <c r="B10" i="3"/>
  <c r="K9" i="3"/>
  <c r="I9" i="3"/>
  <c r="E9" i="3"/>
  <c r="B9" i="3"/>
  <c r="K29" i="3" s="1"/>
  <c r="L8" i="3"/>
  <c r="L19" i="3" s="1"/>
  <c r="K8" i="3"/>
  <c r="J8" i="3"/>
  <c r="I8" i="3"/>
  <c r="I16" i="3" s="1"/>
  <c r="H8" i="3"/>
  <c r="J17" i="3" s="1"/>
  <c r="E8" i="3"/>
  <c r="E20" i="3" s="1"/>
  <c r="C8" i="3"/>
  <c r="C19" i="3" s="1"/>
  <c r="B8" i="3"/>
  <c r="L36" i="3" l="1"/>
  <c r="L31" i="3"/>
  <c r="L39" i="3"/>
  <c r="L29" i="3"/>
  <c r="L32" i="3"/>
  <c r="L30" i="3"/>
  <c r="L37" i="3"/>
  <c r="L35" i="3"/>
  <c r="L33" i="3"/>
  <c r="L38" i="3"/>
  <c r="L34" i="3"/>
  <c r="K28" i="3"/>
  <c r="D16" i="3"/>
  <c r="D8" i="3"/>
  <c r="B20" i="3"/>
  <c r="D18" i="3"/>
  <c r="D15" i="3"/>
  <c r="D10" i="3"/>
  <c r="M9" i="3"/>
  <c r="J36" i="3"/>
  <c r="G38" i="3"/>
  <c r="D11" i="3"/>
  <c r="K37" i="3"/>
  <c r="F38" i="3"/>
  <c r="F33" i="3"/>
  <c r="F29" i="3"/>
  <c r="G29" i="3" s="1"/>
  <c r="F34" i="3"/>
  <c r="G34" i="3" s="1"/>
  <c r="F31" i="3"/>
  <c r="G31" i="3" s="1"/>
  <c r="F39" i="3"/>
  <c r="G39" i="3" s="1"/>
  <c r="F36" i="3"/>
  <c r="G36" i="3" s="1"/>
  <c r="F32" i="3"/>
  <c r="G32" i="3" s="1"/>
  <c r="F37" i="3"/>
  <c r="F30" i="3"/>
  <c r="D32" i="3"/>
  <c r="J37" i="3"/>
  <c r="F8" i="3"/>
  <c r="M16" i="3"/>
  <c r="D13" i="3"/>
  <c r="D19" i="3"/>
  <c r="M19" i="3"/>
  <c r="D36" i="3"/>
  <c r="D31" i="3"/>
  <c r="B40" i="3"/>
  <c r="D37" i="3"/>
  <c r="D33" i="3"/>
  <c r="D30" i="3"/>
  <c r="D28" i="3"/>
  <c r="D34" i="3"/>
  <c r="D29" i="3"/>
  <c r="K33" i="3"/>
  <c r="F35" i="3"/>
  <c r="L17" i="5"/>
  <c r="M17" i="5" s="1"/>
  <c r="L13" i="5"/>
  <c r="M13" i="5" s="1"/>
  <c r="L9" i="5"/>
  <c r="M9" i="5" s="1"/>
  <c r="M8" i="5"/>
  <c r="L19" i="5"/>
  <c r="M19" i="5" s="1"/>
  <c r="L15" i="5"/>
  <c r="M15" i="5" s="1"/>
  <c r="L11" i="5"/>
  <c r="M11" i="5" s="1"/>
  <c r="L12" i="5"/>
  <c r="M12" i="5" s="1"/>
  <c r="L16" i="5"/>
  <c r="L10" i="5"/>
  <c r="L14" i="5"/>
  <c r="M14" i="5" s="1"/>
  <c r="L18" i="5"/>
  <c r="M18" i="5" s="1"/>
  <c r="L36" i="5"/>
  <c r="L32" i="5"/>
  <c r="L39" i="5"/>
  <c r="L35" i="5"/>
  <c r="L31" i="5"/>
  <c r="L38" i="5"/>
  <c r="L30" i="5"/>
  <c r="L29" i="5"/>
  <c r="L34" i="5"/>
  <c r="L37" i="5"/>
  <c r="L33" i="5"/>
  <c r="G30" i="3"/>
  <c r="K31" i="3"/>
  <c r="H9" i="5"/>
  <c r="J8" i="5"/>
  <c r="F38" i="5"/>
  <c r="F34" i="5"/>
  <c r="F30" i="5"/>
  <c r="F37" i="5"/>
  <c r="F33" i="5"/>
  <c r="F36" i="5"/>
  <c r="F29" i="5"/>
  <c r="F32" i="5"/>
  <c r="G28" i="5"/>
  <c r="C9" i="3"/>
  <c r="D9" i="3" s="1"/>
  <c r="L9" i="3"/>
  <c r="M10" i="3"/>
  <c r="J11" i="3"/>
  <c r="C12" i="3"/>
  <c r="D12" i="3" s="1"/>
  <c r="M12" i="3"/>
  <c r="J13" i="3"/>
  <c r="C14" i="3"/>
  <c r="D14" i="3" s="1"/>
  <c r="L14" i="3"/>
  <c r="M14" i="3" s="1"/>
  <c r="C17" i="3"/>
  <c r="D17" i="3" s="1"/>
  <c r="L17" i="3"/>
  <c r="M17" i="3" s="1"/>
  <c r="M18" i="3"/>
  <c r="J19" i="3"/>
  <c r="H20" i="3"/>
  <c r="C37" i="3"/>
  <c r="C32" i="3"/>
  <c r="J38" i="3"/>
  <c r="J33" i="3"/>
  <c r="H40" i="3"/>
  <c r="I29" i="3"/>
  <c r="J29" i="3" s="1"/>
  <c r="K30" i="3"/>
  <c r="C31" i="3"/>
  <c r="J32" i="3"/>
  <c r="G33" i="3"/>
  <c r="G35" i="3"/>
  <c r="C38" i="3"/>
  <c r="D38" i="3" s="1"/>
  <c r="K29" i="5"/>
  <c r="M29" i="5" s="1"/>
  <c r="N29" i="5" s="1"/>
  <c r="B10" i="5"/>
  <c r="B30" i="5"/>
  <c r="D29" i="5"/>
  <c r="F35" i="5"/>
  <c r="J10" i="3"/>
  <c r="L11" i="3"/>
  <c r="L13" i="3"/>
  <c r="J15" i="3"/>
  <c r="L16" i="3"/>
  <c r="J18" i="3"/>
  <c r="K20" i="3"/>
  <c r="I39" i="3"/>
  <c r="J39" i="3" s="1"/>
  <c r="I35" i="3"/>
  <c r="I34" i="3"/>
  <c r="J34" i="3" s="1"/>
  <c r="I30" i="3"/>
  <c r="J30" i="3" s="1"/>
  <c r="I31" i="3"/>
  <c r="J31" i="3" s="1"/>
  <c r="I38" i="3"/>
  <c r="E10" i="5"/>
  <c r="C37" i="5"/>
  <c r="C33" i="5"/>
  <c r="C29" i="5"/>
  <c r="C36" i="5"/>
  <c r="C32" i="5"/>
  <c r="C35" i="5"/>
  <c r="C39" i="5"/>
  <c r="C31" i="5"/>
  <c r="G29" i="5"/>
  <c r="E30" i="5"/>
  <c r="C38" i="5"/>
  <c r="F39" i="5"/>
  <c r="M8" i="3"/>
  <c r="J9" i="3"/>
  <c r="C11" i="3"/>
  <c r="M11" i="3"/>
  <c r="J12" i="3"/>
  <c r="C13" i="3"/>
  <c r="M13" i="3"/>
  <c r="J14" i="3"/>
  <c r="L15" i="3"/>
  <c r="M15" i="3" s="1"/>
  <c r="E40" i="3"/>
  <c r="G37" i="3"/>
  <c r="G28" i="3"/>
  <c r="J28" i="3"/>
  <c r="I33" i="3"/>
  <c r="C35" i="3"/>
  <c r="D35" i="3" s="1"/>
  <c r="J35" i="3"/>
  <c r="I37" i="3"/>
  <c r="C39" i="3"/>
  <c r="D39" i="3" s="1"/>
  <c r="F17" i="5"/>
  <c r="F13" i="5"/>
  <c r="F9" i="5"/>
  <c r="G9" i="5" s="1"/>
  <c r="F19" i="5"/>
  <c r="F15" i="5"/>
  <c r="F11" i="5"/>
  <c r="J30" i="5"/>
  <c r="H31" i="5"/>
  <c r="C30" i="5"/>
  <c r="F31" i="5"/>
  <c r="M10" i="5"/>
  <c r="D28" i="5"/>
  <c r="K28" i="5"/>
  <c r="M28" i="5" s="1"/>
  <c r="N28" i="5" s="1"/>
  <c r="I11" i="5"/>
  <c r="I15" i="5"/>
  <c r="M16" i="5"/>
  <c r="I39" i="5"/>
  <c r="I35" i="5"/>
  <c r="I31" i="5"/>
  <c r="I38" i="5"/>
  <c r="I34" i="5"/>
  <c r="I30" i="5"/>
  <c r="I37" i="5"/>
  <c r="C9" i="5"/>
  <c r="D9" i="5" s="1"/>
  <c r="C10" i="5"/>
  <c r="C11" i="5"/>
  <c r="C12" i="5"/>
  <c r="C13" i="5"/>
  <c r="C14" i="5"/>
  <c r="C15" i="5"/>
  <c r="C16" i="5"/>
  <c r="C17" i="5"/>
  <c r="C18" i="5"/>
  <c r="B36" i="1"/>
  <c r="B35" i="1"/>
  <c r="B34" i="1"/>
  <c r="B33" i="1"/>
  <c r="B32" i="1"/>
  <c r="B31" i="1"/>
  <c r="B11" i="5" l="1"/>
  <c r="D10" i="5"/>
  <c r="K40" i="3"/>
  <c r="G10" i="5"/>
  <c r="E11" i="5"/>
  <c r="D30" i="5"/>
  <c r="B31" i="5"/>
  <c r="H32" i="5"/>
  <c r="J31" i="5"/>
  <c r="E31" i="5"/>
  <c r="G30" i="5"/>
  <c r="H10" i="5"/>
  <c r="J9" i="5"/>
  <c r="F18" i="3"/>
  <c r="G18" i="3" s="1"/>
  <c r="F15" i="3"/>
  <c r="G15" i="3" s="1"/>
  <c r="F10" i="3"/>
  <c r="G10" i="3" s="1"/>
  <c r="F19" i="3"/>
  <c r="G19" i="3" s="1"/>
  <c r="F13" i="3"/>
  <c r="G13" i="3" s="1"/>
  <c r="F11" i="3"/>
  <c r="G11" i="3" s="1"/>
  <c r="F16" i="3"/>
  <c r="G16" i="3" s="1"/>
  <c r="G8" i="3"/>
  <c r="F17" i="3"/>
  <c r="G17" i="3" s="1"/>
  <c r="F14" i="3"/>
  <c r="G14" i="3" s="1"/>
  <c r="F12" i="3"/>
  <c r="G12" i="3" s="1"/>
  <c r="F9" i="3"/>
  <c r="G9" i="3" s="1"/>
  <c r="M39" i="3"/>
  <c r="N39" i="3" s="1"/>
  <c r="M35" i="3"/>
  <c r="N35" i="3" s="1"/>
  <c r="M34" i="3"/>
  <c r="N34" i="3" s="1"/>
  <c r="M30" i="3"/>
  <c r="N30" i="3" s="1"/>
  <c r="M32" i="3"/>
  <c r="N32" i="3" s="1"/>
  <c r="M37" i="3"/>
  <c r="N37" i="3" s="1"/>
  <c r="M33" i="3"/>
  <c r="N33" i="3" s="1"/>
  <c r="M38" i="3"/>
  <c r="N38" i="3" s="1"/>
  <c r="M31" i="3"/>
  <c r="N31" i="3" s="1"/>
  <c r="M28" i="3"/>
  <c r="N28" i="3" s="1"/>
  <c r="M36" i="3"/>
  <c r="N36" i="3" s="1"/>
  <c r="M29" i="3"/>
  <c r="N29" i="3" s="1"/>
  <c r="F25" i="1"/>
  <c r="H16" i="1"/>
  <c r="G16" i="1"/>
  <c r="F16" i="1"/>
  <c r="E16" i="1"/>
  <c r="B16" i="1"/>
  <c r="J10" i="5" l="1"/>
  <c r="H11" i="5"/>
  <c r="J32" i="5"/>
  <c r="H33" i="5"/>
  <c r="B12" i="5"/>
  <c r="D11" i="5"/>
  <c r="K31" i="5"/>
  <c r="M31" i="5" s="1"/>
  <c r="N31" i="5" s="1"/>
  <c r="D31" i="5"/>
  <c r="B32" i="5"/>
  <c r="G31" i="5"/>
  <c r="E32" i="5"/>
  <c r="K30" i="5"/>
  <c r="M30" i="5" s="1"/>
  <c r="N30" i="5" s="1"/>
  <c r="G11" i="5"/>
  <c r="E12" i="5"/>
  <c r="I16" i="1"/>
  <c r="D32" i="5" l="1"/>
  <c r="B33" i="5"/>
  <c r="B13" i="5"/>
  <c r="D12" i="5"/>
  <c r="J33" i="5"/>
  <c r="H34" i="5"/>
  <c r="G32" i="5"/>
  <c r="E33" i="5"/>
  <c r="G12" i="5"/>
  <c r="E13" i="5"/>
  <c r="H12" i="5"/>
  <c r="J11" i="5"/>
  <c r="B6" i="1"/>
  <c r="G33" i="5" l="1"/>
  <c r="E34" i="5"/>
  <c r="J12" i="5"/>
  <c r="H13" i="5"/>
  <c r="K33" i="5"/>
  <c r="M33" i="5" s="1"/>
  <c r="N33" i="5" s="1"/>
  <c r="B14" i="5"/>
  <c r="D13" i="5"/>
  <c r="G13" i="5"/>
  <c r="E14" i="5"/>
  <c r="J34" i="5"/>
  <c r="H35" i="5"/>
  <c r="K32" i="5"/>
  <c r="M32" i="5" s="1"/>
  <c r="N32" i="5" s="1"/>
  <c r="B34" i="5"/>
  <c r="D33" i="5"/>
  <c r="B28" i="1"/>
  <c r="H36" i="5" l="1"/>
  <c r="J35" i="5"/>
  <c r="B15" i="5"/>
  <c r="D14" i="5"/>
  <c r="E35" i="5"/>
  <c r="G34" i="5"/>
  <c r="D34" i="5"/>
  <c r="B35" i="5"/>
  <c r="G14" i="5"/>
  <c r="E15" i="5"/>
  <c r="H14" i="5"/>
  <c r="J13" i="5"/>
  <c r="B37" i="1"/>
  <c r="D35" i="5" l="1"/>
  <c r="B36" i="5"/>
  <c r="J36" i="5"/>
  <c r="H37" i="5"/>
  <c r="J14" i="5"/>
  <c r="H15" i="5"/>
  <c r="K35" i="5"/>
  <c r="M35" i="5" s="1"/>
  <c r="N35" i="5" s="1"/>
  <c r="B16" i="5"/>
  <c r="D15" i="5"/>
  <c r="G15" i="5"/>
  <c r="E16" i="5"/>
  <c r="K34" i="5"/>
  <c r="M34" i="5" s="1"/>
  <c r="N34" i="5" s="1"/>
  <c r="G35" i="5"/>
  <c r="E36" i="5"/>
  <c r="G16" i="5" l="1"/>
  <c r="E17" i="5"/>
  <c r="G36" i="5"/>
  <c r="E37" i="5"/>
  <c r="H16" i="5"/>
  <c r="J15" i="5"/>
  <c r="D36" i="5"/>
  <c r="B37" i="5"/>
  <c r="K36" i="5"/>
  <c r="M36" i="5" s="1"/>
  <c r="N36" i="5" s="1"/>
  <c r="B17" i="5"/>
  <c r="D16" i="5"/>
  <c r="J37" i="5"/>
  <c r="H38" i="5"/>
  <c r="J38" i="5" l="1"/>
  <c r="H39" i="5"/>
  <c r="J16" i="5"/>
  <c r="H17" i="5"/>
  <c r="B38" i="5"/>
  <c r="D37" i="5"/>
  <c r="G37" i="5"/>
  <c r="E38" i="5"/>
  <c r="K37" i="5"/>
  <c r="M37" i="5" s="1"/>
  <c r="N37" i="5" s="1"/>
  <c r="B18" i="5"/>
  <c r="D17" i="5"/>
  <c r="G17" i="5"/>
  <c r="E18" i="5"/>
  <c r="G18" i="5" l="1"/>
  <c r="E19" i="5"/>
  <c r="D38" i="5"/>
  <c r="B39" i="5"/>
  <c r="E39" i="5"/>
  <c r="G38" i="5"/>
  <c r="H18" i="5"/>
  <c r="J17" i="5"/>
  <c r="B19" i="5"/>
  <c r="D18" i="5"/>
  <c r="K38" i="5"/>
  <c r="M38" i="5" s="1"/>
  <c r="N38" i="5" s="1"/>
  <c r="H40" i="5"/>
  <c r="J39" i="5"/>
  <c r="B20" i="5" l="1"/>
  <c r="D19" i="5"/>
  <c r="E40" i="5"/>
  <c r="G39" i="5"/>
  <c r="D39" i="5"/>
  <c r="B40" i="5"/>
  <c r="J18" i="5"/>
  <c r="H19" i="5"/>
  <c r="G19" i="5"/>
  <c r="E20" i="5"/>
  <c r="H20" i="5" l="1"/>
  <c r="K40" i="5" s="1"/>
  <c r="J19" i="5"/>
  <c r="K39" i="5"/>
  <c r="M39" i="5" s="1"/>
  <c r="N39" i="5" s="1"/>
</calcChain>
</file>

<file path=xl/comments1.xml><?xml version="1.0" encoding="utf-8"?>
<comments xmlns="http://schemas.openxmlformats.org/spreadsheetml/2006/main">
  <authors>
    <author>Wegiel David</author>
  </authors>
  <commentList>
    <comment ref="H8" authorId="0">
      <text>
        <r>
          <rPr>
            <b/>
            <sz val="9"/>
            <color indexed="81"/>
            <rFont val="Tahoma"/>
            <family val="2"/>
            <charset val="238"/>
          </rPr>
          <t>RUD 2017 již položku pro obce neobsahuje, pouze dobíhají platby z konce roku 2016</t>
        </r>
      </text>
    </comment>
  </commentList>
</comments>
</file>

<file path=xl/comments2.xml><?xml version="1.0" encoding="utf-8"?>
<comments xmlns="http://schemas.openxmlformats.org/spreadsheetml/2006/main">
  <authors>
    <author>Wegiel David</author>
  </authors>
  <commentList>
    <comment ref="H20" authorId="0">
      <text>
        <r>
          <rPr>
            <b/>
            <sz val="9"/>
            <color indexed="81"/>
            <rFont val="Tahoma"/>
            <family val="2"/>
            <charset val="238"/>
          </rPr>
          <t>RUD 2017 již položku pro obce neobsahuje, pouze dobíhají platby z konce roku 2016</t>
        </r>
      </text>
    </comment>
  </commentList>
</comments>
</file>

<file path=xl/sharedStrings.xml><?xml version="1.0" encoding="utf-8"?>
<sst xmlns="http://schemas.openxmlformats.org/spreadsheetml/2006/main" count="195" uniqueCount="76">
  <si>
    <t>daňové příjmy</t>
  </si>
  <si>
    <t>kapitálové příjmy</t>
  </si>
  <si>
    <t>dotace</t>
  </si>
  <si>
    <t>celkem</t>
  </si>
  <si>
    <t>nedaňové příjmy</t>
  </si>
  <si>
    <t>Struktura výdajů</t>
  </si>
  <si>
    <t>Struktura běžných výdajů</t>
  </si>
  <si>
    <t>Služby pro obyvatelstvo</t>
  </si>
  <si>
    <t>Soc. věci a politika zaměstnanosti</t>
  </si>
  <si>
    <t>Bezpečnost státu a právní ochrana</t>
  </si>
  <si>
    <t>BV</t>
  </si>
  <si>
    <t>KV</t>
  </si>
  <si>
    <t>Struktura kapitálových výdajů</t>
  </si>
  <si>
    <t xml:space="preserve">Struktura příjmů </t>
  </si>
  <si>
    <t>celkové příjmy</t>
  </si>
  <si>
    <t>běžné výdaje</t>
  </si>
  <si>
    <t>kapitálové výdaje</t>
  </si>
  <si>
    <t>Dotace městským obvodům</t>
  </si>
  <si>
    <t>neinvestiční</t>
  </si>
  <si>
    <t>investiční</t>
  </si>
  <si>
    <t>Rok 2013</t>
  </si>
  <si>
    <t>Rok 2014</t>
  </si>
  <si>
    <t>Rok 2015</t>
  </si>
  <si>
    <t>Rok 2016</t>
  </si>
  <si>
    <t>Rok 2017</t>
  </si>
  <si>
    <t>Poměr daňových příjmů k celkovým příjmům 2013-2017</t>
  </si>
  <si>
    <t>Rok 2013-2017</t>
  </si>
  <si>
    <t>Průmyslová a ost. odvětví hospodářství</t>
  </si>
  <si>
    <t>Všeobecná veřejná správa a služby</t>
  </si>
  <si>
    <t>Zemědělství a lesní hospodářství</t>
  </si>
  <si>
    <t>Poměr daňových k celkovým příjmům 2013 - 2017 (v tis.Kč)</t>
  </si>
  <si>
    <t>Poměr běžných a kapitálových výdajů 2013 - 2017 (v tis.Kč)</t>
  </si>
  <si>
    <t>Vývoj dotací městským obvodům 2013 - 2017 (v tis.Kč)</t>
  </si>
  <si>
    <t>Daně statutárního města Ostravy - rok 2017</t>
  </si>
  <si>
    <t>stav k 31.12.2017</t>
  </si>
  <si>
    <t>(údaje v Kč)</t>
  </si>
  <si>
    <t>měsíc</t>
  </si>
  <si>
    <r>
      <t xml:space="preserve">daň z příjmů fyzických osob placená plátci - 
</t>
    </r>
    <r>
      <rPr>
        <b/>
        <i/>
        <sz val="8"/>
        <rFont val="Arial CE"/>
        <charset val="238"/>
      </rPr>
      <t>sdílená daň</t>
    </r>
  </si>
  <si>
    <r>
      <rPr>
        <sz val="8"/>
        <rFont val="Arial CE"/>
        <charset val="238"/>
      </rPr>
      <t xml:space="preserve">daň z příjmů FO placená plátci - </t>
    </r>
    <r>
      <rPr>
        <b/>
        <i/>
        <sz val="8"/>
        <rFont val="Arial CE"/>
        <family val="2"/>
        <charset val="238"/>
      </rPr>
      <t>1,5 % celost. výnosu</t>
    </r>
    <r>
      <rPr>
        <sz val="8"/>
        <rFont val="Arial CE"/>
        <family val="2"/>
        <charset val="238"/>
      </rPr>
      <t xml:space="preserve"> </t>
    </r>
    <r>
      <rPr>
        <sz val="6.5"/>
        <rFont val="Arial CE"/>
        <charset val="238"/>
      </rPr>
      <t>(v poměru počtu zaměstn. Ostravy k celkovému počtu zaměstn. ČR)</t>
    </r>
  </si>
  <si>
    <r>
      <t xml:space="preserve">daň z příjmů fyzických osob placená poplatníky - 
</t>
    </r>
    <r>
      <rPr>
        <b/>
        <i/>
        <sz val="8"/>
        <rFont val="Arial CE"/>
        <charset val="238"/>
      </rPr>
      <t>30 % záloh patřící výlučně městu</t>
    </r>
  </si>
  <si>
    <r>
      <t xml:space="preserve">daň z příjmů fyzických osob placená poplatníky - 
</t>
    </r>
    <r>
      <rPr>
        <b/>
        <i/>
        <sz val="8"/>
        <rFont val="Arial CE"/>
        <charset val="238"/>
      </rPr>
      <t>60 % sdílené daně</t>
    </r>
  </si>
  <si>
    <t>2612-1111</t>
  </si>
  <si>
    <t>podíl z ročního rozpočtu</t>
  </si>
  <si>
    <t>rozdíl proti ročnímu podílu</t>
  </si>
  <si>
    <t>4634-1111</t>
  </si>
  <si>
    <t>1628-1112</t>
  </si>
  <si>
    <t>1652-1112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</si>
  <si>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</si>
  <si>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</si>
  <si>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</si>
  <si>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</si>
  <si>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</si>
  <si>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</si>
  <si>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</si>
  <si>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</si>
  <si>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</si>
  <si>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</si>
  <si>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</si>
  <si>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</si>
  <si>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r>
      <t xml:space="preserve">daň z příjmů fyzických osob z kapitál. výnosů - </t>
    </r>
    <r>
      <rPr>
        <b/>
        <i/>
        <sz val="8"/>
        <rFont val="Arial CE"/>
        <charset val="238"/>
      </rPr>
      <t>daň vybíraná srážkou</t>
    </r>
    <r>
      <rPr>
        <sz val="8"/>
        <rFont val="Arial CE"/>
        <family val="2"/>
        <charset val="238"/>
      </rPr>
      <t xml:space="preserve"> podle zvláštních předpisů</t>
    </r>
  </si>
  <si>
    <r>
      <t>daň z příjmů právnických osob -</t>
    </r>
    <r>
      <rPr>
        <b/>
        <i/>
        <sz val="8"/>
        <rFont val="Arial CE"/>
        <family val="2"/>
        <charset val="238"/>
      </rPr>
      <t xml:space="preserve"> sdílená daň</t>
    </r>
  </si>
  <si>
    <r>
      <t xml:space="preserve">daň z přidané hodnoty - </t>
    </r>
    <r>
      <rPr>
        <b/>
        <i/>
        <sz val="8"/>
        <rFont val="Arial CE"/>
        <family val="2"/>
        <charset val="238"/>
      </rPr>
      <t>sdílená daň</t>
    </r>
  </si>
  <si>
    <t>daně města celkem</t>
  </si>
  <si>
    <t>1660-1113</t>
  </si>
  <si>
    <t>641-1121</t>
  </si>
  <si>
    <t>1679-1211</t>
  </si>
  <si>
    <t>% propadu oproti UR</t>
  </si>
  <si>
    <t>Vývoj příjmů ze sdílených daní SMO v roce 2017 - měsíční (1)</t>
  </si>
  <si>
    <t>* v poměru počet zaměstnanců Ostravy k celkovému počtu zaměstnanců ČR</t>
  </si>
  <si>
    <t>Vývoj příjmů ze sdílených daní SMO v roce 2017 - měsíční (2)</t>
  </si>
  <si>
    <t>Sdílené daňové příjmy statutárního města Ostravy za rok 2017 - kumulativní</t>
  </si>
  <si>
    <t>v Kč</t>
  </si>
  <si>
    <t>Vývoj příjmů ze sdílených daní SMO v roce 2017 - kumulativní (1)</t>
  </si>
  <si>
    <t>Vývoj příjmů ze sdílených daní SMO v roce 2017 - kumulativní (2)</t>
  </si>
  <si>
    <t>* RUD 2017 již položku pro obce neobsahuje, pouze dobíhají platby z konce roku 2016</t>
  </si>
  <si>
    <t>Příloha č.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</si>
</sst>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#,##0.00_ ;\-#,##0.00\ "/>
  </numFmts>
  <fonts count="25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4"/>
      <color theme="1"/>
      <name val="Arial"/>
      <family val="2"/>
      <charset val="238"/>
    </font>
    <font>
      <b/>
      <i/>
      <sz val="12"/>
      <name val="Arial CE"/>
      <charset val="238"/>
    </font>
    <font>
      <b/>
      <i/>
      <sz val="12"/>
      <name val="Arial CE"/>
      <family val="2"/>
      <charset val="238"/>
    </font>
    <font>
      <b/>
      <i/>
      <sz val="16"/>
      <color indexed="8"/>
      <name val="Arial CE"/>
      <family val="2"/>
      <charset val="238"/>
    </font>
    <font>
      <b/>
      <i/>
      <sz val="16"/>
      <color indexed="10"/>
      <name val="Arial CE"/>
      <family val="2"/>
      <charset val="238"/>
    </font>
    <font>
      <b/>
      <i/>
      <sz val="8"/>
      <name val="Arial CE"/>
      <family val="2"/>
      <charset val="238"/>
    </font>
    <font>
      <sz val="8"/>
      <name val="Arial CE"/>
      <family val="2"/>
      <charset val="238"/>
    </font>
    <font>
      <b/>
      <i/>
      <sz val="8"/>
      <name val="Arial CE"/>
      <charset val="238"/>
    </font>
    <font>
      <sz val="8"/>
      <name val="Arial CE"/>
      <charset val="238"/>
    </font>
    <font>
      <sz val="6.5"/>
      <name val="Arial CE"/>
      <charset val="238"/>
    </font>
    <font>
      <sz val="10"/>
      <name val="Arial CE"/>
      <charset val="238"/>
    </font>
    <font>
      <sz val="7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sz val="7"/>
      <name val="Arial CE"/>
      <charset val="238"/>
    </font>
    <font>
      <b/>
      <sz val="9"/>
      <color indexed="81"/>
      <name val="Tahoma"/>
      <family val="2"/>
      <charset val="238"/>
    </font>
    <font>
      <b/>
      <sz val="18"/>
      <name val="Arial CE"/>
      <family val="2"/>
      <charset val="238"/>
    </font>
    <font>
      <b/>
      <sz val="20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6"/>
      <color indexed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2" fillId="0" borderId="0"/>
  </cellStyleXfs>
  <cellXfs count="250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3" fontId="0" fillId="0" borderId="0" xfId="0" applyNumberFormat="1" applyFill="1" applyBorder="1"/>
    <xf numFmtId="0" fontId="0" fillId="0" borderId="0" xfId="0" applyFill="1" applyBorder="1"/>
    <xf numFmtId="0" fontId="0" fillId="0" borderId="1" xfId="0" applyFill="1" applyBorder="1"/>
    <xf numFmtId="3" fontId="0" fillId="0" borderId="1" xfId="0" applyNumberFormat="1" applyFill="1" applyBorder="1"/>
    <xf numFmtId="0" fontId="0" fillId="0" borderId="1" xfId="0" applyBorder="1"/>
    <xf numFmtId="3" fontId="0" fillId="0" borderId="1" xfId="0" applyNumberFormat="1" applyBorder="1"/>
    <xf numFmtId="3" fontId="0" fillId="0" borderId="0" xfId="0" applyNumberFormat="1" applyBorder="1"/>
    <xf numFmtId="0" fontId="0" fillId="0" borderId="0" xfId="0" applyFill="1"/>
    <xf numFmtId="0" fontId="1" fillId="0" borderId="0" xfId="1"/>
    <xf numFmtId="0" fontId="7" fillId="0" borderId="0" xfId="1" applyFont="1" applyFill="1" applyAlignment="1">
      <alignment horizontal="left"/>
    </xf>
    <xf numFmtId="0" fontId="8" fillId="0" borderId="0" xfId="1" applyFont="1" applyFill="1" applyAlignment="1">
      <alignment horizontal="left"/>
    </xf>
    <xf numFmtId="0" fontId="8" fillId="5" borderId="0" xfId="1" applyFont="1" applyFill="1" applyAlignment="1">
      <alignment horizontal="left"/>
    </xf>
    <xf numFmtId="0" fontId="8" fillId="5" borderId="0" xfId="1" applyFont="1" applyFill="1"/>
    <xf numFmtId="0" fontId="8" fillId="5" borderId="0" xfId="1" applyFont="1" applyFill="1" applyBorder="1"/>
    <xf numFmtId="0" fontId="8" fillId="0" borderId="0" xfId="1" applyFont="1" applyFill="1"/>
    <xf numFmtId="14" fontId="8" fillId="0" borderId="0" xfId="1" applyNumberFormat="1" applyFont="1" applyFill="1" applyAlignment="1">
      <alignment horizontal="right"/>
    </xf>
    <xf numFmtId="164" fontId="8" fillId="0" borderId="0" xfId="1" applyNumberFormat="1" applyFont="1" applyBorder="1"/>
    <xf numFmtId="0" fontId="8" fillId="0" borderId="0" xfId="1" applyFont="1" applyBorder="1"/>
    <xf numFmtId="0" fontId="1" fillId="0" borderId="0" xfId="1" applyBorder="1"/>
    <xf numFmtId="0" fontId="10" fillId="0" borderId="17" xfId="1" applyFont="1" applyFill="1" applyBorder="1" applyAlignment="1">
      <alignment vertical="center"/>
    </xf>
    <xf numFmtId="164" fontId="10" fillId="0" borderId="18" xfId="1" applyNumberFormat="1" applyFont="1" applyFill="1" applyBorder="1" applyAlignment="1">
      <alignment vertical="center"/>
    </xf>
    <xf numFmtId="164" fontId="10" fillId="0" borderId="11" xfId="1" applyNumberFormat="1" applyFont="1" applyFill="1" applyBorder="1" applyAlignment="1">
      <alignment vertical="center"/>
    </xf>
    <xf numFmtId="164" fontId="10" fillId="0" borderId="19" xfId="1" applyNumberFormat="1" applyFont="1" applyFill="1" applyBorder="1" applyAlignment="1">
      <alignment vertical="center"/>
    </xf>
    <xf numFmtId="164" fontId="10" fillId="0" borderId="20" xfId="1" applyNumberFormat="1" applyFont="1" applyFill="1" applyBorder="1" applyAlignment="1">
      <alignment vertical="center"/>
    </xf>
    <xf numFmtId="164" fontId="10" fillId="0" borderId="21" xfId="1" applyNumberFormat="1" applyFont="1" applyFill="1" applyBorder="1" applyAlignment="1">
      <alignment vertical="center"/>
    </xf>
    <xf numFmtId="0" fontId="12" fillId="0" borderId="0" xfId="1" applyFont="1" applyFill="1"/>
    <xf numFmtId="0" fontId="10" fillId="0" borderId="22" xfId="1" applyFont="1" applyFill="1" applyBorder="1" applyAlignment="1">
      <alignment vertical="center"/>
    </xf>
    <xf numFmtId="164" fontId="10" fillId="0" borderId="23" xfId="1" applyNumberFormat="1" applyFont="1" applyFill="1" applyBorder="1" applyAlignment="1">
      <alignment vertical="center"/>
    </xf>
    <xf numFmtId="164" fontId="10" fillId="0" borderId="1" xfId="1" applyNumberFormat="1" applyFont="1" applyFill="1" applyBorder="1" applyAlignment="1">
      <alignment vertical="center"/>
    </xf>
    <xf numFmtId="164" fontId="10" fillId="0" borderId="24" xfId="1" applyNumberFormat="1" applyFont="1" applyFill="1" applyBorder="1" applyAlignment="1">
      <alignment vertical="center"/>
    </xf>
    <xf numFmtId="0" fontId="10" fillId="0" borderId="25" xfId="1" applyFont="1" applyFill="1" applyBorder="1" applyAlignment="1">
      <alignment vertical="center"/>
    </xf>
    <xf numFmtId="164" fontId="10" fillId="0" borderId="26" xfId="1" applyNumberFormat="1" applyFont="1" applyFill="1" applyBorder="1" applyAlignment="1">
      <alignment vertical="center"/>
    </xf>
    <xf numFmtId="164" fontId="10" fillId="0" borderId="27" xfId="1" applyNumberFormat="1" applyFont="1" applyFill="1" applyBorder="1" applyAlignment="1">
      <alignment vertical="center"/>
    </xf>
    <xf numFmtId="164" fontId="10" fillId="0" borderId="14" xfId="1" applyNumberFormat="1" applyFont="1" applyFill="1" applyBorder="1" applyAlignment="1">
      <alignment vertical="center"/>
    </xf>
    <xf numFmtId="0" fontId="8" fillId="0" borderId="28" xfId="1" applyFont="1" applyBorder="1" applyAlignment="1">
      <alignment vertical="center"/>
    </xf>
    <xf numFmtId="164" fontId="8" fillId="3" borderId="28" xfId="1" applyNumberFormat="1" applyFont="1" applyFill="1" applyBorder="1" applyAlignment="1">
      <alignment vertical="center"/>
    </xf>
    <xf numFmtId="164" fontId="8" fillId="0" borderId="29" xfId="1" applyNumberFormat="1" applyFont="1" applyBorder="1" applyAlignment="1">
      <alignment vertical="center"/>
    </xf>
    <xf numFmtId="2" fontId="8" fillId="0" borderId="30" xfId="1" applyNumberFormat="1" applyFont="1" applyBorder="1" applyAlignment="1">
      <alignment vertical="center"/>
    </xf>
    <xf numFmtId="2" fontId="8" fillId="0" borderId="31" xfId="1" applyNumberFormat="1" applyFont="1" applyBorder="1" applyAlignment="1">
      <alignment vertical="center"/>
    </xf>
    <xf numFmtId="0" fontId="8" fillId="0" borderId="0" xfId="1" applyFont="1" applyFill="1" applyBorder="1"/>
    <xf numFmtId="165" fontId="13" fillId="0" borderId="0" xfId="1" applyNumberFormat="1" applyFont="1" applyBorder="1"/>
    <xf numFmtId="165" fontId="8" fillId="0" borderId="0" xfId="1" applyNumberFormat="1" applyFont="1" applyBorder="1"/>
    <xf numFmtId="4" fontId="8" fillId="0" borderId="0" xfId="1" applyNumberFormat="1" applyFont="1" applyFill="1" applyBorder="1"/>
    <xf numFmtId="0" fontId="14" fillId="0" borderId="0" xfId="1" applyFont="1" applyBorder="1"/>
    <xf numFmtId="164" fontId="1" fillId="0" borderId="0" xfId="1" applyNumberFormat="1" applyBorder="1"/>
    <xf numFmtId="0" fontId="8" fillId="0" borderId="0" xfId="1" applyFont="1" applyBorder="1" applyAlignment="1">
      <alignment horizontal="right"/>
    </xf>
    <xf numFmtId="0" fontId="10" fillId="0" borderId="32" xfId="1" applyFont="1" applyFill="1" applyBorder="1" applyAlignment="1">
      <alignment vertical="center"/>
    </xf>
    <xf numFmtId="164" fontId="10" fillId="0" borderId="3" xfId="1" applyNumberFormat="1" applyFont="1" applyFill="1" applyBorder="1" applyAlignment="1">
      <alignment vertical="center"/>
    </xf>
    <xf numFmtId="164" fontId="10" fillId="0" borderId="33" xfId="1" applyNumberFormat="1" applyFont="1" applyFill="1" applyBorder="1" applyAlignment="1">
      <alignment vertical="center"/>
    </xf>
    <xf numFmtId="164" fontId="10" fillId="0" borderId="34" xfId="1" applyNumberFormat="1" applyFont="1" applyFill="1" applyBorder="1" applyAlignment="1">
      <alignment vertical="center"/>
    </xf>
    <xf numFmtId="164" fontId="10" fillId="0" borderId="35" xfId="1" applyNumberFormat="1" applyFont="1" applyFill="1" applyBorder="1" applyAlignment="1">
      <alignment vertical="center"/>
    </xf>
    <xf numFmtId="164" fontId="10" fillId="6" borderId="20" xfId="1" applyNumberFormat="1" applyFont="1" applyFill="1" applyBorder="1" applyAlignment="1">
      <alignment vertical="center"/>
    </xf>
    <xf numFmtId="164" fontId="10" fillId="0" borderId="36" xfId="1" applyNumberFormat="1" applyFont="1" applyFill="1" applyBorder="1" applyAlignment="1">
      <alignment vertical="center"/>
    </xf>
    <xf numFmtId="10" fontId="10" fillId="0" borderId="17" xfId="1" applyNumberFormat="1" applyFont="1" applyFill="1" applyBorder="1" applyAlignment="1">
      <alignment horizontal="center" vertical="center"/>
    </xf>
    <xf numFmtId="0" fontId="10" fillId="0" borderId="37" xfId="1" applyFont="1" applyFill="1" applyBorder="1" applyAlignment="1">
      <alignment vertical="center"/>
    </xf>
    <xf numFmtId="164" fontId="10" fillId="0" borderId="37" xfId="1" applyNumberFormat="1" applyFont="1" applyFill="1" applyBorder="1" applyAlignment="1">
      <alignment vertical="center"/>
    </xf>
    <xf numFmtId="164" fontId="10" fillId="0" borderId="38" xfId="1" applyNumberFormat="1" applyFont="1" applyFill="1" applyBorder="1" applyAlignment="1">
      <alignment vertical="center"/>
    </xf>
    <xf numFmtId="164" fontId="10" fillId="6" borderId="18" xfId="1" applyNumberFormat="1" applyFont="1" applyFill="1" applyBorder="1" applyAlignment="1">
      <alignment vertical="center"/>
    </xf>
    <xf numFmtId="10" fontId="10" fillId="0" borderId="22" xfId="1" applyNumberFormat="1" applyFont="1" applyFill="1" applyBorder="1" applyAlignment="1">
      <alignment horizontal="center" vertical="center"/>
    </xf>
    <xf numFmtId="164" fontId="10" fillId="0" borderId="39" xfId="1" applyNumberFormat="1" applyFont="1" applyFill="1" applyBorder="1" applyAlignment="1">
      <alignment vertical="center"/>
    </xf>
    <xf numFmtId="164" fontId="10" fillId="6" borderId="23" xfId="1" applyNumberFormat="1" applyFont="1" applyFill="1" applyBorder="1" applyAlignment="1">
      <alignment vertical="center"/>
    </xf>
    <xf numFmtId="164" fontId="10" fillId="0" borderId="40" xfId="1" applyNumberFormat="1" applyFont="1" applyFill="1" applyBorder="1" applyAlignment="1">
      <alignment vertical="center"/>
    </xf>
    <xf numFmtId="0" fontId="10" fillId="0" borderId="41" xfId="1" applyFont="1" applyFill="1" applyBorder="1" applyAlignment="1">
      <alignment vertical="center"/>
    </xf>
    <xf numFmtId="164" fontId="10" fillId="0" borderId="42" xfId="1" applyNumberFormat="1" applyFont="1" applyFill="1" applyBorder="1" applyAlignment="1">
      <alignment vertical="center"/>
    </xf>
    <xf numFmtId="164" fontId="10" fillId="0" borderId="7" xfId="1" applyNumberFormat="1" applyFont="1" applyFill="1" applyBorder="1" applyAlignment="1">
      <alignment vertical="center"/>
    </xf>
    <xf numFmtId="164" fontId="10" fillId="0" borderId="43" xfId="1" applyNumberFormat="1" applyFont="1" applyFill="1" applyBorder="1" applyAlignment="1">
      <alignment vertical="center"/>
    </xf>
    <xf numFmtId="164" fontId="10" fillId="0" borderId="44" xfId="1" applyNumberFormat="1" applyFont="1" applyFill="1" applyBorder="1" applyAlignment="1">
      <alignment vertical="center"/>
    </xf>
    <xf numFmtId="164" fontId="10" fillId="6" borderId="45" xfId="1" applyNumberFormat="1" applyFont="1" applyFill="1" applyBorder="1" applyAlignment="1">
      <alignment vertical="center"/>
    </xf>
    <xf numFmtId="164" fontId="10" fillId="0" borderId="46" xfId="1" applyNumberFormat="1" applyFont="1" applyFill="1" applyBorder="1" applyAlignment="1">
      <alignment vertical="center"/>
    </xf>
    <xf numFmtId="164" fontId="10" fillId="0" borderId="47" xfId="1" applyNumberFormat="1" applyFont="1" applyFill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164" fontId="8" fillId="3" borderId="7" xfId="1" applyNumberFormat="1" applyFont="1" applyFill="1" applyBorder="1" applyAlignment="1">
      <alignment vertical="center"/>
    </xf>
    <xf numFmtId="164" fontId="8" fillId="0" borderId="15" xfId="1" applyNumberFormat="1" applyFont="1" applyBorder="1" applyAlignment="1">
      <alignment vertical="center"/>
    </xf>
    <xf numFmtId="2" fontId="8" fillId="0" borderId="8" xfId="1" applyNumberFormat="1" applyFont="1" applyBorder="1" applyAlignment="1">
      <alignment vertical="center"/>
    </xf>
    <xf numFmtId="2" fontId="8" fillId="0" borderId="48" xfId="1" applyNumberFormat="1" applyFont="1" applyBorder="1" applyAlignment="1">
      <alignment vertical="center"/>
    </xf>
    <xf numFmtId="164" fontId="17" fillId="3" borderId="49" xfId="1" applyNumberFormat="1" applyFont="1" applyFill="1" applyBorder="1" applyAlignment="1">
      <alignment vertical="center"/>
    </xf>
    <xf numFmtId="164" fontId="8" fillId="5" borderId="29" xfId="1" applyNumberFormat="1" applyFont="1" applyFill="1" applyBorder="1" applyAlignment="1">
      <alignment vertical="center"/>
    </xf>
    <xf numFmtId="2" fontId="8" fillId="5" borderId="31" xfId="1" applyNumberFormat="1" applyFont="1" applyFill="1" applyBorder="1" applyAlignment="1">
      <alignment vertical="center"/>
    </xf>
    <xf numFmtId="0" fontId="1" fillId="0" borderId="50" xfId="1" applyBorder="1" applyAlignment="1">
      <alignment vertical="center"/>
    </xf>
    <xf numFmtId="4" fontId="10" fillId="0" borderId="0" xfId="1" applyNumberFormat="1" applyFont="1"/>
    <xf numFmtId="165" fontId="18" fillId="0" borderId="0" xfId="1" applyNumberFormat="1" applyFont="1"/>
    <xf numFmtId="4" fontId="1" fillId="0" borderId="0" xfId="1" applyNumberFormat="1"/>
    <xf numFmtId="0" fontId="20" fillId="0" borderId="0" xfId="2" applyFont="1" applyAlignment="1">
      <alignment horizontal="center"/>
    </xf>
    <xf numFmtId="0" fontId="12" fillId="0" borderId="0" xfId="2"/>
    <xf numFmtId="0" fontId="22" fillId="0" borderId="0" xfId="2" applyFont="1"/>
    <xf numFmtId="0" fontId="10" fillId="0" borderId="0" xfId="2" applyFont="1" applyAlignment="1"/>
    <xf numFmtId="0" fontId="12" fillId="0" borderId="0" xfId="2" applyAlignment="1"/>
    <xf numFmtId="0" fontId="10" fillId="0" borderId="0" xfId="2" applyFont="1" applyAlignment="1">
      <alignment horizontal="left" indent="3"/>
    </xf>
    <xf numFmtId="0" fontId="12" fillId="0" borderId="0" xfId="2" applyAlignment="1">
      <alignment horizontal="left" indent="3"/>
    </xf>
    <xf numFmtId="0" fontId="12" fillId="0" borderId="0" xfId="3"/>
    <xf numFmtId="0" fontId="7" fillId="0" borderId="0" xfId="3" applyFont="1" applyFill="1" applyAlignment="1">
      <alignment horizontal="left"/>
    </xf>
    <xf numFmtId="0" fontId="8" fillId="0" borderId="0" xfId="3" applyFont="1" applyFill="1" applyAlignment="1">
      <alignment horizontal="left"/>
    </xf>
    <xf numFmtId="0" fontId="8" fillId="5" borderId="0" xfId="3" applyFont="1" applyFill="1" applyAlignment="1">
      <alignment horizontal="left"/>
    </xf>
    <xf numFmtId="0" fontId="8" fillId="5" borderId="0" xfId="3" applyFont="1" applyFill="1"/>
    <xf numFmtId="0" fontId="8" fillId="5" borderId="0" xfId="3" applyFont="1" applyFill="1" applyBorder="1"/>
    <xf numFmtId="0" fontId="8" fillId="0" borderId="0" xfId="3" applyFont="1" applyFill="1"/>
    <xf numFmtId="14" fontId="13" fillId="0" borderId="0" xfId="3" applyNumberFormat="1" applyFont="1" applyFill="1" applyAlignment="1">
      <alignment horizontal="right"/>
    </xf>
    <xf numFmtId="164" fontId="8" fillId="0" borderId="0" xfId="3" applyNumberFormat="1" applyFont="1" applyBorder="1"/>
    <xf numFmtId="0" fontId="8" fillId="0" borderId="0" xfId="3" applyFont="1" applyBorder="1"/>
    <xf numFmtId="0" fontId="12" fillId="0" borderId="0" xfId="3" applyBorder="1"/>
    <xf numFmtId="0" fontId="10" fillId="0" borderId="17" xfId="3" applyFont="1" applyFill="1" applyBorder="1" applyAlignment="1">
      <alignment vertical="center"/>
    </xf>
    <xf numFmtId="164" fontId="10" fillId="0" borderId="18" xfId="3" applyNumberFormat="1" applyFont="1" applyFill="1" applyBorder="1" applyAlignment="1">
      <alignment vertical="center"/>
    </xf>
    <xf numFmtId="164" fontId="10" fillId="0" borderId="11" xfId="3" applyNumberFormat="1" applyFont="1" applyFill="1" applyBorder="1" applyAlignment="1">
      <alignment vertical="center"/>
    </xf>
    <xf numFmtId="164" fontId="10" fillId="0" borderId="19" xfId="3" applyNumberFormat="1" applyFont="1" applyFill="1" applyBorder="1" applyAlignment="1">
      <alignment vertical="center"/>
    </xf>
    <xf numFmtId="164" fontId="10" fillId="0" borderId="20" xfId="3" applyNumberFormat="1" applyFont="1" applyFill="1" applyBorder="1" applyAlignment="1">
      <alignment vertical="center"/>
    </xf>
    <xf numFmtId="164" fontId="10" fillId="0" borderId="21" xfId="3" applyNumberFormat="1" applyFont="1" applyFill="1" applyBorder="1" applyAlignment="1">
      <alignment vertical="center"/>
    </xf>
    <xf numFmtId="0" fontId="12" fillId="0" borderId="0" xfId="3" applyFont="1" applyFill="1"/>
    <xf numFmtId="0" fontId="10" fillId="0" borderId="22" xfId="3" applyFont="1" applyFill="1" applyBorder="1" applyAlignment="1">
      <alignment vertical="center"/>
    </xf>
    <xf numFmtId="164" fontId="10" fillId="0" borderId="23" xfId="3" applyNumberFormat="1" applyFont="1" applyFill="1" applyBorder="1" applyAlignment="1">
      <alignment vertical="center"/>
    </xf>
    <xf numFmtId="164" fontId="10" fillId="0" borderId="1" xfId="3" applyNumberFormat="1" applyFont="1" applyFill="1" applyBorder="1" applyAlignment="1">
      <alignment vertical="center"/>
    </xf>
    <xf numFmtId="164" fontId="10" fillId="0" borderId="24" xfId="3" applyNumberFormat="1" applyFont="1" applyFill="1" applyBorder="1" applyAlignment="1">
      <alignment vertical="center"/>
    </xf>
    <xf numFmtId="0" fontId="10" fillId="0" borderId="25" xfId="3" applyFont="1" applyFill="1" applyBorder="1" applyAlignment="1">
      <alignment vertical="center"/>
    </xf>
    <xf numFmtId="164" fontId="10" fillId="0" borderId="26" xfId="3" applyNumberFormat="1" applyFont="1" applyFill="1" applyBorder="1" applyAlignment="1">
      <alignment vertical="center"/>
    </xf>
    <xf numFmtId="164" fontId="10" fillId="0" borderId="27" xfId="3" applyNumberFormat="1" applyFont="1" applyFill="1" applyBorder="1" applyAlignment="1">
      <alignment vertical="center"/>
    </xf>
    <xf numFmtId="164" fontId="10" fillId="0" borderId="14" xfId="3" applyNumberFormat="1" applyFont="1" applyFill="1" applyBorder="1" applyAlignment="1">
      <alignment vertical="center"/>
    </xf>
    <xf numFmtId="0" fontId="8" fillId="0" borderId="28" xfId="3" applyFont="1" applyBorder="1" applyAlignment="1">
      <alignment vertical="center"/>
    </xf>
    <xf numFmtId="164" fontId="8" fillId="3" borderId="28" xfId="3" applyNumberFormat="1" applyFont="1" applyFill="1" applyBorder="1" applyAlignment="1">
      <alignment vertical="center"/>
    </xf>
    <xf numFmtId="164" fontId="8" fillId="0" borderId="29" xfId="3" applyNumberFormat="1" applyFont="1" applyBorder="1" applyAlignment="1">
      <alignment vertical="center"/>
    </xf>
    <xf numFmtId="2" fontId="8" fillId="0" borderId="30" xfId="3" applyNumberFormat="1" applyFont="1" applyBorder="1" applyAlignment="1">
      <alignment vertical="center"/>
    </xf>
    <xf numFmtId="2" fontId="8" fillId="0" borderId="31" xfId="3" applyNumberFormat="1" applyFont="1" applyBorder="1" applyAlignment="1">
      <alignment vertical="center"/>
    </xf>
    <xf numFmtId="0" fontId="8" fillId="0" borderId="0" xfId="3" applyFont="1" applyFill="1" applyBorder="1"/>
    <xf numFmtId="4" fontId="8" fillId="0" borderId="0" xfId="3" applyNumberFormat="1" applyFont="1" applyBorder="1"/>
    <xf numFmtId="165" fontId="8" fillId="0" borderId="0" xfId="3" applyNumberFormat="1" applyFont="1" applyBorder="1"/>
    <xf numFmtId="4" fontId="8" fillId="0" borderId="0" xfId="3" applyNumberFormat="1" applyFont="1" applyFill="1" applyBorder="1"/>
    <xf numFmtId="0" fontId="14" fillId="0" borderId="0" xfId="3" applyFont="1" applyBorder="1"/>
    <xf numFmtId="164" fontId="12" fillId="0" borderId="0" xfId="3" applyNumberFormat="1" applyBorder="1"/>
    <xf numFmtId="0" fontId="13" fillId="0" borderId="0" xfId="3" applyFont="1" applyBorder="1" applyAlignment="1">
      <alignment horizontal="right"/>
    </xf>
    <xf numFmtId="0" fontId="10" fillId="0" borderId="32" xfId="3" applyFont="1" applyFill="1" applyBorder="1" applyAlignment="1">
      <alignment vertical="center"/>
    </xf>
    <xf numFmtId="164" fontId="10" fillId="0" borderId="3" xfId="3" applyNumberFormat="1" applyFont="1" applyFill="1" applyBorder="1" applyAlignment="1">
      <alignment vertical="center"/>
    </xf>
    <xf numFmtId="164" fontId="10" fillId="0" borderId="33" xfId="3" applyNumberFormat="1" applyFont="1" applyFill="1" applyBorder="1" applyAlignment="1">
      <alignment vertical="center"/>
    </xf>
    <xf numFmtId="164" fontId="10" fillId="0" borderId="34" xfId="3" applyNumberFormat="1" applyFont="1" applyFill="1" applyBorder="1" applyAlignment="1">
      <alignment vertical="center"/>
    </xf>
    <xf numFmtId="164" fontId="10" fillId="0" borderId="35" xfId="3" applyNumberFormat="1" applyFont="1" applyFill="1" applyBorder="1" applyAlignment="1">
      <alignment vertical="center"/>
    </xf>
    <xf numFmtId="164" fontId="10" fillId="6" borderId="20" xfId="3" applyNumberFormat="1" applyFont="1" applyFill="1" applyBorder="1" applyAlignment="1">
      <alignment vertical="center"/>
    </xf>
    <xf numFmtId="164" fontId="10" fillId="0" borderId="36" xfId="3" applyNumberFormat="1" applyFont="1" applyFill="1" applyBorder="1" applyAlignment="1">
      <alignment vertical="center"/>
    </xf>
    <xf numFmtId="10" fontId="10" fillId="0" borderId="17" xfId="3" applyNumberFormat="1" applyFont="1" applyFill="1" applyBorder="1" applyAlignment="1">
      <alignment horizontal="center" vertical="center"/>
    </xf>
    <xf numFmtId="0" fontId="10" fillId="0" borderId="37" xfId="3" applyFont="1" applyFill="1" applyBorder="1" applyAlignment="1">
      <alignment vertical="center"/>
    </xf>
    <xf numFmtId="164" fontId="10" fillId="0" borderId="37" xfId="3" applyNumberFormat="1" applyFont="1" applyFill="1" applyBorder="1" applyAlignment="1">
      <alignment vertical="center"/>
    </xf>
    <xf numFmtId="164" fontId="10" fillId="0" borderId="38" xfId="3" applyNumberFormat="1" applyFont="1" applyFill="1" applyBorder="1" applyAlignment="1">
      <alignment vertical="center"/>
    </xf>
    <xf numFmtId="164" fontId="10" fillId="6" borderId="18" xfId="3" applyNumberFormat="1" applyFont="1" applyFill="1" applyBorder="1" applyAlignment="1">
      <alignment vertical="center"/>
    </xf>
    <xf numFmtId="10" fontId="10" fillId="0" borderId="22" xfId="3" applyNumberFormat="1" applyFont="1" applyFill="1" applyBorder="1" applyAlignment="1">
      <alignment horizontal="center" vertical="center"/>
    </xf>
    <xf numFmtId="164" fontId="10" fillId="0" borderId="39" xfId="3" applyNumberFormat="1" applyFont="1" applyFill="1" applyBorder="1" applyAlignment="1">
      <alignment vertical="center"/>
    </xf>
    <xf numFmtId="164" fontId="10" fillId="6" borderId="23" xfId="3" applyNumberFormat="1" applyFont="1" applyFill="1" applyBorder="1" applyAlignment="1">
      <alignment vertical="center"/>
    </xf>
    <xf numFmtId="164" fontId="10" fillId="0" borderId="40" xfId="3" applyNumberFormat="1" applyFont="1" applyFill="1" applyBorder="1" applyAlignment="1">
      <alignment vertical="center"/>
    </xf>
    <xf numFmtId="0" fontId="10" fillId="0" borderId="41" xfId="3" applyFont="1" applyFill="1" applyBorder="1" applyAlignment="1">
      <alignment vertical="center"/>
    </xf>
    <xf numFmtId="164" fontId="10" fillId="0" borderId="42" xfId="3" applyNumberFormat="1" applyFont="1" applyFill="1" applyBorder="1" applyAlignment="1">
      <alignment vertical="center"/>
    </xf>
    <xf numFmtId="164" fontId="10" fillId="0" borderId="7" xfId="3" applyNumberFormat="1" applyFont="1" applyFill="1" applyBorder="1" applyAlignment="1">
      <alignment vertical="center"/>
    </xf>
    <xf numFmtId="164" fontId="10" fillId="0" borderId="16" xfId="3" applyNumberFormat="1" applyFont="1" applyFill="1" applyBorder="1" applyAlignment="1">
      <alignment vertical="center"/>
    </xf>
    <xf numFmtId="164" fontId="10" fillId="0" borderId="44" xfId="3" applyNumberFormat="1" applyFont="1" applyFill="1" applyBorder="1" applyAlignment="1">
      <alignment vertical="center"/>
    </xf>
    <xf numFmtId="164" fontId="10" fillId="6" borderId="45" xfId="3" applyNumberFormat="1" applyFont="1" applyFill="1" applyBorder="1" applyAlignment="1">
      <alignment vertical="center"/>
    </xf>
    <xf numFmtId="164" fontId="10" fillId="0" borderId="46" xfId="3" applyNumberFormat="1" applyFont="1" applyFill="1" applyBorder="1" applyAlignment="1">
      <alignment vertical="center"/>
    </xf>
    <xf numFmtId="164" fontId="8" fillId="3" borderId="7" xfId="3" applyNumberFormat="1" applyFont="1" applyFill="1" applyBorder="1" applyAlignment="1">
      <alignment vertical="center"/>
    </xf>
    <xf numFmtId="164" fontId="8" fillId="0" borderId="15" xfId="3" applyNumberFormat="1" applyFont="1" applyBorder="1" applyAlignment="1">
      <alignment vertical="center"/>
    </xf>
    <xf numFmtId="2" fontId="8" fillId="0" borderId="8" xfId="3" applyNumberFormat="1" applyFont="1" applyBorder="1" applyAlignment="1">
      <alignment vertical="center"/>
    </xf>
    <xf numFmtId="2" fontId="8" fillId="0" borderId="48" xfId="3" applyNumberFormat="1" applyFont="1" applyBorder="1" applyAlignment="1">
      <alignment vertical="center"/>
    </xf>
    <xf numFmtId="164" fontId="17" fillId="3" borderId="49" xfId="3" applyNumberFormat="1" applyFont="1" applyFill="1" applyBorder="1" applyAlignment="1">
      <alignment vertical="center"/>
    </xf>
    <xf numFmtId="164" fontId="8" fillId="5" borderId="29" xfId="3" applyNumberFormat="1" applyFont="1" applyFill="1" applyBorder="1" applyAlignment="1">
      <alignment vertical="center"/>
    </xf>
    <xf numFmtId="2" fontId="8" fillId="5" borderId="31" xfId="3" applyNumberFormat="1" applyFont="1" applyFill="1" applyBorder="1" applyAlignment="1">
      <alignment vertical="center"/>
    </xf>
    <xf numFmtId="0" fontId="12" fillId="0" borderId="50" xfId="3" applyBorder="1" applyAlignment="1">
      <alignment vertical="center"/>
    </xf>
    <xf numFmtId="4" fontId="10" fillId="0" borderId="0" xfId="3" applyNumberFormat="1" applyFont="1"/>
    <xf numFmtId="165" fontId="18" fillId="0" borderId="0" xfId="3" applyNumberFormat="1" applyFont="1"/>
    <xf numFmtId="4" fontId="12" fillId="0" borderId="0" xfId="3" applyNumberFormat="1"/>
    <xf numFmtId="0" fontId="0" fillId="0" borderId="1" xfId="0" applyBorder="1" applyAlignment="1">
      <alignment horizontal="center"/>
    </xf>
    <xf numFmtId="0" fontId="4" fillId="3" borderId="0" xfId="0" applyFont="1" applyFill="1" applyAlignment="1"/>
    <xf numFmtId="0" fontId="0" fillId="0" borderId="0" xfId="0" applyAlignment="1"/>
    <xf numFmtId="0" fontId="3" fillId="3" borderId="0" xfId="0" applyFont="1" applyFill="1" applyAlignment="1"/>
    <xf numFmtId="0" fontId="3" fillId="4" borderId="0" xfId="0" applyFont="1" applyFill="1" applyAlignment="1"/>
    <xf numFmtId="0" fontId="2" fillId="2" borderId="0" xfId="0" applyFont="1" applyFill="1" applyAlignment="1"/>
    <xf numFmtId="0" fontId="8" fillId="0" borderId="2" xfId="1" applyFont="1" applyFill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3" fontId="7" fillId="0" borderId="10" xfId="1" applyNumberFormat="1" applyFont="1" applyBorder="1" applyAlignment="1">
      <alignment vertical="center"/>
    </xf>
    <xf numFmtId="0" fontId="1" fillId="0" borderId="14" xfId="1" applyBorder="1" applyAlignment="1">
      <alignment vertical="center"/>
    </xf>
    <xf numFmtId="0" fontId="8" fillId="0" borderId="11" xfId="1" applyFont="1" applyBorder="1" applyAlignment="1">
      <alignment vertical="center" wrapText="1"/>
    </xf>
    <xf numFmtId="0" fontId="1" fillId="0" borderId="15" xfId="1" applyBorder="1" applyAlignment="1">
      <alignment vertical="center" wrapText="1"/>
    </xf>
    <xf numFmtId="0" fontId="8" fillId="0" borderId="12" xfId="1" applyFont="1" applyBorder="1" applyAlignment="1">
      <alignment vertical="center" wrapText="1"/>
    </xf>
    <xf numFmtId="0" fontId="1" fillId="0" borderId="16" xfId="1" applyBorder="1" applyAlignment="1">
      <alignment vertical="center" wrapText="1"/>
    </xf>
    <xf numFmtId="0" fontId="16" fillId="0" borderId="0" xfId="1" applyFont="1" applyBorder="1" applyAlignment="1">
      <alignment wrapText="1"/>
    </xf>
    <xf numFmtId="0" fontId="1" fillId="0" borderId="0" xfId="1" applyAlignment="1">
      <alignment wrapText="1"/>
    </xf>
    <xf numFmtId="0" fontId="7" fillId="0" borderId="10" xfId="1" applyFont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" fillId="0" borderId="15" xfId="1" applyBorder="1"/>
    <xf numFmtId="0" fontId="16" fillId="0" borderId="10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164" fontId="8" fillId="0" borderId="3" xfId="1" applyNumberFormat="1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0" fontId="1" fillId="0" borderId="7" xfId="1" applyBorder="1" applyAlignment="1">
      <alignment vertical="center" wrapText="1"/>
    </xf>
    <xf numFmtId="0" fontId="1" fillId="0" borderId="8" xfId="1" applyBorder="1" applyAlignment="1">
      <alignment vertical="center" wrapText="1"/>
    </xf>
    <xf numFmtId="0" fontId="1" fillId="0" borderId="9" xfId="1" applyBorder="1" applyAlignment="1">
      <alignment vertical="center" wrapText="1"/>
    </xf>
    <xf numFmtId="164" fontId="8" fillId="0" borderId="3" xfId="1" applyNumberFormat="1" applyFont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vertical="center"/>
    </xf>
    <xf numFmtId="0" fontId="8" fillId="0" borderId="3" xfId="1" applyFont="1" applyBorder="1" applyAlignment="1">
      <alignment vertical="center"/>
    </xf>
    <xf numFmtId="0" fontId="15" fillId="3" borderId="3" xfId="1" applyFont="1" applyFill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5" fillId="0" borderId="0" xfId="1" applyFont="1" applyFill="1" applyAlignment="1">
      <alignment horizontal="center"/>
    </xf>
    <xf numFmtId="0" fontId="1" fillId="0" borderId="0" xfId="1" applyAlignment="1">
      <alignment horizontal="center"/>
    </xf>
    <xf numFmtId="0" fontId="6" fillId="0" borderId="0" xfId="1" applyFont="1" applyFill="1" applyAlignment="1">
      <alignment horizontal="center"/>
    </xf>
    <xf numFmtId="0" fontId="8" fillId="0" borderId="3" xfId="1" applyFont="1" applyFill="1" applyBorder="1" applyAlignment="1">
      <alignment horizontal="left" vertical="center" wrapText="1"/>
    </xf>
    <xf numFmtId="0" fontId="9" fillId="5" borderId="3" xfId="1" applyFont="1" applyFill="1" applyBorder="1" applyAlignment="1">
      <alignment horizontal="left" vertical="center" wrapText="1"/>
    </xf>
    <xf numFmtId="0" fontId="8" fillId="5" borderId="3" xfId="1" applyFont="1" applyFill="1" applyBorder="1" applyAlignment="1">
      <alignment vertical="center" wrapText="1"/>
    </xf>
    <xf numFmtId="0" fontId="8" fillId="0" borderId="3" xfId="1" applyFont="1" applyFill="1" applyBorder="1" applyAlignment="1">
      <alignment vertical="center" wrapText="1"/>
    </xf>
    <xf numFmtId="0" fontId="21" fillId="0" borderId="0" xfId="2" applyFont="1" applyAlignment="1">
      <alignment horizontal="center"/>
    </xf>
    <xf numFmtId="0" fontId="21" fillId="0" borderId="0" xfId="2" applyFont="1" applyAlignment="1"/>
    <xf numFmtId="0" fontId="10" fillId="0" borderId="0" xfId="2" applyFont="1" applyAlignment="1">
      <alignment horizontal="left" indent="4"/>
    </xf>
    <xf numFmtId="0" fontId="23" fillId="0" borderId="0" xfId="1" applyFont="1" applyAlignment="1">
      <alignment horizontal="left" indent="4"/>
    </xf>
    <xf numFmtId="0" fontId="8" fillId="0" borderId="2" xfId="3" applyFont="1" applyFill="1" applyBorder="1" applyAlignment="1">
      <alignment horizontal="center" vertical="center" wrapText="1"/>
    </xf>
    <xf numFmtId="0" fontId="12" fillId="0" borderId="13" xfId="3" applyBorder="1" applyAlignment="1">
      <alignment horizontal="center" vertical="center" wrapText="1"/>
    </xf>
    <xf numFmtId="3" fontId="7" fillId="0" borderId="10" xfId="3" applyNumberFormat="1" applyFont="1" applyBorder="1" applyAlignment="1">
      <alignment vertical="center"/>
    </xf>
    <xf numFmtId="0" fontId="12" fillId="0" borderId="14" xfId="3" applyBorder="1" applyAlignment="1">
      <alignment vertical="center"/>
    </xf>
    <xf numFmtId="0" fontId="8" fillId="0" borderId="11" xfId="3" applyFont="1" applyBorder="1" applyAlignment="1">
      <alignment vertical="center" wrapText="1"/>
    </xf>
    <xf numFmtId="0" fontId="12" fillId="0" borderId="15" xfId="3" applyBorder="1" applyAlignment="1">
      <alignment vertical="center" wrapText="1"/>
    </xf>
    <xf numFmtId="0" fontId="8" fillId="0" borderId="12" xfId="3" applyFont="1" applyBorder="1" applyAlignment="1">
      <alignment vertical="center" wrapText="1"/>
    </xf>
    <xf numFmtId="0" fontId="12" fillId="0" borderId="16" xfId="3" applyBorder="1" applyAlignment="1">
      <alignment vertical="center" wrapText="1"/>
    </xf>
    <xf numFmtId="0" fontId="16" fillId="0" borderId="0" xfId="3" applyFont="1" applyBorder="1" applyAlignment="1">
      <alignment wrapText="1"/>
    </xf>
    <xf numFmtId="0" fontId="12" fillId="0" borderId="0" xfId="3" applyAlignment="1">
      <alignment wrapText="1"/>
    </xf>
    <xf numFmtId="0" fontId="7" fillId="0" borderId="10" xfId="3" applyFont="1" applyBorder="1" applyAlignment="1">
      <alignment horizontal="left" vertical="center"/>
    </xf>
    <xf numFmtId="0" fontId="12" fillId="0" borderId="14" xfId="3" applyBorder="1" applyAlignment="1">
      <alignment horizontal="left" vertical="center"/>
    </xf>
    <xf numFmtId="0" fontId="12" fillId="0" borderId="15" xfId="3" applyBorder="1"/>
    <xf numFmtId="0" fontId="16" fillId="0" borderId="10" xfId="3" applyFont="1" applyBorder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12" fillId="0" borderId="6" xfId="3" applyBorder="1" applyAlignment="1">
      <alignment horizontal="center" vertical="center"/>
    </xf>
    <xf numFmtId="0" fontId="12" fillId="0" borderId="13" xfId="3" applyBorder="1" applyAlignment="1">
      <alignment horizontal="center" vertical="center"/>
    </xf>
    <xf numFmtId="164" fontId="8" fillId="0" borderId="3" xfId="3" applyNumberFormat="1" applyFont="1" applyBorder="1" applyAlignment="1">
      <alignment vertical="center" wrapText="1"/>
    </xf>
    <xf numFmtId="0" fontId="12" fillId="0" borderId="4" xfId="3" applyBorder="1" applyAlignment="1">
      <alignment vertical="center" wrapText="1"/>
    </xf>
    <xf numFmtId="0" fontId="12" fillId="0" borderId="5" xfId="3" applyBorder="1" applyAlignment="1">
      <alignment vertical="center" wrapText="1"/>
    </xf>
    <xf numFmtId="0" fontId="12" fillId="0" borderId="7" xfId="3" applyBorder="1" applyAlignment="1">
      <alignment vertical="center" wrapText="1"/>
    </xf>
    <xf numFmtId="0" fontId="12" fillId="0" borderId="8" xfId="3" applyBorder="1" applyAlignment="1">
      <alignment vertical="center" wrapText="1"/>
    </xf>
    <xf numFmtId="0" fontId="12" fillId="0" borderId="9" xfId="3" applyBorder="1" applyAlignment="1">
      <alignment vertical="center" wrapText="1"/>
    </xf>
    <xf numFmtId="164" fontId="8" fillId="0" borderId="3" xfId="3" applyNumberFormat="1" applyFont="1" applyBorder="1" applyAlignment="1">
      <alignment vertical="center"/>
    </xf>
    <xf numFmtId="0" fontId="12" fillId="0" borderId="4" xfId="3" applyBorder="1" applyAlignment="1">
      <alignment vertical="center"/>
    </xf>
    <xf numFmtId="0" fontId="12" fillId="0" borderId="5" xfId="3" applyBorder="1" applyAlignment="1">
      <alignment vertical="center"/>
    </xf>
    <xf numFmtId="0" fontId="12" fillId="0" borderId="7" xfId="3" applyBorder="1" applyAlignment="1">
      <alignment vertical="center"/>
    </xf>
    <xf numFmtId="0" fontId="12" fillId="0" borderId="8" xfId="3" applyBorder="1" applyAlignment="1">
      <alignment vertical="center"/>
    </xf>
    <xf numFmtId="0" fontId="12" fillId="0" borderId="9" xfId="3" applyBorder="1" applyAlignment="1">
      <alignment vertical="center"/>
    </xf>
    <xf numFmtId="0" fontId="8" fillId="0" borderId="3" xfId="3" applyFont="1" applyBorder="1" applyAlignment="1">
      <alignment vertical="center"/>
    </xf>
    <xf numFmtId="0" fontId="15" fillId="3" borderId="3" xfId="3" applyFont="1" applyFill="1" applyBorder="1" applyAlignment="1">
      <alignment vertical="center"/>
    </xf>
    <xf numFmtId="0" fontId="7" fillId="0" borderId="10" xfId="3" applyFont="1" applyBorder="1" applyAlignment="1">
      <alignment vertical="center"/>
    </xf>
    <xf numFmtId="0" fontId="24" fillId="0" borderId="0" xfId="3" applyFont="1" applyFill="1" applyAlignment="1">
      <alignment horizontal="center"/>
    </xf>
    <xf numFmtId="0" fontId="12" fillId="0" borderId="0" xfId="3" applyFont="1" applyAlignment="1">
      <alignment horizontal="center"/>
    </xf>
    <xf numFmtId="0" fontId="6" fillId="0" borderId="0" xfId="3" applyFont="1" applyFill="1" applyAlignment="1">
      <alignment horizontal="center"/>
    </xf>
    <xf numFmtId="0" fontId="12" fillId="0" borderId="0" xfId="3" applyAlignment="1">
      <alignment horizontal="center"/>
    </xf>
  </cellXfs>
  <cellStyles count="4">
    <cellStyle name="Normální" xfId="0" builtinId="0"/>
    <cellStyle name="Normální 2" xfId="1"/>
    <cellStyle name="normální 2 2" xfId="2"/>
    <cellStyle name="Normální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cat>
            <c:strRef>
              <c:f>'Tabulky ke grafům'!$A$2:$A$5</c:f>
              <c:strCache>
                <c:ptCount val="4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dotace</c:v>
                </c:pt>
              </c:strCache>
            </c:strRef>
          </c:cat>
          <c:val>
            <c:numRef>
              <c:f>'Tabulky ke grafům'!$B$2:$B$5</c:f>
              <c:numCache>
                <c:formatCode>#,##0</c:formatCode>
                <c:ptCount val="4"/>
                <c:pt idx="0">
                  <c:v>7190204</c:v>
                </c:pt>
                <c:pt idx="1">
                  <c:v>614540</c:v>
                </c:pt>
                <c:pt idx="2">
                  <c:v>31758</c:v>
                </c:pt>
                <c:pt idx="3">
                  <c:v>488634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Daň z příjmů fyzických</a:t>
            </a:r>
            <a:r>
              <a:rPr lang="cs-CZ" baseline="0"/>
              <a:t> osob placená plátci</a:t>
            </a:r>
            <a:endParaRPr lang="cs-CZ"/>
          </a:p>
        </c:rich>
      </c:tx>
      <c:layout>
        <c:manualLayout>
          <c:xMode val="edge"/>
          <c:yMode val="edge"/>
          <c:x val="0.1172701674277017"/>
          <c:y val="3.81485943775100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75646879756517"/>
          <c:y val="0.20553045515394924"/>
          <c:w val="0.8086643835616435"/>
          <c:h val="0.61555321285140563"/>
        </c:manualLayout>
      </c:layout>
      <c:lineChart>
        <c:grouping val="stacked"/>
        <c:varyColors val="0"/>
        <c:ser>
          <c:idx val="0"/>
          <c:order val="0"/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 cap="rnd">
                <a:solidFill>
                  <a:srgbClr val="002060"/>
                </a:solidFill>
              </a:ln>
            </c:spPr>
          </c:marker>
          <c:cat>
            <c:strRef>
              <c:f>'2017 (měs)'!$A$8:$A$19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(měs)'!$B$8:$B$19</c:f>
              <c:numCache>
                <c:formatCode>#,##0_ ;\-#,##0\ </c:formatCode>
                <c:ptCount val="12"/>
                <c:pt idx="0">
                  <c:v>131228320.12</c:v>
                </c:pt>
                <c:pt idx="1">
                  <c:v>133115586.34999999</c:v>
                </c:pt>
                <c:pt idx="2">
                  <c:v>107595214.28999999</c:v>
                </c:pt>
                <c:pt idx="3">
                  <c:v>94854067.870000005</c:v>
                </c:pt>
                <c:pt idx="4">
                  <c:v>117219701.31999999</c:v>
                </c:pt>
                <c:pt idx="5">
                  <c:v>139085603.84999999</c:v>
                </c:pt>
                <c:pt idx="6">
                  <c:v>135142717.65000001</c:v>
                </c:pt>
                <c:pt idx="7">
                  <c:v>137673596.09</c:v>
                </c:pt>
                <c:pt idx="8">
                  <c:v>126745348.26000001</c:v>
                </c:pt>
                <c:pt idx="9">
                  <c:v>122218340.83</c:v>
                </c:pt>
                <c:pt idx="10">
                  <c:v>145146552.36000001</c:v>
                </c:pt>
                <c:pt idx="11">
                  <c:v>160159123.95000002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86528"/>
        <c:axId val="85696896"/>
      </c:lineChart>
      <c:catAx>
        <c:axId val="8568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500000" vert="horz"/>
          <a:lstStyle/>
          <a:p>
            <a:pPr>
              <a:defRPr/>
            </a:pPr>
            <a:endParaRPr lang="cs-CZ"/>
          </a:p>
        </c:txPr>
        <c:crossAx val="8569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696896"/>
        <c:scaling>
          <c:orientation val="minMax"/>
          <c:max val="180000000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5686528"/>
        <c:crosses val="autoZero"/>
        <c:crossBetween val="between"/>
        <c:majorUnit val="20000000"/>
      </c:valAx>
    </c:plotArea>
    <c:plotVisOnly val="1"/>
    <c:dispBlanksAs val="zero"/>
    <c:showDLblsOverMax val="0"/>
  </c:chart>
  <c:spPr>
    <a:ln w="25400">
      <a:solidFill>
        <a:schemeClr val="tx1"/>
      </a:solidFill>
    </a:ln>
  </c:spPr>
  <c:txPr>
    <a:bodyPr/>
    <a:lstStyle/>
    <a:p>
      <a:pPr>
        <a:defRPr b="1" i="0" baseline="0"/>
      </a:pPr>
      <a:endParaRPr lang="cs-CZ"/>
    </a:p>
  </c:txPr>
  <c:printSettings>
    <c:headerFooter alignWithMargins="0"/>
    <c:pageMargins b="0.98425196899999956" l="0.78740157499999996" r="0.78740157499999996" t="0.98425196899999956" header="0.49212598450000106" footer="0.49212598450000106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800"/>
              <a:t>Daň z příjmů FO placená plátci</a:t>
            </a:r>
            <a:r>
              <a:rPr lang="cs-CZ" sz="1400"/>
              <a:t> (motivační*)</a:t>
            </a:r>
          </a:p>
        </c:rich>
      </c:tx>
      <c:layout>
        <c:manualLayout>
          <c:xMode val="edge"/>
          <c:yMode val="edge"/>
          <c:x val="0.15321727549467276"/>
          <c:y val="4.21941097724230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8481735159816"/>
          <c:y val="0.20626406926406926"/>
          <c:w val="0.81108523592085235"/>
          <c:h val="0.62630086580086552"/>
        </c:manualLayout>
      </c:layout>
      <c:lineChart>
        <c:grouping val="stacked"/>
        <c:varyColors val="0"/>
        <c:ser>
          <c:idx val="0"/>
          <c:order val="0"/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'2017 (měs)'!$A$8:$A$19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(měs)'!$E$8:$E$19</c:f>
              <c:numCache>
                <c:formatCode>#,##0_ ;\-#,##0\ </c:formatCode>
                <c:ptCount val="12"/>
                <c:pt idx="0">
                  <c:v>8780378.8499999996</c:v>
                </c:pt>
                <c:pt idx="1">
                  <c:v>8905989.4499999993</c:v>
                </c:pt>
                <c:pt idx="2">
                  <c:v>7200997.04</c:v>
                </c:pt>
                <c:pt idx="3">
                  <c:v>6346133.8599999994</c:v>
                </c:pt>
                <c:pt idx="4">
                  <c:v>7842488.3300000001</c:v>
                </c:pt>
                <c:pt idx="5">
                  <c:v>9305408.6199999992</c:v>
                </c:pt>
                <c:pt idx="6">
                  <c:v>9041613.0500000007</c:v>
                </c:pt>
                <c:pt idx="7">
                  <c:v>9210939.4299999997</c:v>
                </c:pt>
                <c:pt idx="8">
                  <c:v>9782819.5199999996</c:v>
                </c:pt>
                <c:pt idx="9">
                  <c:v>8326089.5700000003</c:v>
                </c:pt>
                <c:pt idx="10">
                  <c:v>9888067.379999999</c:v>
                </c:pt>
                <c:pt idx="11">
                  <c:v>10910794.57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04064"/>
        <c:axId val="86009344"/>
      </c:lineChart>
      <c:catAx>
        <c:axId val="8570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500000" vert="horz"/>
          <a:lstStyle/>
          <a:p>
            <a:pPr>
              <a:defRPr b="1" i="0" baseline="0"/>
            </a:pPr>
            <a:endParaRPr lang="cs-CZ"/>
          </a:p>
        </c:txPr>
        <c:crossAx val="8600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009344"/>
        <c:scaling>
          <c:orientation val="minMax"/>
          <c:max val="12000000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cs-CZ"/>
          </a:p>
        </c:txPr>
        <c:crossAx val="85704064"/>
        <c:crosses val="autoZero"/>
        <c:crossBetween val="between"/>
        <c:majorUnit val="1500000"/>
      </c:valAx>
    </c:plotArea>
    <c:plotVisOnly val="1"/>
    <c:dispBlanksAs val="zero"/>
    <c:showDLblsOverMax val="0"/>
  </c:chart>
  <c:spPr>
    <a:ln w="25400">
      <a:solidFill>
        <a:schemeClr val="tx1"/>
      </a:solidFill>
    </a:ln>
  </c:spPr>
  <c:printSettings>
    <c:headerFooter alignWithMargins="0"/>
    <c:pageMargins b="0.98425196899999956" l="0.78740157499999996" r="0.78740157499999996" t="0.98425196899999956" header="0.49212598450000106" footer="0.49212598450000106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Daň z příjmů FO vybíraná srážkou</a:t>
            </a:r>
          </a:p>
        </c:rich>
      </c:tx>
      <c:layout>
        <c:manualLayout>
          <c:xMode val="edge"/>
          <c:yMode val="edge"/>
          <c:x val="0.19041134891260494"/>
          <c:y val="5.2181623364495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03931097812156"/>
          <c:y val="0.24001948051948155"/>
          <c:w val="0.78669351101309648"/>
          <c:h val="0.58977453102453092"/>
        </c:manualLayout>
      </c:layout>
      <c:lineChart>
        <c:grouping val="stacked"/>
        <c:varyColors val="0"/>
        <c:ser>
          <c:idx val="0"/>
          <c:order val="0"/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'2017 (měs)'!$A$8:$A$19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(měs)'!$B$28:$B$39</c:f>
              <c:numCache>
                <c:formatCode>#,##0_ ;\-#,##0\ </c:formatCode>
                <c:ptCount val="12"/>
                <c:pt idx="0">
                  <c:v>11285625.260000002</c:v>
                </c:pt>
                <c:pt idx="1">
                  <c:v>14497009.18</c:v>
                </c:pt>
                <c:pt idx="2">
                  <c:v>7751552.4399999995</c:v>
                </c:pt>
                <c:pt idx="3">
                  <c:v>8972187.2599999998</c:v>
                </c:pt>
                <c:pt idx="4">
                  <c:v>10351435.310000001</c:v>
                </c:pt>
                <c:pt idx="5">
                  <c:v>12866667.859999999</c:v>
                </c:pt>
                <c:pt idx="6">
                  <c:v>14488218.640000001</c:v>
                </c:pt>
                <c:pt idx="7">
                  <c:v>14874400.08</c:v>
                </c:pt>
                <c:pt idx="8">
                  <c:v>15857314.120000001</c:v>
                </c:pt>
                <c:pt idx="9">
                  <c:v>13157615.02</c:v>
                </c:pt>
                <c:pt idx="10">
                  <c:v>12201720.210000001</c:v>
                </c:pt>
                <c:pt idx="11">
                  <c:v>10846719.300000001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30048"/>
        <c:axId val="85731968"/>
      </c:lineChart>
      <c:catAx>
        <c:axId val="8573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500000" vert="horz"/>
          <a:lstStyle/>
          <a:p>
            <a:pPr>
              <a:defRPr/>
            </a:pPr>
            <a:endParaRPr lang="cs-CZ"/>
          </a:p>
        </c:txPr>
        <c:crossAx val="8573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731968"/>
        <c:scaling>
          <c:orientation val="minMax"/>
          <c:max val="24000000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5730048"/>
        <c:crosses val="autoZero"/>
        <c:crossBetween val="between"/>
        <c:majorUnit val="3000000"/>
      </c:valAx>
    </c:plotArea>
    <c:plotVisOnly val="1"/>
    <c:dispBlanksAs val="zero"/>
    <c:showDLblsOverMax val="0"/>
  </c:chart>
  <c:spPr>
    <a:ln w="25400">
      <a:solidFill>
        <a:schemeClr val="tx1"/>
      </a:solidFill>
    </a:ln>
  </c:spPr>
  <c:txPr>
    <a:bodyPr/>
    <a:lstStyle/>
    <a:p>
      <a:pPr>
        <a:defRPr b="1" i="0" baseline="0"/>
      </a:pPr>
      <a:endParaRPr lang="cs-CZ"/>
    </a:p>
  </c:txPr>
  <c:printSettings>
    <c:headerFooter alignWithMargins="0"/>
    <c:pageMargins b="0.98425196899999956" l="0.78740157499999996" r="0.78740157499999996" t="0.98425196899999956" header="0.49212598450000106" footer="0.49212598450000106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/>
            </a:pPr>
            <a:r>
              <a:rPr lang="cs-CZ" sz="1650"/>
              <a:t>Daň z příjmů FO placená poplatníky</a:t>
            </a:r>
            <a:r>
              <a:rPr lang="cs-CZ" sz="1400"/>
              <a:t> (30% záloh*)</a:t>
            </a:r>
          </a:p>
        </c:rich>
      </c:tx>
      <c:layout>
        <c:manualLayout>
          <c:xMode val="edge"/>
          <c:yMode val="edge"/>
          <c:x val="0.12862233637747336"/>
          <c:y val="5.8494979919678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13752898577087"/>
          <c:y val="0.23590930388219639"/>
          <c:w val="0.8294133528901515"/>
          <c:h val="0.5923232931726905"/>
        </c:manualLayout>
      </c:layout>
      <c:lineChart>
        <c:grouping val="stacked"/>
        <c:varyColors val="0"/>
        <c:ser>
          <c:idx val="0"/>
          <c:order val="0"/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'2017 (měs)'!$A$8:$A$19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(měs)'!$H$8:$H$19</c:f>
              <c:numCache>
                <c:formatCode>#,##0_ ;\-#,##0\ </c:formatCode>
                <c:ptCount val="12"/>
                <c:pt idx="0">
                  <c:v>14680684.859999999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47584"/>
        <c:axId val="85757952"/>
      </c:lineChart>
      <c:catAx>
        <c:axId val="8574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500000" vert="horz"/>
          <a:lstStyle/>
          <a:p>
            <a:pPr>
              <a:defRPr/>
            </a:pPr>
            <a:endParaRPr lang="cs-CZ"/>
          </a:p>
        </c:txPr>
        <c:crossAx val="8575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757952"/>
        <c:scaling>
          <c:orientation val="minMax"/>
          <c:max val="21000000"/>
          <c:min val="0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5747584"/>
        <c:crosses val="autoZero"/>
        <c:crossBetween val="between"/>
        <c:majorUnit val="3000000"/>
      </c:valAx>
    </c:plotArea>
    <c:plotVisOnly val="1"/>
    <c:dispBlanksAs val="zero"/>
    <c:showDLblsOverMax val="0"/>
  </c:chart>
  <c:spPr>
    <a:ln w="25400" cap="rnd">
      <a:solidFill>
        <a:schemeClr val="tx1"/>
      </a:solidFill>
    </a:ln>
  </c:spPr>
  <c:txPr>
    <a:bodyPr/>
    <a:lstStyle/>
    <a:p>
      <a:pPr>
        <a:defRPr b="1" i="0" baseline="0"/>
      </a:pPr>
      <a:endParaRPr lang="cs-CZ"/>
    </a:p>
  </c:txPr>
  <c:printSettings>
    <c:headerFooter alignWithMargins="0"/>
    <c:pageMargins b="0.98425196899999956" l="0.78740157499999996" r="0.78740157499999996" t="0.98425196899999956" header="0.49212598450000106" footer="0.4921259845000010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Daň z příjmů FO placená poplatníky</a:t>
            </a:r>
          </a:p>
        </c:rich>
      </c:tx>
      <c:layout>
        <c:manualLayout>
          <c:xMode val="edge"/>
          <c:yMode val="edge"/>
          <c:x val="0.19712861491628617"/>
          <c:y val="5.7554886211512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3742389649924"/>
          <c:y val="0.25390656565656661"/>
          <c:w val="0.79256435811020409"/>
          <c:h val="0.57615187590187777"/>
        </c:manualLayout>
      </c:layout>
      <c:lineChart>
        <c:grouping val="stacked"/>
        <c:varyColors val="0"/>
        <c:ser>
          <c:idx val="0"/>
          <c:order val="0"/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'2017 (měs)'!$A$8:$A$19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(měs)'!$K$8:$K$19</c:f>
              <c:numCache>
                <c:formatCode>#,##0_ ;\-#,##0\ </c:formatCode>
                <c:ptCount val="12"/>
                <c:pt idx="0">
                  <c:v>3839840.5500000003</c:v>
                </c:pt>
                <c:pt idx="1">
                  <c:v>1718937.0499999998</c:v>
                </c:pt>
                <c:pt idx="2">
                  <c:v>4264083.7300000004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7234059.21</c:v>
                </c:pt>
                <c:pt idx="7">
                  <c:v>0</c:v>
                </c:pt>
                <c:pt idx="8">
                  <c:v>6113577.25</c:v>
                </c:pt>
                <c:pt idx="9">
                  <c:v>2854137.74</c:v>
                </c:pt>
                <c:pt idx="10">
                  <c:v>2027549.51</c:v>
                </c:pt>
                <c:pt idx="11">
                  <c:v>14158222.029999999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45952"/>
        <c:axId val="94848128"/>
      </c:lineChart>
      <c:catAx>
        <c:axId val="9484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500000" vert="horz"/>
          <a:lstStyle/>
          <a:p>
            <a:pPr>
              <a:defRPr/>
            </a:pPr>
            <a:endParaRPr lang="cs-CZ"/>
          </a:p>
        </c:txPr>
        <c:crossAx val="9484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848128"/>
        <c:scaling>
          <c:orientation val="minMax"/>
          <c:max val="16000000"/>
          <c:min val="0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94845952"/>
        <c:crosses val="autoZero"/>
        <c:crossBetween val="between"/>
        <c:majorUnit val="2000000"/>
      </c:valAx>
    </c:plotArea>
    <c:plotVisOnly val="1"/>
    <c:dispBlanksAs val="zero"/>
    <c:showDLblsOverMax val="0"/>
  </c:chart>
  <c:spPr>
    <a:ln w="25400" cap="rnd">
      <a:solidFill>
        <a:schemeClr val="tx1"/>
      </a:solidFill>
    </a:ln>
  </c:spPr>
  <c:txPr>
    <a:bodyPr/>
    <a:lstStyle/>
    <a:p>
      <a:pPr>
        <a:defRPr b="1" i="0" baseline="0"/>
      </a:pPr>
      <a:endParaRPr lang="cs-CZ"/>
    </a:p>
  </c:txPr>
  <c:printSettings>
    <c:headerFooter alignWithMargins="0"/>
    <c:pageMargins b="0.98425196899999956" l="0.78740157499999996" r="0.78740157499999996" t="0.98425196899999956" header="0.49212598450000106" footer="0.49212598450000106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Daně města v roce 2017 celkem</a:t>
            </a:r>
          </a:p>
        </c:rich>
      </c:tx>
      <c:layout>
        <c:manualLayout>
          <c:xMode val="edge"/>
          <c:yMode val="edge"/>
          <c:x val="0.22933751902587518"/>
          <c:y val="4.37972582972583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50000000000044"/>
          <c:y val="0.23790160642570291"/>
          <c:w val="0.78515625"/>
          <c:h val="0.59560642570280975"/>
        </c:manualLayout>
      </c:layout>
      <c:lineChart>
        <c:grouping val="stacked"/>
        <c:varyColors val="0"/>
        <c:ser>
          <c:idx val="0"/>
          <c:order val="0"/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'2017 (měs)'!$A$8:$A$19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(měs)'!$K$28:$K$39</c:f>
              <c:numCache>
                <c:formatCode>#,##0_ ;\-#,##0\ </c:formatCode>
                <c:ptCount val="12"/>
                <c:pt idx="0">
                  <c:v>483306453.15000004</c:v>
                </c:pt>
                <c:pt idx="1">
                  <c:v>519221603.46999997</c:v>
                </c:pt>
                <c:pt idx="2">
                  <c:v>551254790.08999991</c:v>
                </c:pt>
                <c:pt idx="3">
                  <c:v>382291183.20000005</c:v>
                </c:pt>
                <c:pt idx="4">
                  <c:v>486990226.96000004</c:v>
                </c:pt>
                <c:pt idx="5">
                  <c:v>652288425</c:v>
                </c:pt>
                <c:pt idx="6">
                  <c:v>726514366.76999998</c:v>
                </c:pt>
                <c:pt idx="7">
                  <c:v>502318749.14000005</c:v>
                </c:pt>
                <c:pt idx="8">
                  <c:v>526323199.38</c:v>
                </c:pt>
                <c:pt idx="9">
                  <c:v>490549020.81999999</c:v>
                </c:pt>
                <c:pt idx="10">
                  <c:v>528418700.12</c:v>
                </c:pt>
                <c:pt idx="11">
                  <c:v>754432252.75999999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76032"/>
        <c:axId val="94877952"/>
      </c:lineChart>
      <c:catAx>
        <c:axId val="9487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500000" vert="horz"/>
          <a:lstStyle/>
          <a:p>
            <a:pPr>
              <a:defRPr/>
            </a:pPr>
            <a:endParaRPr lang="cs-CZ"/>
          </a:p>
        </c:txPr>
        <c:crossAx val="9487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877952"/>
        <c:scaling>
          <c:orientation val="minMax"/>
          <c:max val="765000000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94876032"/>
        <c:crosses val="autoZero"/>
        <c:crossBetween val="between"/>
        <c:majorUnit val="85000000"/>
      </c:valAx>
    </c:plotArea>
    <c:plotVisOnly val="1"/>
    <c:dispBlanksAs val="zero"/>
    <c:showDLblsOverMax val="0"/>
  </c:chart>
  <c:spPr>
    <a:ln w="25400">
      <a:solidFill>
        <a:schemeClr val="tx1"/>
      </a:solidFill>
    </a:ln>
  </c:spPr>
  <c:txPr>
    <a:bodyPr/>
    <a:lstStyle/>
    <a:p>
      <a:pPr>
        <a:defRPr b="1" i="0" baseline="0"/>
      </a:pPr>
      <a:endParaRPr lang="cs-CZ"/>
    </a:p>
  </c:txPr>
  <c:printSettings>
    <c:headerFooter alignWithMargins="0"/>
    <c:pageMargins b="0.98425196899999956" l="0.78740157499999996" r="0.78740157499999996" t="0.98425196899999956" header="0.49212598450000106" footer="0.49212598450000106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800"/>
              <a:t>Daň z příjmů právnických osob</a:t>
            </a:r>
          </a:p>
        </c:rich>
      </c:tx>
      <c:layout>
        <c:manualLayout>
          <c:xMode val="edge"/>
          <c:yMode val="edge"/>
          <c:x val="0.22669118651324871"/>
          <c:y val="4.21942672892048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54935001024518"/>
          <c:y val="0.19821849593495941"/>
          <c:w val="0.80000153186567835"/>
          <c:h val="0.53886077235772367"/>
        </c:manualLayout>
      </c:layout>
      <c:lineChart>
        <c:grouping val="standard"/>
        <c:varyColors val="0"/>
        <c:ser>
          <c:idx val="0"/>
          <c:order val="0"/>
          <c:tx>
            <c:v>skutečnost</c:v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 cap="rnd">
                <a:solidFill>
                  <a:srgbClr val="002060"/>
                </a:solidFill>
              </a:ln>
            </c:spPr>
          </c:marker>
          <c:cat>
            <c:strRef>
              <c:f>'2017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(kum)'!$E$28:$E$39</c:f>
              <c:numCache>
                <c:formatCode>#,##0_ ;\-#,##0\ </c:formatCode>
                <c:ptCount val="12"/>
                <c:pt idx="0">
                  <c:v>38459474.730000004</c:v>
                </c:pt>
                <c:pt idx="1">
                  <c:v>52212963.390000001</c:v>
                </c:pt>
                <c:pt idx="2">
                  <c:v>324943696.54999995</c:v>
                </c:pt>
                <c:pt idx="3">
                  <c:v>411242551.25999999</c:v>
                </c:pt>
                <c:pt idx="4">
                  <c:v>412178356.30000001</c:v>
                </c:pt>
                <c:pt idx="5">
                  <c:v>697946548.50999999</c:v>
                </c:pt>
                <c:pt idx="6">
                  <c:v>987531064.5</c:v>
                </c:pt>
                <c:pt idx="7">
                  <c:v>987531064.5</c:v>
                </c:pt>
                <c:pt idx="8">
                  <c:v>1192316681.1199999</c:v>
                </c:pt>
                <c:pt idx="9">
                  <c:v>1270954706.9699998</c:v>
                </c:pt>
                <c:pt idx="10">
                  <c:v>1287179132.9699998</c:v>
                </c:pt>
                <c:pt idx="11">
                  <c:v>1566737436.8199997</c:v>
                </c:pt>
              </c:numCache>
            </c:numRef>
          </c:val>
          <c:smooth val="0"/>
        </c:ser>
        <c:ser>
          <c:idx val="1"/>
          <c:order val="1"/>
          <c:tx>
            <c:v>plán</c:v>
          </c:tx>
          <c:spPr>
            <a:ln w="25400">
              <a:solidFill>
                <a:srgbClr val="C00000"/>
              </a:solidFill>
            </a:ln>
          </c:spPr>
          <c:marker>
            <c:symbol val="triangle"/>
            <c:size val="6"/>
            <c:spPr>
              <a:solidFill>
                <a:srgbClr val="C00000"/>
              </a:solidFill>
            </c:spPr>
          </c:marker>
          <c:cat>
            <c:strRef>
              <c:f>'2017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(kum)'!$F$28:$F$39</c:f>
              <c:numCache>
                <c:formatCode>#,##0_ ;\-#,##0\ </c:formatCode>
                <c:ptCount val="12"/>
                <c:pt idx="0">
                  <c:v>129002083.33333333</c:v>
                </c:pt>
                <c:pt idx="1">
                  <c:v>258004166.66666666</c:v>
                </c:pt>
                <c:pt idx="2">
                  <c:v>387006250</c:v>
                </c:pt>
                <c:pt idx="3">
                  <c:v>516008333.33333331</c:v>
                </c:pt>
                <c:pt idx="4">
                  <c:v>645010416.66666663</c:v>
                </c:pt>
                <c:pt idx="5">
                  <c:v>774012500</c:v>
                </c:pt>
                <c:pt idx="6">
                  <c:v>903014583.33333325</c:v>
                </c:pt>
                <c:pt idx="7">
                  <c:v>1032016666.6666666</c:v>
                </c:pt>
                <c:pt idx="8">
                  <c:v>1161018750</c:v>
                </c:pt>
                <c:pt idx="9">
                  <c:v>1290020833.3333333</c:v>
                </c:pt>
                <c:pt idx="10">
                  <c:v>1419022916.6666665</c:v>
                </c:pt>
                <c:pt idx="11">
                  <c:v>1548025000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85120"/>
        <c:axId val="94487296"/>
      </c:lineChart>
      <c:catAx>
        <c:axId val="9448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620000" vert="horz"/>
          <a:lstStyle/>
          <a:p>
            <a:pPr>
              <a:defRPr b="1" i="0" baseline="0">
                <a:solidFill>
                  <a:sysClr val="windowText" lastClr="000000"/>
                </a:solidFill>
              </a:defRPr>
            </a:pPr>
            <a:endParaRPr lang="cs-CZ"/>
          </a:p>
        </c:txPr>
        <c:crossAx val="94487296"/>
        <c:crosses val="autoZero"/>
        <c:auto val="1"/>
        <c:lblAlgn val="ctr"/>
        <c:lblOffset val="100"/>
        <c:noMultiLvlLbl val="0"/>
      </c:catAx>
      <c:valAx>
        <c:axId val="94487296"/>
        <c:scaling>
          <c:orientation val="minMax"/>
          <c:max val="1600000000"/>
          <c:min val="0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 b="1" i="0" baseline="0">
                <a:solidFill>
                  <a:schemeClr val="tx1"/>
                </a:solidFill>
              </a:defRPr>
            </a:pPr>
            <a:endParaRPr lang="cs-CZ"/>
          </a:p>
        </c:txPr>
        <c:crossAx val="94485120"/>
        <c:crosses val="autoZero"/>
        <c:crossBetween val="between"/>
        <c:majorUnit val="200000000"/>
      </c:valAx>
    </c:plotArea>
    <c:legend>
      <c:legendPos val="b"/>
      <c:layout/>
      <c:overlay val="0"/>
      <c:txPr>
        <a:bodyPr/>
        <a:lstStyle/>
        <a:p>
          <a:pPr>
            <a:defRPr b="1" i="0" baseline="0"/>
          </a:pPr>
          <a:endParaRPr lang="cs-CZ"/>
        </a:p>
      </c:txPr>
    </c:legend>
    <c:plotVisOnly val="1"/>
    <c:dispBlanksAs val="zero"/>
    <c:showDLblsOverMax val="0"/>
  </c:chart>
  <c:spPr>
    <a:ln w="25400">
      <a:solidFill>
        <a:schemeClr val="tx1"/>
      </a:solidFill>
    </a:ln>
    <a:scene3d>
      <a:camera prst="orthographicFront"/>
      <a:lightRig rig="threePt" dir="t"/>
    </a:scene3d>
    <a:sp3d prstMaterial="metal"/>
  </c:spPr>
  <c:printSettings>
    <c:headerFooter alignWithMargins="0"/>
    <c:pageMargins b="0.98425196899999956" l="0.78740157499999996" r="0.78740157499999996" t="0.98425196899999956" header="0.49212598450000106" footer="0.49212598450000106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Daň z přidané hodnoty</a:t>
            </a:r>
          </a:p>
        </c:rich>
      </c:tx>
      <c:layout>
        <c:manualLayout>
          <c:xMode val="edge"/>
          <c:yMode val="edge"/>
          <c:x val="0.29707934252034135"/>
          <c:y val="4.20171416755964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875"/>
          <c:y val="0.19338888888888889"/>
          <c:w val="0.80078125000000222"/>
          <c:h val="0.5550599062918351"/>
        </c:manualLayout>
      </c:layout>
      <c:lineChart>
        <c:grouping val="standard"/>
        <c:varyColors val="0"/>
        <c:ser>
          <c:idx val="0"/>
          <c:order val="0"/>
          <c:tx>
            <c:v>skutečnost</c:v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'2017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(kum)'!$H$28:$H$39</c:f>
              <c:numCache>
                <c:formatCode>#,##0_ ;\-#,##0\ </c:formatCode>
                <c:ptCount val="12"/>
                <c:pt idx="0">
                  <c:v>275032128.78000003</c:v>
                </c:pt>
                <c:pt idx="1">
                  <c:v>622262721.55999994</c:v>
                </c:pt>
                <c:pt idx="2">
                  <c:v>773974930.99000001</c:v>
                </c:pt>
                <c:pt idx="3">
                  <c:v>959794870.49000001</c:v>
                </c:pt>
                <c:pt idx="4">
                  <c:v>1310435667.45</c:v>
                </c:pt>
                <c:pt idx="5">
                  <c:v>1515698219.9100001</c:v>
                </c:pt>
                <c:pt idx="6">
                  <c:v>1786721462.1400001</c:v>
                </c:pt>
                <c:pt idx="7">
                  <c:v>2127281275.6800001</c:v>
                </c:pt>
                <c:pt idx="8">
                  <c:v>2290319799.29</c:v>
                </c:pt>
                <c:pt idx="9">
                  <c:v>2555674611.0999999</c:v>
                </c:pt>
                <c:pt idx="10">
                  <c:v>2898604995.7599998</c:v>
                </c:pt>
                <c:pt idx="11">
                  <c:v>3177404084.8199997</c:v>
                </c:pt>
              </c:numCache>
            </c:numRef>
          </c:val>
          <c:smooth val="0"/>
        </c:ser>
        <c:ser>
          <c:idx val="1"/>
          <c:order val="1"/>
          <c:tx>
            <c:v>plán</c:v>
          </c:tx>
          <c:spPr>
            <a:ln w="25400">
              <a:solidFill>
                <a:srgbClr val="C00000"/>
              </a:solidFill>
            </a:ln>
          </c:spPr>
          <c:marker>
            <c:symbol val="triangle"/>
            <c:size val="6"/>
            <c:spPr>
              <a:solidFill>
                <a:srgbClr val="C00000"/>
              </a:solidFill>
            </c:spPr>
          </c:marker>
          <c:cat>
            <c:strRef>
              <c:f>'2017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(kum)'!$I$28:$I$39</c:f>
              <c:numCache>
                <c:formatCode>#,##0_ ;\-#,##0\ </c:formatCode>
                <c:ptCount val="12"/>
                <c:pt idx="0">
                  <c:v>265130750</c:v>
                </c:pt>
                <c:pt idx="1">
                  <c:v>530261500</c:v>
                </c:pt>
                <c:pt idx="2">
                  <c:v>795392250</c:v>
                </c:pt>
                <c:pt idx="3">
                  <c:v>1060523000</c:v>
                </c:pt>
                <c:pt idx="4">
                  <c:v>1325653750</c:v>
                </c:pt>
                <c:pt idx="5">
                  <c:v>1590784500</c:v>
                </c:pt>
                <c:pt idx="6">
                  <c:v>1855915250</c:v>
                </c:pt>
                <c:pt idx="7">
                  <c:v>2121046000</c:v>
                </c:pt>
                <c:pt idx="8">
                  <c:v>2386176750</c:v>
                </c:pt>
                <c:pt idx="9">
                  <c:v>2651307500</c:v>
                </c:pt>
                <c:pt idx="10">
                  <c:v>2916438250</c:v>
                </c:pt>
                <c:pt idx="11">
                  <c:v>3181569000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32032"/>
        <c:axId val="94333952"/>
      </c:lineChart>
      <c:catAx>
        <c:axId val="9433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620000" vert="horz"/>
          <a:lstStyle/>
          <a:p>
            <a:pPr>
              <a:defRPr/>
            </a:pPr>
            <a:endParaRPr lang="cs-CZ"/>
          </a:p>
        </c:txPr>
        <c:crossAx val="94333952"/>
        <c:crosses val="autoZero"/>
        <c:auto val="1"/>
        <c:lblAlgn val="ctr"/>
        <c:lblOffset val="100"/>
        <c:noMultiLvlLbl val="0"/>
      </c:catAx>
      <c:valAx>
        <c:axId val="94333952"/>
        <c:scaling>
          <c:orientation val="minMax"/>
          <c:max val="3200000000"/>
          <c:min val="0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94332032"/>
        <c:crosses val="autoZero"/>
        <c:crossBetween val="between"/>
        <c:majorUnit val="400000000"/>
        <c:minorUnit val="10000000"/>
      </c:valAx>
    </c:plotArea>
    <c:legend>
      <c:legendPos val="b"/>
      <c:layout/>
      <c:overlay val="0"/>
    </c:legend>
    <c:plotVisOnly val="1"/>
    <c:dispBlanksAs val="zero"/>
    <c:showDLblsOverMax val="0"/>
  </c:chart>
  <c:spPr>
    <a:ln w="25400">
      <a:solidFill>
        <a:schemeClr val="tx1"/>
      </a:solidFill>
    </a:ln>
  </c:spPr>
  <c:txPr>
    <a:bodyPr/>
    <a:lstStyle/>
    <a:p>
      <a:pPr>
        <a:defRPr b="1" i="0" baseline="0"/>
      </a:pPr>
      <a:endParaRPr lang="cs-CZ"/>
    </a:p>
  </c:txPr>
  <c:printSettings>
    <c:headerFooter alignWithMargins="0"/>
    <c:pageMargins b="0.98425196899999956" l="0.78740157499999996" r="0.78740157499999996" t="0.98425196899999956" header="0.49212598450000106" footer="0.49212598450000106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Daň z příjmů fyzických osob placená plátci</a:t>
            </a:r>
          </a:p>
        </c:rich>
      </c:tx>
      <c:layout>
        <c:manualLayout>
          <c:xMode val="edge"/>
          <c:yMode val="edge"/>
          <c:x val="0.1241992019032995"/>
          <c:y val="3.38982597054886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75646879756517"/>
          <c:y val="0.18427878179384224"/>
          <c:w val="0.8086643835616435"/>
          <c:h val="0.54754785809906281"/>
        </c:manualLayout>
      </c:layout>
      <c:lineChart>
        <c:grouping val="standard"/>
        <c:varyColors val="0"/>
        <c:ser>
          <c:idx val="0"/>
          <c:order val="0"/>
          <c:tx>
            <c:v>skutečnost</c:v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 cap="rnd">
                <a:solidFill>
                  <a:srgbClr val="002060"/>
                </a:solidFill>
              </a:ln>
            </c:spPr>
          </c:marker>
          <c:cat>
            <c:strRef>
              <c:f>'2017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(kum)'!$B$8:$B$19</c:f>
              <c:numCache>
                <c:formatCode>#,##0_ ;\-#,##0\ </c:formatCode>
                <c:ptCount val="12"/>
                <c:pt idx="0">
                  <c:v>131228320.12</c:v>
                </c:pt>
                <c:pt idx="1">
                  <c:v>264343906.47</c:v>
                </c:pt>
                <c:pt idx="2">
                  <c:v>371939120.75999999</c:v>
                </c:pt>
                <c:pt idx="3">
                  <c:v>466793188.63</c:v>
                </c:pt>
                <c:pt idx="4">
                  <c:v>584012889.95000005</c:v>
                </c:pt>
                <c:pt idx="5">
                  <c:v>723098493.80000007</c:v>
                </c:pt>
                <c:pt idx="6">
                  <c:v>858241211.45000005</c:v>
                </c:pt>
                <c:pt idx="7">
                  <c:v>995914807.54000008</c:v>
                </c:pt>
                <c:pt idx="8">
                  <c:v>1122660155.8000002</c:v>
                </c:pt>
                <c:pt idx="9">
                  <c:v>1244878496.6300001</c:v>
                </c:pt>
                <c:pt idx="10">
                  <c:v>1390025048.9900002</c:v>
                </c:pt>
                <c:pt idx="11">
                  <c:v>1550184172.9400003</c:v>
                </c:pt>
              </c:numCache>
            </c:numRef>
          </c:val>
          <c:smooth val="0"/>
        </c:ser>
        <c:ser>
          <c:idx val="1"/>
          <c:order val="1"/>
          <c:tx>
            <c:v>plán</c:v>
          </c:tx>
          <c:spPr>
            <a:ln w="25400">
              <a:solidFill>
                <a:srgbClr val="C00000"/>
              </a:solidFill>
            </a:ln>
          </c:spPr>
          <c:marker>
            <c:symbol val="triangle"/>
            <c:size val="6"/>
            <c:spPr>
              <a:solidFill>
                <a:srgbClr val="C00000"/>
              </a:solidFill>
            </c:spPr>
          </c:marker>
          <c:cat>
            <c:strRef>
              <c:f>'2017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(kum)'!$C$8:$C$19</c:f>
              <c:numCache>
                <c:formatCode>#,##0_ ;\-#,##0\ </c:formatCode>
                <c:ptCount val="12"/>
                <c:pt idx="0">
                  <c:v>125019750</c:v>
                </c:pt>
                <c:pt idx="1">
                  <c:v>250039500</c:v>
                </c:pt>
                <c:pt idx="2">
                  <c:v>375059250</c:v>
                </c:pt>
                <c:pt idx="3">
                  <c:v>500079000</c:v>
                </c:pt>
                <c:pt idx="4">
                  <c:v>625098750</c:v>
                </c:pt>
                <c:pt idx="5">
                  <c:v>750118500</c:v>
                </c:pt>
                <c:pt idx="6">
                  <c:v>875138250</c:v>
                </c:pt>
                <c:pt idx="7">
                  <c:v>1000158000</c:v>
                </c:pt>
                <c:pt idx="8">
                  <c:v>1125177750</c:v>
                </c:pt>
                <c:pt idx="9">
                  <c:v>1250197500</c:v>
                </c:pt>
                <c:pt idx="10">
                  <c:v>1375217250</c:v>
                </c:pt>
                <c:pt idx="11">
                  <c:v>1500237000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50720"/>
        <c:axId val="94504448"/>
      </c:lineChart>
      <c:catAx>
        <c:axId val="9435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560000" vert="horz"/>
          <a:lstStyle/>
          <a:p>
            <a:pPr>
              <a:defRPr/>
            </a:pPr>
            <a:endParaRPr lang="cs-CZ"/>
          </a:p>
        </c:txPr>
        <c:crossAx val="94504448"/>
        <c:crosses val="autoZero"/>
        <c:auto val="1"/>
        <c:lblAlgn val="ctr"/>
        <c:lblOffset val="100"/>
        <c:noMultiLvlLbl val="0"/>
      </c:catAx>
      <c:valAx>
        <c:axId val="94504448"/>
        <c:scaling>
          <c:orientation val="minMax"/>
          <c:max val="1600000000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94350720"/>
        <c:crosses val="autoZero"/>
        <c:crossBetween val="between"/>
        <c:majorUnit val="200000000"/>
      </c:valAx>
    </c:plotArea>
    <c:legend>
      <c:legendPos val="b"/>
      <c:layout/>
      <c:overlay val="0"/>
    </c:legend>
    <c:plotVisOnly val="1"/>
    <c:dispBlanksAs val="zero"/>
    <c:showDLblsOverMax val="0"/>
  </c:chart>
  <c:spPr>
    <a:ln w="25400">
      <a:solidFill>
        <a:schemeClr val="tx1"/>
      </a:solidFill>
    </a:ln>
  </c:spPr>
  <c:txPr>
    <a:bodyPr/>
    <a:lstStyle/>
    <a:p>
      <a:pPr>
        <a:defRPr b="1" i="0" baseline="0"/>
      </a:pPr>
      <a:endParaRPr lang="cs-CZ"/>
    </a:p>
  </c:txPr>
  <c:printSettings>
    <c:headerFooter alignWithMargins="0"/>
    <c:pageMargins b="0.98425196899999956" l="0.78740157499999996" r="0.78740157499999996" t="0.98425196899999956" header="0.49212598450000106" footer="0.49212598450000106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800"/>
              <a:t>Daň z příjmů FO placená plátci</a:t>
            </a:r>
            <a:r>
              <a:rPr lang="cs-CZ" sz="1400"/>
              <a:t> (motivační*)</a:t>
            </a:r>
          </a:p>
        </c:rich>
      </c:tx>
      <c:layout>
        <c:manualLayout>
          <c:xMode val="edge"/>
          <c:yMode val="edge"/>
          <c:x val="0.14138880200187676"/>
          <c:y val="3.794377510040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8481735159816"/>
          <c:y val="0.19776338688085712"/>
          <c:w val="0.81108523592085235"/>
          <c:h val="0.55829551539491362"/>
        </c:manualLayout>
      </c:layout>
      <c:lineChart>
        <c:grouping val="standard"/>
        <c:varyColors val="0"/>
        <c:ser>
          <c:idx val="0"/>
          <c:order val="0"/>
          <c:tx>
            <c:v>skutečnost</c:v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'2017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(kum)'!$E$8:$E$19</c:f>
              <c:numCache>
                <c:formatCode>#,##0_ ;\-#,##0\ </c:formatCode>
                <c:ptCount val="12"/>
                <c:pt idx="0">
                  <c:v>8780378.8499999996</c:v>
                </c:pt>
                <c:pt idx="1">
                  <c:v>17686368.299999997</c:v>
                </c:pt>
                <c:pt idx="2">
                  <c:v>24887365.339999996</c:v>
                </c:pt>
                <c:pt idx="3">
                  <c:v>31233499.199999996</c:v>
                </c:pt>
                <c:pt idx="4">
                  <c:v>39075987.529999994</c:v>
                </c:pt>
                <c:pt idx="5">
                  <c:v>48381396.149999991</c:v>
                </c:pt>
                <c:pt idx="6">
                  <c:v>57423009.199999988</c:v>
                </c:pt>
                <c:pt idx="7">
                  <c:v>66633948.629999988</c:v>
                </c:pt>
                <c:pt idx="8">
                  <c:v>76416768.149999991</c:v>
                </c:pt>
                <c:pt idx="9">
                  <c:v>84742857.719999999</c:v>
                </c:pt>
                <c:pt idx="10">
                  <c:v>94630925.099999994</c:v>
                </c:pt>
                <c:pt idx="11">
                  <c:v>105541719.66999999</c:v>
                </c:pt>
              </c:numCache>
            </c:numRef>
          </c:val>
          <c:smooth val="0"/>
        </c:ser>
        <c:ser>
          <c:idx val="1"/>
          <c:order val="1"/>
          <c:tx>
            <c:v>plán</c:v>
          </c:tx>
          <c:spPr>
            <a:ln w="25400">
              <a:solidFill>
                <a:srgbClr val="C00000"/>
              </a:solidFill>
            </a:ln>
          </c:spPr>
          <c:marker>
            <c:symbol val="triangle"/>
            <c:size val="6"/>
            <c:spPr>
              <a:solidFill>
                <a:srgbClr val="C00000"/>
              </a:solidFill>
            </c:spPr>
          </c:marker>
          <c:cat>
            <c:strRef>
              <c:f>'2017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(kum)'!$F$8:$F$19</c:f>
              <c:numCache>
                <c:formatCode>#,##0_ ;\-#,##0\ </c:formatCode>
                <c:ptCount val="12"/>
                <c:pt idx="0">
                  <c:v>8457250</c:v>
                </c:pt>
                <c:pt idx="1">
                  <c:v>16914500</c:v>
                </c:pt>
                <c:pt idx="2">
                  <c:v>25371750</c:v>
                </c:pt>
                <c:pt idx="3">
                  <c:v>33829000</c:v>
                </c:pt>
                <c:pt idx="4">
                  <c:v>42286250</c:v>
                </c:pt>
                <c:pt idx="5">
                  <c:v>50743500</c:v>
                </c:pt>
                <c:pt idx="6">
                  <c:v>59200750</c:v>
                </c:pt>
                <c:pt idx="7">
                  <c:v>67658000</c:v>
                </c:pt>
                <c:pt idx="8">
                  <c:v>76115250</c:v>
                </c:pt>
                <c:pt idx="9">
                  <c:v>84572500</c:v>
                </c:pt>
                <c:pt idx="10">
                  <c:v>93029750</c:v>
                </c:pt>
                <c:pt idx="11">
                  <c:v>101487000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41696"/>
        <c:axId val="94543872"/>
      </c:lineChart>
      <c:catAx>
        <c:axId val="9454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500000" vert="horz"/>
          <a:lstStyle/>
          <a:p>
            <a:pPr>
              <a:defRPr b="1" i="0" baseline="0"/>
            </a:pPr>
            <a:endParaRPr lang="cs-CZ"/>
          </a:p>
        </c:txPr>
        <c:crossAx val="94543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543872"/>
        <c:scaling>
          <c:orientation val="minMax"/>
          <c:max val="120000000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cs-CZ"/>
          </a:p>
        </c:txPr>
        <c:crossAx val="94541696"/>
        <c:crosses val="autoZero"/>
        <c:crossBetween val="between"/>
        <c:majorUnit val="20000000"/>
      </c:valAx>
    </c:plotArea>
    <c:legend>
      <c:legendPos val="b"/>
      <c:layout/>
      <c:overlay val="0"/>
    </c:legend>
    <c:plotVisOnly val="1"/>
    <c:dispBlanksAs val="zero"/>
    <c:showDLblsOverMax val="0"/>
  </c:chart>
  <c:spPr>
    <a:ln w="25400">
      <a:solidFill>
        <a:schemeClr val="tx1"/>
      </a:solidFill>
    </a:ln>
  </c:spPr>
  <c:printSettings>
    <c:headerFooter alignWithMargins="0"/>
    <c:pageMargins b="0.98425196899999956" l="0.78740157499999996" r="0.78740157499999996" t="0.98425196899999956" header="0.49212598450000106" footer="0.4921259845000010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cat>
            <c:strRef>
              <c:f>'Tabulky ke grafům'!$A$11:$A$16</c:f>
              <c:strCache>
                <c:ptCount val="6"/>
                <c:pt idx="0">
                  <c:v>Zemědělství a lesní hospodářství</c:v>
                </c:pt>
                <c:pt idx="1">
                  <c:v>Průmyslová a ost. odvětví hospodářství</c:v>
                </c:pt>
                <c:pt idx="2">
                  <c:v>Služby pro obyvatelstvo</c:v>
                </c:pt>
                <c:pt idx="3">
                  <c:v>Soc. věci a politika zaměstnanosti</c:v>
                </c:pt>
                <c:pt idx="4">
                  <c:v>Bezpečnost státu a právní ochrana</c:v>
                </c:pt>
                <c:pt idx="5">
                  <c:v>Všeobecná veřejná správa a služby</c:v>
                </c:pt>
              </c:strCache>
            </c:strRef>
          </c:cat>
          <c:val>
            <c:numRef>
              <c:f>'Tabulky ke grafům'!$B$11:$B$16</c:f>
              <c:numCache>
                <c:formatCode>#,##0</c:formatCode>
                <c:ptCount val="6"/>
                <c:pt idx="0">
                  <c:v>17828</c:v>
                </c:pt>
                <c:pt idx="1">
                  <c:v>1503681</c:v>
                </c:pt>
                <c:pt idx="2">
                  <c:v>1823382</c:v>
                </c:pt>
                <c:pt idx="3">
                  <c:v>512127</c:v>
                </c:pt>
                <c:pt idx="4">
                  <c:v>458911</c:v>
                </c:pt>
                <c:pt idx="5">
                  <c:v>2297808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Daň z příjmů FO vybíraná srážkou</a:t>
            </a:r>
          </a:p>
        </c:rich>
      </c:tx>
      <c:layout>
        <c:manualLayout>
          <c:xMode val="edge"/>
          <c:yMode val="edge"/>
          <c:x val="0.206819769561225"/>
          <c:y val="5.21817269076305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03931097812156"/>
          <c:y val="0.19751606425702842"/>
          <c:w val="0.78669351101309648"/>
          <c:h val="0.5472710843373495"/>
        </c:manualLayout>
      </c:layout>
      <c:lineChart>
        <c:grouping val="standard"/>
        <c:varyColors val="0"/>
        <c:ser>
          <c:idx val="0"/>
          <c:order val="0"/>
          <c:tx>
            <c:v>skutečnost</c:v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'2017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(kum)'!$B$28:$B$39</c:f>
              <c:numCache>
                <c:formatCode>#,##0_ ;\-#,##0\ </c:formatCode>
                <c:ptCount val="12"/>
                <c:pt idx="0">
                  <c:v>11285625.260000002</c:v>
                </c:pt>
                <c:pt idx="1">
                  <c:v>25782634.440000001</c:v>
                </c:pt>
                <c:pt idx="2">
                  <c:v>33534186.880000003</c:v>
                </c:pt>
                <c:pt idx="3">
                  <c:v>42506374.140000001</c:v>
                </c:pt>
                <c:pt idx="4">
                  <c:v>52857809.450000003</c:v>
                </c:pt>
                <c:pt idx="5">
                  <c:v>65724477.310000002</c:v>
                </c:pt>
                <c:pt idx="6">
                  <c:v>80212695.950000003</c:v>
                </c:pt>
                <c:pt idx="7">
                  <c:v>95087096.030000001</c:v>
                </c:pt>
                <c:pt idx="8">
                  <c:v>110944410.15000001</c:v>
                </c:pt>
                <c:pt idx="9">
                  <c:v>124102025.17</c:v>
                </c:pt>
                <c:pt idx="10">
                  <c:v>136303745.38</c:v>
                </c:pt>
                <c:pt idx="11">
                  <c:v>147150464.68000001</c:v>
                </c:pt>
              </c:numCache>
            </c:numRef>
          </c:val>
          <c:smooth val="0"/>
        </c:ser>
        <c:ser>
          <c:idx val="1"/>
          <c:order val="1"/>
          <c:tx>
            <c:v>plán</c:v>
          </c:tx>
          <c:spPr>
            <a:ln w="25400">
              <a:solidFill>
                <a:srgbClr val="C00000"/>
              </a:solidFill>
            </a:ln>
          </c:spPr>
          <c:marker>
            <c:symbol val="triang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'2017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(kum)'!$C$28:$C$39</c:f>
              <c:numCache>
                <c:formatCode>#,##0_ ;\-#,##0\ </c:formatCode>
                <c:ptCount val="12"/>
                <c:pt idx="0">
                  <c:v>12165250</c:v>
                </c:pt>
                <c:pt idx="1">
                  <c:v>24330500</c:v>
                </c:pt>
                <c:pt idx="2">
                  <c:v>36495750</c:v>
                </c:pt>
                <c:pt idx="3">
                  <c:v>48661000</c:v>
                </c:pt>
                <c:pt idx="4">
                  <c:v>60826250</c:v>
                </c:pt>
                <c:pt idx="5">
                  <c:v>72991500</c:v>
                </c:pt>
                <c:pt idx="6">
                  <c:v>85156750</c:v>
                </c:pt>
                <c:pt idx="7">
                  <c:v>97322000</c:v>
                </c:pt>
                <c:pt idx="8">
                  <c:v>109487250</c:v>
                </c:pt>
                <c:pt idx="9">
                  <c:v>121652500</c:v>
                </c:pt>
                <c:pt idx="10">
                  <c:v>133817750</c:v>
                </c:pt>
                <c:pt idx="11">
                  <c:v>145983000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50752"/>
        <c:axId val="94652672"/>
      </c:lineChart>
      <c:catAx>
        <c:axId val="9465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500000" vert="horz"/>
          <a:lstStyle/>
          <a:p>
            <a:pPr>
              <a:defRPr/>
            </a:pPr>
            <a:endParaRPr lang="cs-CZ"/>
          </a:p>
        </c:txPr>
        <c:crossAx val="9465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652672"/>
        <c:scaling>
          <c:orientation val="minMax"/>
          <c:max val="160000000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94650752"/>
        <c:crosses val="autoZero"/>
        <c:crossBetween val="between"/>
        <c:majorUnit val="20000000"/>
      </c:valAx>
    </c:plotArea>
    <c:legend>
      <c:legendPos val="b"/>
      <c:layout/>
      <c:overlay val="0"/>
    </c:legend>
    <c:plotVisOnly val="1"/>
    <c:dispBlanksAs val="zero"/>
    <c:showDLblsOverMax val="0"/>
  </c:chart>
  <c:spPr>
    <a:ln w="25400">
      <a:solidFill>
        <a:schemeClr val="tx1"/>
      </a:solidFill>
    </a:ln>
  </c:spPr>
  <c:txPr>
    <a:bodyPr/>
    <a:lstStyle/>
    <a:p>
      <a:pPr>
        <a:defRPr b="1" i="0" baseline="0"/>
      </a:pPr>
      <a:endParaRPr lang="cs-CZ"/>
    </a:p>
  </c:txPr>
  <c:printSettings>
    <c:headerFooter alignWithMargins="0"/>
    <c:pageMargins b="0.98425196899999956" l="0.78740157499999996" r="0.78740157499999996" t="0.98425196899999956" header="0.49212598450000106" footer="0.49212598450000106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650"/>
              <a:t>Daň z příjmů FO placená poplatníky</a:t>
            </a:r>
            <a:r>
              <a:rPr lang="cs-CZ" sz="1400"/>
              <a:t> (30% záloh*)</a:t>
            </a:r>
          </a:p>
        </c:rich>
      </c:tx>
      <c:layout>
        <c:manualLayout>
          <c:xMode val="edge"/>
          <c:yMode val="edge"/>
          <c:x val="0.12290177344290576"/>
          <c:y val="3.2992971887550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13752898577087"/>
          <c:y val="0.18915562248995985"/>
          <c:w val="0.8294133528901515"/>
          <c:h val="0.56257095046854189"/>
        </c:manualLayout>
      </c:layout>
      <c:lineChart>
        <c:grouping val="standard"/>
        <c:varyColors val="0"/>
        <c:ser>
          <c:idx val="0"/>
          <c:order val="0"/>
          <c:tx>
            <c:v>skutečnost</c:v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'2017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(kum)'!$H$8:$H$19</c:f>
              <c:numCache>
                <c:formatCode>#,##0_ ;\-#,##0\ </c:formatCode>
                <c:ptCount val="12"/>
                <c:pt idx="0">
                  <c:v>14680684.859999999</c:v>
                </c:pt>
                <c:pt idx="1">
                  <c:v>14680684.859999999</c:v>
                </c:pt>
                <c:pt idx="2">
                  <c:v>14680684.859999999</c:v>
                </c:pt>
                <c:pt idx="3">
                  <c:v>14680684.859999999</c:v>
                </c:pt>
                <c:pt idx="4">
                  <c:v>14680684.859999999</c:v>
                </c:pt>
                <c:pt idx="5">
                  <c:v>14680684.859999999</c:v>
                </c:pt>
                <c:pt idx="6">
                  <c:v>14680684.859999999</c:v>
                </c:pt>
                <c:pt idx="7">
                  <c:v>14680684.859999999</c:v>
                </c:pt>
                <c:pt idx="8">
                  <c:v>14680684.859999999</c:v>
                </c:pt>
                <c:pt idx="9">
                  <c:v>14680684.859999999</c:v>
                </c:pt>
                <c:pt idx="10">
                  <c:v>14680684.859999999</c:v>
                </c:pt>
                <c:pt idx="11">
                  <c:v>14680684.859999999</c:v>
                </c:pt>
              </c:numCache>
            </c:numRef>
          </c:val>
          <c:smooth val="0"/>
        </c:ser>
        <c:ser>
          <c:idx val="1"/>
          <c:order val="1"/>
          <c:tx>
            <c:v>plán</c:v>
          </c:tx>
          <c:spPr>
            <a:ln w="25400">
              <a:solidFill>
                <a:srgbClr val="C00000"/>
              </a:solidFill>
            </a:ln>
          </c:spPr>
          <c:marker>
            <c:symbol val="triang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'2017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(kum)'!$I$8:$I$19</c:f>
              <c:numCache>
                <c:formatCode>#,##0_ ;\-#,##0\ </c:formatCode>
                <c:ptCount val="12"/>
                <c:pt idx="0">
                  <c:v>1223333.3333333333</c:v>
                </c:pt>
                <c:pt idx="1">
                  <c:v>2446666.6666666665</c:v>
                </c:pt>
                <c:pt idx="2">
                  <c:v>3670000</c:v>
                </c:pt>
                <c:pt idx="3">
                  <c:v>4893333.333333333</c:v>
                </c:pt>
                <c:pt idx="4">
                  <c:v>6116666.666666666</c:v>
                </c:pt>
                <c:pt idx="5">
                  <c:v>7340000</c:v>
                </c:pt>
                <c:pt idx="6">
                  <c:v>8563333.3333333321</c:v>
                </c:pt>
                <c:pt idx="7">
                  <c:v>9786666.666666666</c:v>
                </c:pt>
                <c:pt idx="8">
                  <c:v>11010000</c:v>
                </c:pt>
                <c:pt idx="9">
                  <c:v>12233333.333333332</c:v>
                </c:pt>
                <c:pt idx="10">
                  <c:v>13456666.666666666</c:v>
                </c:pt>
                <c:pt idx="11">
                  <c:v>14680000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65344"/>
        <c:axId val="94696192"/>
      </c:lineChart>
      <c:catAx>
        <c:axId val="9466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500000" vert="horz"/>
          <a:lstStyle/>
          <a:p>
            <a:pPr>
              <a:defRPr/>
            </a:pPr>
            <a:endParaRPr lang="cs-CZ"/>
          </a:p>
        </c:txPr>
        <c:crossAx val="946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696192"/>
        <c:scaling>
          <c:orientation val="minMax"/>
          <c:max val="18000000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94665344"/>
        <c:crosses val="autoZero"/>
        <c:crossBetween val="between"/>
        <c:majorUnit val="3000000"/>
      </c:valAx>
    </c:plotArea>
    <c:legend>
      <c:legendPos val="b"/>
      <c:layout/>
      <c:overlay val="0"/>
    </c:legend>
    <c:plotVisOnly val="1"/>
    <c:dispBlanksAs val="zero"/>
    <c:showDLblsOverMax val="0"/>
  </c:chart>
  <c:spPr>
    <a:ln w="25400" cap="rnd">
      <a:solidFill>
        <a:schemeClr val="tx1"/>
      </a:solidFill>
    </a:ln>
  </c:spPr>
  <c:txPr>
    <a:bodyPr/>
    <a:lstStyle/>
    <a:p>
      <a:pPr>
        <a:defRPr b="1" i="0" baseline="0"/>
      </a:pPr>
      <a:endParaRPr lang="cs-CZ"/>
    </a:p>
  </c:txPr>
  <c:printSettings>
    <c:headerFooter alignWithMargins="0"/>
    <c:pageMargins b="0.98425196899999956" l="0.78740157499999996" r="0.78740157499999996" t="0.98425196899999956" header="0.49212598450000106" footer="0.4921259845000010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Daň z příjmů placená poplatníky</a:t>
            </a:r>
          </a:p>
        </c:rich>
      </c:tx>
      <c:layout>
        <c:manualLayout>
          <c:xMode val="edge"/>
          <c:yMode val="edge"/>
          <c:x val="0.24068162626835921"/>
          <c:y val="5.7554886211512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3742389649924"/>
          <c:y val="0.21565361445783141"/>
          <c:w val="0.79256435811020409"/>
          <c:h val="0.53789892904953163"/>
        </c:manualLayout>
      </c:layout>
      <c:lineChart>
        <c:grouping val="standard"/>
        <c:varyColors val="0"/>
        <c:ser>
          <c:idx val="0"/>
          <c:order val="0"/>
          <c:tx>
            <c:v>skutečnost</c:v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'2017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(kum)'!$K$8:$K$19</c:f>
              <c:numCache>
                <c:formatCode>#,##0_ ;\-#,##0\ </c:formatCode>
                <c:ptCount val="12"/>
                <c:pt idx="0">
                  <c:v>3839840.5500000003</c:v>
                </c:pt>
                <c:pt idx="1">
                  <c:v>5558777.5999999996</c:v>
                </c:pt>
                <c:pt idx="2">
                  <c:v>9822861.3300000001</c:v>
                </c:pt>
                <c:pt idx="3">
                  <c:v>9822861.3300000001</c:v>
                </c:pt>
                <c:pt idx="4">
                  <c:v>9822861.3300000001</c:v>
                </c:pt>
                <c:pt idx="5">
                  <c:v>9822861.3300000001</c:v>
                </c:pt>
                <c:pt idx="6">
                  <c:v>17056920.539999999</c:v>
                </c:pt>
                <c:pt idx="7">
                  <c:v>17056920.539999999</c:v>
                </c:pt>
                <c:pt idx="8">
                  <c:v>23170497.789999999</c:v>
                </c:pt>
                <c:pt idx="9">
                  <c:v>26024635.530000001</c:v>
                </c:pt>
                <c:pt idx="10">
                  <c:v>28052185.040000003</c:v>
                </c:pt>
                <c:pt idx="11">
                  <c:v>42210407.07</c:v>
                </c:pt>
              </c:numCache>
            </c:numRef>
          </c:val>
          <c:smooth val="0"/>
        </c:ser>
        <c:ser>
          <c:idx val="1"/>
          <c:order val="1"/>
          <c:tx>
            <c:v>plán</c:v>
          </c:tx>
          <c:spPr>
            <a:ln w="25400">
              <a:solidFill>
                <a:srgbClr val="C00000"/>
              </a:solidFill>
            </a:ln>
          </c:spPr>
          <c:marker>
            <c:symbol val="triang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'2017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(kum)'!$L$8:$L$19</c:f>
              <c:numCache>
                <c:formatCode>#,##0_ ;\-#,##0\ </c:formatCode>
                <c:ptCount val="12"/>
                <c:pt idx="0">
                  <c:v>3449916.6666666665</c:v>
                </c:pt>
                <c:pt idx="1">
                  <c:v>6899833.333333333</c:v>
                </c:pt>
                <c:pt idx="2">
                  <c:v>10349750</c:v>
                </c:pt>
                <c:pt idx="3">
                  <c:v>13799666.666666666</c:v>
                </c:pt>
                <c:pt idx="4">
                  <c:v>17249583.333333332</c:v>
                </c:pt>
                <c:pt idx="5">
                  <c:v>20699500</c:v>
                </c:pt>
                <c:pt idx="6">
                  <c:v>24149416.666666664</c:v>
                </c:pt>
                <c:pt idx="7">
                  <c:v>27599333.333333332</c:v>
                </c:pt>
                <c:pt idx="8">
                  <c:v>31049250</c:v>
                </c:pt>
                <c:pt idx="9">
                  <c:v>34499166.666666664</c:v>
                </c:pt>
                <c:pt idx="10">
                  <c:v>37949083.333333328</c:v>
                </c:pt>
                <c:pt idx="11">
                  <c:v>41399000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17056"/>
        <c:axId val="94718976"/>
      </c:lineChart>
      <c:catAx>
        <c:axId val="9471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500000" vert="horz"/>
          <a:lstStyle/>
          <a:p>
            <a:pPr>
              <a:defRPr/>
            </a:pPr>
            <a:endParaRPr lang="cs-CZ"/>
          </a:p>
        </c:txPr>
        <c:crossAx val="9471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718976"/>
        <c:scaling>
          <c:orientation val="minMax"/>
          <c:max val="45000000"/>
          <c:min val="0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94717056"/>
        <c:crosses val="autoZero"/>
        <c:crossBetween val="between"/>
        <c:majorUnit val="5000000"/>
      </c:valAx>
    </c:plotArea>
    <c:legend>
      <c:legendPos val="b"/>
      <c:layout/>
      <c:overlay val="0"/>
    </c:legend>
    <c:plotVisOnly val="1"/>
    <c:dispBlanksAs val="zero"/>
    <c:showDLblsOverMax val="0"/>
  </c:chart>
  <c:spPr>
    <a:ln w="25400" cap="rnd">
      <a:solidFill>
        <a:schemeClr val="tx1"/>
      </a:solidFill>
    </a:ln>
  </c:spPr>
  <c:txPr>
    <a:bodyPr/>
    <a:lstStyle/>
    <a:p>
      <a:pPr>
        <a:defRPr b="1" i="0" baseline="0"/>
      </a:pPr>
      <a:endParaRPr lang="cs-CZ"/>
    </a:p>
  </c:txPr>
  <c:printSettings>
    <c:headerFooter alignWithMargins="0"/>
    <c:pageMargins b="0.98425196899999956" l="0.78740157499999996" r="0.78740157499999996" t="0.98425196899999956" header="0.49212598450000106" footer="0.49212598450000106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Daně města v roce 2017 celkem</a:t>
            </a:r>
          </a:p>
        </c:rich>
      </c:tx>
      <c:layout>
        <c:manualLayout>
          <c:xMode val="edge"/>
          <c:yMode val="edge"/>
          <c:x val="0.22933751902587518"/>
          <c:y val="4.37972582972583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50000000000044"/>
          <c:y val="0.2209002677376172"/>
          <c:w val="0.78515625"/>
          <c:h val="0.53610174029451163"/>
        </c:manualLayout>
      </c:layout>
      <c:lineChart>
        <c:grouping val="standard"/>
        <c:varyColors val="0"/>
        <c:ser>
          <c:idx val="0"/>
          <c:order val="0"/>
          <c:tx>
            <c:v>skutečnost</c:v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'2017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(kum)'!$K$28:$K$39</c:f>
              <c:numCache>
                <c:formatCode>#,##0_ ;\-#,##0\ </c:formatCode>
                <c:ptCount val="12"/>
                <c:pt idx="0">
                  <c:v>483306453.15000004</c:v>
                </c:pt>
                <c:pt idx="1">
                  <c:v>1002528056.6199999</c:v>
                </c:pt>
                <c:pt idx="2">
                  <c:v>1553782846.71</c:v>
                </c:pt>
                <c:pt idx="3">
                  <c:v>1936074029.9099998</c:v>
                </c:pt>
                <c:pt idx="4">
                  <c:v>2423064256.8699999</c:v>
                </c:pt>
                <c:pt idx="5">
                  <c:v>3075352681.8699999</c:v>
                </c:pt>
                <c:pt idx="6">
                  <c:v>3801867048.6400003</c:v>
                </c:pt>
                <c:pt idx="7">
                  <c:v>4304185797.7799997</c:v>
                </c:pt>
                <c:pt idx="8">
                  <c:v>4830508997.1599998</c:v>
                </c:pt>
                <c:pt idx="9">
                  <c:v>5321058017.9799995</c:v>
                </c:pt>
                <c:pt idx="10">
                  <c:v>5849476718.0999994</c:v>
                </c:pt>
                <c:pt idx="11">
                  <c:v>6603908970.8599997</c:v>
                </c:pt>
              </c:numCache>
            </c:numRef>
          </c:val>
          <c:smooth val="0"/>
        </c:ser>
        <c:ser>
          <c:idx val="1"/>
          <c:order val="1"/>
          <c:tx>
            <c:v>plán</c:v>
          </c:tx>
          <c:spPr>
            <a:ln w="25400"/>
          </c:spPr>
          <c:marker>
            <c:symbol val="triangle"/>
            <c:size val="6"/>
            <c:spPr>
              <a:solidFill>
                <a:srgbClr val="C00000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'2017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(kum)'!$L$28:$L$39</c:f>
              <c:numCache>
                <c:formatCode>#,##0_ ;\-#,##0\ </c:formatCode>
                <c:ptCount val="12"/>
                <c:pt idx="0">
                  <c:v>544448333.33333337</c:v>
                </c:pt>
                <c:pt idx="1">
                  <c:v>1088896666.6666667</c:v>
                </c:pt>
                <c:pt idx="2">
                  <c:v>1633345000</c:v>
                </c:pt>
                <c:pt idx="3">
                  <c:v>2177793333.3333335</c:v>
                </c:pt>
                <c:pt idx="4">
                  <c:v>2722241666.666667</c:v>
                </c:pt>
                <c:pt idx="5">
                  <c:v>3266690000</c:v>
                </c:pt>
                <c:pt idx="6">
                  <c:v>3811138333.3333335</c:v>
                </c:pt>
                <c:pt idx="7">
                  <c:v>4355586666.666667</c:v>
                </c:pt>
                <c:pt idx="8">
                  <c:v>4900035000</c:v>
                </c:pt>
                <c:pt idx="9">
                  <c:v>5444483333.333334</c:v>
                </c:pt>
                <c:pt idx="10">
                  <c:v>5988931666.666667</c:v>
                </c:pt>
                <c:pt idx="11">
                  <c:v>6533380000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6864"/>
        <c:axId val="94758784"/>
      </c:lineChart>
      <c:catAx>
        <c:axId val="9475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500000" vert="horz"/>
          <a:lstStyle/>
          <a:p>
            <a:pPr>
              <a:defRPr/>
            </a:pPr>
            <a:endParaRPr lang="cs-CZ"/>
          </a:p>
        </c:txPr>
        <c:crossAx val="94758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758784"/>
        <c:scaling>
          <c:orientation val="minMax"/>
          <c:max val="7000000000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94756864"/>
        <c:crosses val="autoZero"/>
        <c:crossBetween val="between"/>
        <c:majorUnit val="1000000000"/>
      </c:valAx>
    </c:plotArea>
    <c:legend>
      <c:legendPos val="b"/>
      <c:layout/>
      <c:overlay val="0"/>
    </c:legend>
    <c:plotVisOnly val="1"/>
    <c:dispBlanksAs val="zero"/>
    <c:showDLblsOverMax val="0"/>
  </c:chart>
  <c:spPr>
    <a:ln w="25400">
      <a:solidFill>
        <a:schemeClr val="tx1"/>
      </a:solidFill>
    </a:ln>
  </c:spPr>
  <c:txPr>
    <a:bodyPr/>
    <a:lstStyle/>
    <a:p>
      <a:pPr>
        <a:defRPr b="1" i="0" baseline="0"/>
      </a:pPr>
      <a:endParaRPr lang="cs-CZ"/>
    </a:p>
  </c:txPr>
  <c:printSettings>
    <c:headerFooter alignWithMargins="0"/>
    <c:pageMargins b="0.98425196899999956" l="0.78740157499999996" r="0.78740157499999996" t="0.98425196899999956" header="0.49212598450000106" footer="0.49212598450000106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cat>
            <c:strRef>
              <c:f>'Tabulky ke grafům'!$A$22:$A$27</c:f>
              <c:strCache>
                <c:ptCount val="6"/>
                <c:pt idx="0">
                  <c:v>Zemědělství a lesní hospodářství</c:v>
                </c:pt>
                <c:pt idx="1">
                  <c:v>Průmyslová a ost. odvětví hospodářství</c:v>
                </c:pt>
                <c:pt idx="2">
                  <c:v>Služby pro obyvatelstvo</c:v>
                </c:pt>
                <c:pt idx="3">
                  <c:v>Soc. věci a politika zaměstnanosti</c:v>
                </c:pt>
                <c:pt idx="4">
                  <c:v>Bezpečnost státu a právní ochrana</c:v>
                </c:pt>
                <c:pt idx="5">
                  <c:v>Všeobecná veřejná správa a služby</c:v>
                </c:pt>
              </c:strCache>
            </c:strRef>
          </c:cat>
          <c:val>
            <c:numRef>
              <c:f>'Tabulky ke grafům'!$B$22:$B$27</c:f>
              <c:numCache>
                <c:formatCode>#,##0</c:formatCode>
                <c:ptCount val="6"/>
                <c:pt idx="0">
                  <c:v>900</c:v>
                </c:pt>
                <c:pt idx="1">
                  <c:v>460607</c:v>
                </c:pt>
                <c:pt idx="2">
                  <c:v>553828</c:v>
                </c:pt>
                <c:pt idx="3">
                  <c:v>56828</c:v>
                </c:pt>
                <c:pt idx="4">
                  <c:v>55597</c:v>
                </c:pt>
                <c:pt idx="5">
                  <c:v>49212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cat>
            <c:strRef>
              <c:f>'Tabulky ke grafům'!$A$31:$A$36</c:f>
              <c:strCache>
                <c:ptCount val="6"/>
                <c:pt idx="0">
                  <c:v>Zemědělství a lesní hospodářství</c:v>
                </c:pt>
                <c:pt idx="1">
                  <c:v>Průmyslová a ost. odvětví hospodářství</c:v>
                </c:pt>
                <c:pt idx="2">
                  <c:v>Služby pro obyvatelstvo</c:v>
                </c:pt>
                <c:pt idx="3">
                  <c:v>Soc. věci a politika zaměstnanosti</c:v>
                </c:pt>
                <c:pt idx="4">
                  <c:v>Bezpečnost státu a právní ochrana</c:v>
                </c:pt>
                <c:pt idx="5">
                  <c:v>Všeobecná veřejná správa a služby</c:v>
                </c:pt>
              </c:strCache>
            </c:strRef>
          </c:cat>
          <c:val>
            <c:numRef>
              <c:f>'Tabulky ke grafům'!$B$31:$B$36</c:f>
              <c:numCache>
                <c:formatCode>#,##0</c:formatCode>
                <c:ptCount val="6"/>
                <c:pt idx="0">
                  <c:v>18728</c:v>
                </c:pt>
                <c:pt idx="1">
                  <c:v>1964288</c:v>
                </c:pt>
                <c:pt idx="2">
                  <c:v>2377210</c:v>
                </c:pt>
                <c:pt idx="3">
                  <c:v>568955</c:v>
                </c:pt>
                <c:pt idx="4">
                  <c:v>514508</c:v>
                </c:pt>
                <c:pt idx="5">
                  <c:v>2347020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'Tabulky ke grafům'!$E$4</c:f>
              <c:strCache>
                <c:ptCount val="1"/>
                <c:pt idx="0">
                  <c:v>celkové příjmy</c:v>
                </c:pt>
              </c:strCache>
            </c:strRef>
          </c:tx>
          <c:invertIfNegative val="0"/>
          <c:cat>
            <c:strRef>
              <c:f>'Tabulky ke grafům'!$D$5:$D$9</c:f>
              <c:strCache>
                <c:ptCount val="5"/>
                <c:pt idx="0">
                  <c:v>Rok 2013</c:v>
                </c:pt>
                <c:pt idx="1">
                  <c:v>Rok 2014</c:v>
                </c:pt>
                <c:pt idx="2">
                  <c:v>Rok 2015</c:v>
                </c:pt>
                <c:pt idx="3">
                  <c:v>Rok 2016</c:v>
                </c:pt>
                <c:pt idx="4">
                  <c:v>Rok 2017</c:v>
                </c:pt>
              </c:strCache>
            </c:strRef>
          </c:cat>
          <c:val>
            <c:numRef>
              <c:f>'Tabulky ke grafům'!$E$5:$E$9</c:f>
              <c:numCache>
                <c:formatCode>#,##0</c:formatCode>
                <c:ptCount val="5"/>
                <c:pt idx="0">
                  <c:v>8223972</c:v>
                </c:pt>
                <c:pt idx="1">
                  <c:v>8301489</c:v>
                </c:pt>
                <c:pt idx="2">
                  <c:v>7772855</c:v>
                </c:pt>
                <c:pt idx="3">
                  <c:v>8330191</c:v>
                </c:pt>
                <c:pt idx="4">
                  <c:v>8325136</c:v>
                </c:pt>
              </c:numCache>
            </c:numRef>
          </c:val>
        </c:ser>
        <c:ser>
          <c:idx val="1"/>
          <c:order val="1"/>
          <c:tx>
            <c:strRef>
              <c:f>'Tabulky ke grafům'!$F$4</c:f>
              <c:strCache>
                <c:ptCount val="1"/>
                <c:pt idx="0">
                  <c:v>daňové příjmy</c:v>
                </c:pt>
              </c:strCache>
            </c:strRef>
          </c:tx>
          <c:invertIfNegative val="0"/>
          <c:cat>
            <c:strRef>
              <c:f>'Tabulky ke grafům'!$D$5:$D$9</c:f>
              <c:strCache>
                <c:ptCount val="5"/>
                <c:pt idx="0">
                  <c:v>Rok 2013</c:v>
                </c:pt>
                <c:pt idx="1">
                  <c:v>Rok 2014</c:v>
                </c:pt>
                <c:pt idx="2">
                  <c:v>Rok 2015</c:v>
                </c:pt>
                <c:pt idx="3">
                  <c:v>Rok 2016</c:v>
                </c:pt>
                <c:pt idx="4">
                  <c:v>Rok 2017</c:v>
                </c:pt>
              </c:strCache>
            </c:strRef>
          </c:cat>
          <c:val>
            <c:numRef>
              <c:f>'Tabulky ke grafům'!$F$5:$F$9</c:f>
              <c:numCache>
                <c:formatCode>#,##0</c:formatCode>
                <c:ptCount val="5"/>
                <c:pt idx="0">
                  <c:v>6042400</c:v>
                </c:pt>
                <c:pt idx="1">
                  <c:v>6216584</c:v>
                </c:pt>
                <c:pt idx="2">
                  <c:v>6222474</c:v>
                </c:pt>
                <c:pt idx="3">
                  <c:v>6726341</c:v>
                </c:pt>
                <c:pt idx="4">
                  <c:v>7190204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227968"/>
        <c:axId val="86242048"/>
        <c:axId val="0"/>
      </c:bar3DChart>
      <c:catAx>
        <c:axId val="86227968"/>
        <c:scaling>
          <c:orientation val="minMax"/>
        </c:scaling>
        <c:delete val="0"/>
        <c:axPos val="b"/>
        <c:majorTickMark val="out"/>
        <c:minorTickMark val="none"/>
        <c:tickLblPos val="nextTo"/>
        <c:crossAx val="86242048"/>
        <c:crosses val="autoZero"/>
        <c:auto val="1"/>
        <c:lblAlgn val="ctr"/>
        <c:lblOffset val="100"/>
        <c:noMultiLvlLbl val="0"/>
      </c:catAx>
      <c:valAx>
        <c:axId val="86242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6227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'Tabulky ke grafům'!$D$14</c:f>
              <c:strCache>
                <c:ptCount val="1"/>
                <c:pt idx="0">
                  <c:v>běžné výdaje</c:v>
                </c:pt>
              </c:strCache>
            </c:strRef>
          </c:tx>
          <c:invertIfNegative val="0"/>
          <c:cat>
            <c:strRef>
              <c:f>'Tabulky ke grafům'!$E$13:$I$13</c:f>
              <c:strCache>
                <c:ptCount val="5"/>
                <c:pt idx="0">
                  <c:v>Rok 2013</c:v>
                </c:pt>
                <c:pt idx="1">
                  <c:v>Rok 2014</c:v>
                </c:pt>
                <c:pt idx="2">
                  <c:v>Rok 2015</c:v>
                </c:pt>
                <c:pt idx="3">
                  <c:v>Rok 2016</c:v>
                </c:pt>
                <c:pt idx="4">
                  <c:v>Rok 2017</c:v>
                </c:pt>
              </c:strCache>
            </c:strRef>
          </c:cat>
          <c:val>
            <c:numRef>
              <c:f>'Tabulky ke grafům'!$E$14:$I$14</c:f>
              <c:numCache>
                <c:formatCode>#,##0</c:formatCode>
                <c:ptCount val="5"/>
                <c:pt idx="0">
                  <c:v>5831442</c:v>
                </c:pt>
                <c:pt idx="1">
                  <c:v>6088027</c:v>
                </c:pt>
                <c:pt idx="2">
                  <c:v>5586173</c:v>
                </c:pt>
                <c:pt idx="3">
                  <c:v>5842509</c:v>
                </c:pt>
                <c:pt idx="4">
                  <c:v>6613737</c:v>
                </c:pt>
              </c:numCache>
            </c:numRef>
          </c:val>
        </c:ser>
        <c:ser>
          <c:idx val="1"/>
          <c:order val="1"/>
          <c:tx>
            <c:strRef>
              <c:f>'Tabulky ke grafům'!$D$15</c:f>
              <c:strCache>
                <c:ptCount val="1"/>
                <c:pt idx="0">
                  <c:v>kapitálové výdaje</c:v>
                </c:pt>
              </c:strCache>
            </c:strRef>
          </c:tx>
          <c:invertIfNegative val="0"/>
          <c:cat>
            <c:strRef>
              <c:f>'Tabulky ke grafům'!$E$13:$I$13</c:f>
              <c:strCache>
                <c:ptCount val="5"/>
                <c:pt idx="0">
                  <c:v>Rok 2013</c:v>
                </c:pt>
                <c:pt idx="1">
                  <c:v>Rok 2014</c:v>
                </c:pt>
                <c:pt idx="2">
                  <c:v>Rok 2015</c:v>
                </c:pt>
                <c:pt idx="3">
                  <c:v>Rok 2016</c:v>
                </c:pt>
                <c:pt idx="4">
                  <c:v>Rok 2017</c:v>
                </c:pt>
              </c:strCache>
            </c:strRef>
          </c:cat>
          <c:val>
            <c:numRef>
              <c:f>'Tabulky ke grafům'!$E$15:$I$15</c:f>
              <c:numCache>
                <c:formatCode>#,##0</c:formatCode>
                <c:ptCount val="5"/>
                <c:pt idx="0">
                  <c:v>2645599</c:v>
                </c:pt>
                <c:pt idx="1">
                  <c:v>2178472</c:v>
                </c:pt>
                <c:pt idx="2">
                  <c:v>1505307</c:v>
                </c:pt>
                <c:pt idx="3">
                  <c:v>1110863</c:v>
                </c:pt>
                <c:pt idx="4">
                  <c:v>1176972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363776"/>
        <c:axId val="92365568"/>
        <c:axId val="0"/>
      </c:bar3DChart>
      <c:catAx>
        <c:axId val="9236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365568"/>
        <c:crosses val="autoZero"/>
        <c:auto val="1"/>
        <c:lblAlgn val="ctr"/>
        <c:lblOffset val="100"/>
        <c:noMultiLvlLbl val="0"/>
      </c:catAx>
      <c:valAx>
        <c:axId val="923655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2363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'Tabulky ke grafům'!$E$21</c:f>
              <c:strCache>
                <c:ptCount val="1"/>
                <c:pt idx="0">
                  <c:v>neinvestiční</c:v>
                </c:pt>
              </c:strCache>
            </c:strRef>
          </c:tx>
          <c:marker>
            <c:symbol val="none"/>
          </c:marker>
          <c:cat>
            <c:strRef>
              <c:f>'Tabulky ke grafům'!$D$22:$D$26</c:f>
              <c:strCache>
                <c:ptCount val="5"/>
                <c:pt idx="0">
                  <c:v>Rok 2013</c:v>
                </c:pt>
                <c:pt idx="1">
                  <c:v>Rok 2014</c:v>
                </c:pt>
                <c:pt idx="2">
                  <c:v>Rok 2015</c:v>
                </c:pt>
                <c:pt idx="3">
                  <c:v>Rok 2016</c:v>
                </c:pt>
                <c:pt idx="4">
                  <c:v>Rok 2017</c:v>
                </c:pt>
              </c:strCache>
            </c:strRef>
          </c:cat>
          <c:val>
            <c:numRef>
              <c:f>'Tabulky ke grafům'!$E$22:$E$26</c:f>
              <c:numCache>
                <c:formatCode>#,##0</c:formatCode>
                <c:ptCount val="5"/>
                <c:pt idx="0">
                  <c:v>821860</c:v>
                </c:pt>
                <c:pt idx="1">
                  <c:v>985847</c:v>
                </c:pt>
                <c:pt idx="2">
                  <c:v>927834</c:v>
                </c:pt>
                <c:pt idx="3">
                  <c:v>997189</c:v>
                </c:pt>
                <c:pt idx="4">
                  <c:v>1189201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'Tabulky ke grafům'!$F$21</c:f>
              <c:strCache>
                <c:ptCount val="1"/>
                <c:pt idx="0">
                  <c:v>investiční</c:v>
                </c:pt>
              </c:strCache>
            </c:strRef>
          </c:tx>
          <c:marker>
            <c:symbol val="none"/>
          </c:marker>
          <c:cat>
            <c:strRef>
              <c:f>'Tabulky ke grafům'!$D$22:$D$26</c:f>
              <c:strCache>
                <c:ptCount val="5"/>
                <c:pt idx="0">
                  <c:v>Rok 2013</c:v>
                </c:pt>
                <c:pt idx="1">
                  <c:v>Rok 2014</c:v>
                </c:pt>
                <c:pt idx="2">
                  <c:v>Rok 2015</c:v>
                </c:pt>
                <c:pt idx="3">
                  <c:v>Rok 2016</c:v>
                </c:pt>
                <c:pt idx="4">
                  <c:v>Rok 2017</c:v>
                </c:pt>
              </c:strCache>
            </c:strRef>
          </c:cat>
          <c:val>
            <c:numRef>
              <c:f>'Tabulky ke grafům'!$F$22:$F$26</c:f>
              <c:numCache>
                <c:formatCode>#,##0</c:formatCode>
                <c:ptCount val="5"/>
                <c:pt idx="0">
                  <c:v>199646</c:v>
                </c:pt>
                <c:pt idx="1">
                  <c:v>187891</c:v>
                </c:pt>
                <c:pt idx="2">
                  <c:v>95864</c:v>
                </c:pt>
                <c:pt idx="3">
                  <c:v>152890</c:v>
                </c:pt>
                <c:pt idx="4">
                  <c:v>239090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83872"/>
        <c:axId val="93985408"/>
      </c:lineChart>
      <c:catAx>
        <c:axId val="93983872"/>
        <c:scaling>
          <c:orientation val="minMax"/>
        </c:scaling>
        <c:delete val="0"/>
        <c:axPos val="b"/>
        <c:majorTickMark val="out"/>
        <c:minorTickMark val="none"/>
        <c:tickLblPos val="nextTo"/>
        <c:crossAx val="93985408"/>
        <c:crosses val="autoZero"/>
        <c:auto val="1"/>
        <c:lblAlgn val="ctr"/>
        <c:lblOffset val="100"/>
        <c:noMultiLvlLbl val="0"/>
      </c:catAx>
      <c:valAx>
        <c:axId val="939854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3983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800"/>
              <a:t>Daň z příjmů právnických osob</a:t>
            </a:r>
          </a:p>
        </c:rich>
      </c:tx>
      <c:layout>
        <c:manualLayout>
          <c:xMode val="edge"/>
          <c:yMode val="edge"/>
          <c:x val="0.22669118651324871"/>
          <c:y val="4.21942672892048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54935001024518"/>
          <c:y val="0.21542712842712908"/>
          <c:w val="0.80000153186567835"/>
          <c:h val="0.60339321789321865"/>
        </c:manualLayout>
      </c:layout>
      <c:lineChart>
        <c:grouping val="stacked"/>
        <c:varyColors val="0"/>
        <c:ser>
          <c:idx val="0"/>
          <c:order val="0"/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 cap="rnd">
                <a:solidFill>
                  <a:srgbClr val="002060"/>
                </a:solidFill>
              </a:ln>
            </c:spPr>
          </c:marker>
          <c:cat>
            <c:strRef>
              <c:f>'2017 (měs)'!$A$8:$A$19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(měs)'!$E$28:$E$39</c:f>
              <c:numCache>
                <c:formatCode>#,##0_ ;\-#,##0\ </c:formatCode>
                <c:ptCount val="12"/>
                <c:pt idx="0">
                  <c:v>38459474.730000004</c:v>
                </c:pt>
                <c:pt idx="1">
                  <c:v>13753488.66</c:v>
                </c:pt>
                <c:pt idx="2">
                  <c:v>272730733.15999997</c:v>
                </c:pt>
                <c:pt idx="3">
                  <c:v>86298854.710000008</c:v>
                </c:pt>
                <c:pt idx="4">
                  <c:v>935805.04</c:v>
                </c:pt>
                <c:pt idx="5">
                  <c:v>285768192.20999998</c:v>
                </c:pt>
                <c:pt idx="6">
                  <c:v>289584515.99000001</c:v>
                </c:pt>
                <c:pt idx="7">
                  <c:v>0</c:v>
                </c:pt>
                <c:pt idx="8">
                  <c:v>204785616.62</c:v>
                </c:pt>
                <c:pt idx="9">
                  <c:v>78638025.849999994</c:v>
                </c:pt>
                <c:pt idx="10">
                  <c:v>16224426</c:v>
                </c:pt>
                <c:pt idx="11">
                  <c:v>279558303.85000002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87968"/>
        <c:axId val="94033792"/>
      </c:lineChart>
      <c:catAx>
        <c:axId val="9398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500000" vert="horz"/>
          <a:lstStyle/>
          <a:p>
            <a:pPr>
              <a:defRPr b="1" i="0" baseline="0">
                <a:solidFill>
                  <a:sysClr val="windowText" lastClr="000000"/>
                </a:solidFill>
              </a:defRPr>
            </a:pPr>
            <a:endParaRPr lang="cs-CZ"/>
          </a:p>
        </c:txPr>
        <c:crossAx val="9403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033792"/>
        <c:scaling>
          <c:orientation val="minMax"/>
          <c:max val="360000000"/>
          <c:min val="0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 b="1" i="0" baseline="0">
                <a:solidFill>
                  <a:schemeClr val="tx1"/>
                </a:solidFill>
              </a:defRPr>
            </a:pPr>
            <a:endParaRPr lang="cs-CZ"/>
          </a:p>
        </c:txPr>
        <c:crossAx val="93987968"/>
        <c:crosses val="autoZero"/>
        <c:crossBetween val="between"/>
        <c:majorUnit val="40000000"/>
      </c:valAx>
    </c:plotArea>
    <c:plotVisOnly val="1"/>
    <c:dispBlanksAs val="zero"/>
    <c:showDLblsOverMax val="0"/>
  </c:chart>
  <c:spPr>
    <a:ln w="25400">
      <a:solidFill>
        <a:schemeClr val="tx1"/>
      </a:solidFill>
    </a:ln>
    <a:scene3d>
      <a:camera prst="orthographicFront"/>
      <a:lightRig rig="threePt" dir="t"/>
    </a:scene3d>
    <a:sp3d prstMaterial="metal"/>
  </c:spPr>
  <c:printSettings>
    <c:headerFooter alignWithMargins="0"/>
    <c:pageMargins b="0.98425196899999956" l="0.78740157499999996" r="0.78740157499999996" t="0.98425196899999956" header="0.49212598450000106" footer="0.49212598450000106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Daň z přidané hodnoty</a:t>
            </a:r>
          </a:p>
        </c:rich>
      </c:tx>
      <c:layout>
        <c:manualLayout>
          <c:xMode val="edge"/>
          <c:yMode val="edge"/>
          <c:x val="0.29707934252034135"/>
          <c:y val="4.20171416755964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875"/>
          <c:y val="0.21889105339105341"/>
          <c:w val="0.80078125000000222"/>
          <c:h val="0.61031421356421522"/>
        </c:manualLayout>
      </c:layout>
      <c:lineChart>
        <c:grouping val="stacked"/>
        <c:varyColors val="0"/>
        <c:ser>
          <c:idx val="0"/>
          <c:order val="0"/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'2017 (měs)'!$A$8:$A$19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'2017 (měs)'!$H$28:$H$39</c:f>
              <c:numCache>
                <c:formatCode>#,##0_ ;\-#,##0\ </c:formatCode>
                <c:ptCount val="12"/>
                <c:pt idx="0">
                  <c:v>275032128.78000003</c:v>
                </c:pt>
                <c:pt idx="1">
                  <c:v>347230592.77999997</c:v>
                </c:pt>
                <c:pt idx="2">
                  <c:v>151712209.43000001</c:v>
                </c:pt>
                <c:pt idx="3">
                  <c:v>185819939.5</c:v>
                </c:pt>
                <c:pt idx="4">
                  <c:v>350640796.96000004</c:v>
                </c:pt>
                <c:pt idx="5">
                  <c:v>205262552.45999998</c:v>
                </c:pt>
                <c:pt idx="6">
                  <c:v>271023242.23000002</c:v>
                </c:pt>
                <c:pt idx="7">
                  <c:v>340559813.54000002</c:v>
                </c:pt>
                <c:pt idx="8">
                  <c:v>163038523.61000001</c:v>
                </c:pt>
                <c:pt idx="9">
                  <c:v>265354811.81</c:v>
                </c:pt>
                <c:pt idx="10">
                  <c:v>342930384.65999997</c:v>
                </c:pt>
                <c:pt idx="11">
                  <c:v>278799089.06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73088"/>
        <c:axId val="85675008"/>
      </c:lineChart>
      <c:catAx>
        <c:axId val="8567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500000" vert="horz"/>
          <a:lstStyle/>
          <a:p>
            <a:pPr>
              <a:defRPr/>
            </a:pPr>
            <a:endParaRPr lang="cs-CZ"/>
          </a:p>
        </c:txPr>
        <c:crossAx val="8567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675008"/>
        <c:scaling>
          <c:orientation val="minMax"/>
          <c:max val="490000000.00000006"/>
          <c:min val="0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5673088"/>
        <c:crosses val="autoZero"/>
        <c:crossBetween val="between"/>
        <c:majorUnit val="70000000"/>
        <c:minorUnit val="10000000"/>
      </c:valAx>
    </c:plotArea>
    <c:plotVisOnly val="1"/>
    <c:dispBlanksAs val="zero"/>
    <c:showDLblsOverMax val="0"/>
  </c:chart>
  <c:spPr>
    <a:ln w="25400">
      <a:solidFill>
        <a:schemeClr val="tx1"/>
      </a:solidFill>
    </a:ln>
  </c:spPr>
  <c:txPr>
    <a:bodyPr/>
    <a:lstStyle/>
    <a:p>
      <a:pPr>
        <a:defRPr b="1" i="0" baseline="0"/>
      </a:pPr>
      <a:endParaRPr lang="cs-CZ"/>
    </a:p>
  </c:txPr>
  <c:printSettings>
    <c:headerFooter alignWithMargins="0"/>
    <c:pageMargins b="0.98425196899999956" l="0.78740157499999996" r="0.78740157499999996" t="0.98425196899999956" header="0.49212598450000106" footer="0.4921259845000010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9525</xdr:rowOff>
    </xdr:from>
    <xdr:to>
      <xdr:col>9</xdr:col>
      <xdr:colOff>604838</xdr:colOff>
      <xdr:row>26</xdr:row>
      <xdr:rowOff>9525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61</xdr:row>
      <xdr:rowOff>161924</xdr:rowOff>
    </xdr:from>
    <xdr:to>
      <xdr:col>10</xdr:col>
      <xdr:colOff>0</xdr:colOff>
      <xdr:row>82</xdr:row>
      <xdr:rowOff>161924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89</xdr:row>
      <xdr:rowOff>0</xdr:rowOff>
    </xdr:from>
    <xdr:to>
      <xdr:col>10</xdr:col>
      <xdr:colOff>0</xdr:colOff>
      <xdr:row>110</xdr:row>
      <xdr:rowOff>9525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142874</xdr:colOff>
      <xdr:row>33</xdr:row>
      <xdr:rowOff>0</xdr:rowOff>
    </xdr:from>
    <xdr:to>
      <xdr:col>9</xdr:col>
      <xdr:colOff>600074</xdr:colOff>
      <xdr:row>54</xdr:row>
      <xdr:rowOff>9525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133349</xdr:colOff>
      <xdr:row>119</xdr:row>
      <xdr:rowOff>9525</xdr:rowOff>
    </xdr:from>
    <xdr:to>
      <xdr:col>9</xdr:col>
      <xdr:colOff>600075</xdr:colOff>
      <xdr:row>140</xdr:row>
      <xdr:rowOff>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142874</xdr:colOff>
      <xdr:row>145</xdr:row>
      <xdr:rowOff>161924</xdr:rowOff>
    </xdr:from>
    <xdr:to>
      <xdr:col>9</xdr:col>
      <xdr:colOff>600074</xdr:colOff>
      <xdr:row>166</xdr:row>
      <xdr:rowOff>142874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142874</xdr:colOff>
      <xdr:row>177</xdr:row>
      <xdr:rowOff>161924</xdr:rowOff>
    </xdr:from>
    <xdr:to>
      <xdr:col>9</xdr:col>
      <xdr:colOff>581024</xdr:colOff>
      <xdr:row>197</xdr:row>
      <xdr:rowOff>133349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3</xdr:row>
      <xdr:rowOff>19048</xdr:rowOff>
    </xdr:from>
    <xdr:to>
      <xdr:col>9</xdr:col>
      <xdr:colOff>407774</xdr:colOff>
      <xdr:row>21</xdr:row>
      <xdr:rowOff>56398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28574</xdr:colOff>
      <xdr:row>25</xdr:row>
      <xdr:rowOff>47623</xdr:rowOff>
    </xdr:from>
    <xdr:to>
      <xdr:col>9</xdr:col>
      <xdr:colOff>407774</xdr:colOff>
      <xdr:row>43</xdr:row>
      <xdr:rowOff>120973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228600</xdr:colOff>
      <xdr:row>3</xdr:row>
      <xdr:rowOff>19049</xdr:rowOff>
    </xdr:from>
    <xdr:to>
      <xdr:col>18</xdr:col>
      <xdr:colOff>607800</xdr:colOff>
      <xdr:row>21</xdr:row>
      <xdr:rowOff>92399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238123</xdr:colOff>
      <xdr:row>25</xdr:row>
      <xdr:rowOff>57146</xdr:rowOff>
    </xdr:from>
    <xdr:to>
      <xdr:col>19</xdr:col>
      <xdr:colOff>7723</xdr:colOff>
      <xdr:row>43</xdr:row>
      <xdr:rowOff>130496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19049</xdr:colOff>
      <xdr:row>49</xdr:row>
      <xdr:rowOff>104773</xdr:rowOff>
    </xdr:from>
    <xdr:to>
      <xdr:col>9</xdr:col>
      <xdr:colOff>398249</xdr:colOff>
      <xdr:row>68</xdr:row>
      <xdr:rowOff>16198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276223</xdr:colOff>
      <xdr:row>49</xdr:row>
      <xdr:rowOff>104774</xdr:rowOff>
    </xdr:from>
    <xdr:to>
      <xdr:col>19</xdr:col>
      <xdr:colOff>45823</xdr:colOff>
      <xdr:row>68</xdr:row>
      <xdr:rowOff>16199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28574</xdr:colOff>
      <xdr:row>72</xdr:row>
      <xdr:rowOff>19050</xdr:rowOff>
    </xdr:from>
    <xdr:to>
      <xdr:col>9</xdr:col>
      <xdr:colOff>407774</xdr:colOff>
      <xdr:row>90</xdr:row>
      <xdr:rowOff>92400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304799</xdr:colOff>
      <xdr:row>72</xdr:row>
      <xdr:rowOff>28574</xdr:rowOff>
    </xdr:from>
    <xdr:to>
      <xdr:col>19</xdr:col>
      <xdr:colOff>74399</xdr:colOff>
      <xdr:row>90</xdr:row>
      <xdr:rowOff>101924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3</xdr:row>
      <xdr:rowOff>19048</xdr:rowOff>
    </xdr:from>
    <xdr:to>
      <xdr:col>9</xdr:col>
      <xdr:colOff>407774</xdr:colOff>
      <xdr:row>21</xdr:row>
      <xdr:rowOff>56398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28574</xdr:colOff>
      <xdr:row>25</xdr:row>
      <xdr:rowOff>47623</xdr:rowOff>
    </xdr:from>
    <xdr:to>
      <xdr:col>9</xdr:col>
      <xdr:colOff>407774</xdr:colOff>
      <xdr:row>43</xdr:row>
      <xdr:rowOff>120973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228600</xdr:colOff>
      <xdr:row>3</xdr:row>
      <xdr:rowOff>19049</xdr:rowOff>
    </xdr:from>
    <xdr:to>
      <xdr:col>18</xdr:col>
      <xdr:colOff>607800</xdr:colOff>
      <xdr:row>21</xdr:row>
      <xdr:rowOff>92399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238123</xdr:colOff>
      <xdr:row>25</xdr:row>
      <xdr:rowOff>57146</xdr:rowOff>
    </xdr:from>
    <xdr:to>
      <xdr:col>19</xdr:col>
      <xdr:colOff>7723</xdr:colOff>
      <xdr:row>43</xdr:row>
      <xdr:rowOff>130496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19049</xdr:colOff>
      <xdr:row>49</xdr:row>
      <xdr:rowOff>104773</xdr:rowOff>
    </xdr:from>
    <xdr:to>
      <xdr:col>9</xdr:col>
      <xdr:colOff>398249</xdr:colOff>
      <xdr:row>68</xdr:row>
      <xdr:rowOff>16198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276223</xdr:colOff>
      <xdr:row>49</xdr:row>
      <xdr:rowOff>104774</xdr:rowOff>
    </xdr:from>
    <xdr:to>
      <xdr:col>19</xdr:col>
      <xdr:colOff>45823</xdr:colOff>
      <xdr:row>68</xdr:row>
      <xdr:rowOff>16199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28574</xdr:colOff>
      <xdr:row>72</xdr:row>
      <xdr:rowOff>19050</xdr:rowOff>
    </xdr:from>
    <xdr:to>
      <xdr:col>9</xdr:col>
      <xdr:colOff>407774</xdr:colOff>
      <xdr:row>90</xdr:row>
      <xdr:rowOff>92400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304799</xdr:colOff>
      <xdr:row>72</xdr:row>
      <xdr:rowOff>28574</xdr:rowOff>
    </xdr:from>
    <xdr:to>
      <xdr:col>19</xdr:col>
      <xdr:colOff>74399</xdr:colOff>
      <xdr:row>90</xdr:row>
      <xdr:rowOff>101924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zoomScaleNormal="100" workbookViewId="0">
      <selection activeCell="D14" sqref="D14"/>
    </sheetView>
  </sheetViews>
  <sheetFormatPr defaultRowHeight="12.75" x14ac:dyDescent="0.2"/>
  <cols>
    <col min="1" max="1" width="38.28515625" customWidth="1"/>
    <col min="4" max="4" width="15.140625" customWidth="1"/>
    <col min="5" max="9" width="12.7109375" customWidth="1"/>
  </cols>
  <sheetData>
    <row r="2" spans="1:10" ht="15" x14ac:dyDescent="0.2">
      <c r="A2" t="s">
        <v>0</v>
      </c>
      <c r="B2" s="1">
        <v>7190204</v>
      </c>
      <c r="D2" s="168" t="s">
        <v>25</v>
      </c>
      <c r="E2" s="167"/>
      <c r="F2" s="167"/>
      <c r="G2" s="167"/>
      <c r="H2" s="167"/>
      <c r="I2" s="167"/>
      <c r="J2" s="11"/>
    </row>
    <row r="3" spans="1:10" x14ac:dyDescent="0.2">
      <c r="A3" t="s">
        <v>4</v>
      </c>
      <c r="B3" s="1">
        <v>614540</v>
      </c>
      <c r="D3" s="5"/>
      <c r="E3" s="4"/>
    </row>
    <row r="4" spans="1:10" x14ac:dyDescent="0.2">
      <c r="A4" t="s">
        <v>1</v>
      </c>
      <c r="B4" s="1">
        <v>31758</v>
      </c>
      <c r="D4" s="6"/>
      <c r="E4" s="7" t="s">
        <v>14</v>
      </c>
      <c r="F4" s="8" t="s">
        <v>0</v>
      </c>
    </row>
    <row r="5" spans="1:10" x14ac:dyDescent="0.2">
      <c r="A5" t="s">
        <v>2</v>
      </c>
      <c r="B5" s="1">
        <v>488634</v>
      </c>
      <c r="D5" s="6" t="s">
        <v>20</v>
      </c>
      <c r="E5" s="9">
        <v>8223972</v>
      </c>
      <c r="F5" s="9">
        <v>6042400</v>
      </c>
    </row>
    <row r="6" spans="1:10" x14ac:dyDescent="0.2">
      <c r="A6" t="s">
        <v>3</v>
      </c>
      <c r="B6" s="1">
        <f>SUM(B2:B5)</f>
        <v>8325136</v>
      </c>
      <c r="D6" s="6" t="s">
        <v>21</v>
      </c>
      <c r="E6" s="9">
        <v>8301489</v>
      </c>
      <c r="F6" s="9">
        <v>6216584</v>
      </c>
      <c r="H6" s="10"/>
    </row>
    <row r="7" spans="1:10" x14ac:dyDescent="0.2">
      <c r="D7" s="6" t="s">
        <v>22</v>
      </c>
      <c r="E7" s="9">
        <v>7772855</v>
      </c>
      <c r="F7" s="9">
        <v>6222474</v>
      </c>
    </row>
    <row r="8" spans="1:10" x14ac:dyDescent="0.2">
      <c r="D8" s="6" t="s">
        <v>23</v>
      </c>
      <c r="E8" s="9">
        <v>8330191</v>
      </c>
      <c r="F8" s="9">
        <v>6726341</v>
      </c>
    </row>
    <row r="9" spans="1:10" x14ac:dyDescent="0.2">
      <c r="B9" s="2" t="s">
        <v>10</v>
      </c>
      <c r="C9" s="2"/>
      <c r="D9" s="6" t="s">
        <v>24</v>
      </c>
      <c r="E9" s="9">
        <v>8325136</v>
      </c>
      <c r="F9" s="9">
        <v>7190204</v>
      </c>
    </row>
    <row r="11" spans="1:10" ht="15" x14ac:dyDescent="0.2">
      <c r="A11" t="s">
        <v>29</v>
      </c>
      <c r="B11" s="1">
        <v>17828</v>
      </c>
      <c r="C11" s="1"/>
      <c r="D11" s="166" t="s">
        <v>26</v>
      </c>
      <c r="E11" s="167"/>
      <c r="F11" s="167"/>
      <c r="G11" s="167"/>
      <c r="H11" s="167"/>
      <c r="I11" s="167"/>
    </row>
    <row r="12" spans="1:10" x14ac:dyDescent="0.2">
      <c r="A12" t="s">
        <v>27</v>
      </c>
      <c r="B12" s="1">
        <v>1503681</v>
      </c>
      <c r="C12" s="1"/>
    </row>
    <row r="13" spans="1:10" x14ac:dyDescent="0.2">
      <c r="A13" t="s">
        <v>7</v>
      </c>
      <c r="B13" s="1">
        <v>1823382</v>
      </c>
      <c r="C13" s="1"/>
      <c r="D13" s="8"/>
      <c r="E13" s="165" t="s">
        <v>20</v>
      </c>
      <c r="F13" s="165" t="s">
        <v>21</v>
      </c>
      <c r="G13" s="165" t="s">
        <v>22</v>
      </c>
      <c r="H13" s="165" t="s">
        <v>23</v>
      </c>
      <c r="I13" s="165" t="s">
        <v>24</v>
      </c>
    </row>
    <row r="14" spans="1:10" x14ac:dyDescent="0.2">
      <c r="A14" t="s">
        <v>8</v>
      </c>
      <c r="B14" s="1">
        <v>512127</v>
      </c>
      <c r="C14" s="1"/>
      <c r="D14" s="8" t="s">
        <v>15</v>
      </c>
      <c r="E14" s="9">
        <v>5831442</v>
      </c>
      <c r="F14" s="9">
        <v>6088027</v>
      </c>
      <c r="G14" s="9">
        <v>5586173</v>
      </c>
      <c r="H14" s="9">
        <v>5842509</v>
      </c>
      <c r="I14" s="9">
        <v>6613737</v>
      </c>
    </row>
    <row r="15" spans="1:10" x14ac:dyDescent="0.2">
      <c r="A15" t="s">
        <v>9</v>
      </c>
      <c r="B15" s="1">
        <v>458911</v>
      </c>
      <c r="C15" s="1"/>
      <c r="D15" s="8" t="s">
        <v>16</v>
      </c>
      <c r="E15" s="9">
        <v>2645599</v>
      </c>
      <c r="F15" s="9">
        <v>2178472</v>
      </c>
      <c r="G15" s="9">
        <v>1505307</v>
      </c>
      <c r="H15" s="9">
        <v>1110863</v>
      </c>
      <c r="I15" s="9">
        <v>1176972</v>
      </c>
    </row>
    <row r="16" spans="1:10" x14ac:dyDescent="0.2">
      <c r="A16" t="s">
        <v>28</v>
      </c>
      <c r="B16" s="1">
        <f>B17-SUM(B11:B15)</f>
        <v>2297808</v>
      </c>
      <c r="C16" s="1"/>
      <c r="D16" s="8"/>
      <c r="E16" s="9">
        <f>SUM(E14:E15)</f>
        <v>8477041</v>
      </c>
      <c r="F16" s="9">
        <f>SUM(F14:F15)</f>
        <v>8266499</v>
      </c>
      <c r="G16" s="9">
        <f t="shared" ref="G16:H16" si="0">SUM(G14:G15)</f>
        <v>7091480</v>
      </c>
      <c r="H16" s="9">
        <f t="shared" si="0"/>
        <v>6953372</v>
      </c>
      <c r="I16" s="9">
        <f t="shared" ref="I16" si="1">SUM(I14:I15)</f>
        <v>7790709</v>
      </c>
    </row>
    <row r="17" spans="1:6" x14ac:dyDescent="0.2">
      <c r="B17" s="1">
        <v>6613737</v>
      </c>
      <c r="C17" s="1"/>
    </row>
    <row r="18" spans="1:6" x14ac:dyDescent="0.2">
      <c r="B18" s="1"/>
    </row>
    <row r="19" spans="1:6" ht="15" x14ac:dyDescent="0.2">
      <c r="B19" s="1"/>
      <c r="D19" s="169" t="s">
        <v>17</v>
      </c>
      <c r="E19" s="167"/>
      <c r="F19" s="167"/>
    </row>
    <row r="20" spans="1:6" x14ac:dyDescent="0.2">
      <c r="B20" s="2" t="s">
        <v>11</v>
      </c>
    </row>
    <row r="21" spans="1:6" x14ac:dyDescent="0.2">
      <c r="E21" s="2" t="s">
        <v>18</v>
      </c>
      <c r="F21" s="2" t="s">
        <v>19</v>
      </c>
    </row>
    <row r="22" spans="1:6" x14ac:dyDescent="0.2">
      <c r="A22" t="s">
        <v>29</v>
      </c>
      <c r="B22" s="1">
        <v>900</v>
      </c>
      <c r="D22" s="5" t="s">
        <v>20</v>
      </c>
      <c r="E22" s="4">
        <v>821860</v>
      </c>
      <c r="F22" s="4">
        <v>199646</v>
      </c>
    </row>
    <row r="23" spans="1:6" x14ac:dyDescent="0.2">
      <c r="A23" t="s">
        <v>27</v>
      </c>
      <c r="B23" s="1">
        <v>460607</v>
      </c>
      <c r="D23" t="s">
        <v>21</v>
      </c>
      <c r="E23" s="4">
        <v>985847</v>
      </c>
      <c r="F23" s="4">
        <v>187891</v>
      </c>
    </row>
    <row r="24" spans="1:6" x14ac:dyDescent="0.2">
      <c r="A24" t="s">
        <v>7</v>
      </c>
      <c r="B24" s="1">
        <v>553828</v>
      </c>
      <c r="D24" s="5" t="s">
        <v>22</v>
      </c>
      <c r="E24" s="4">
        <v>927834</v>
      </c>
      <c r="F24" s="4">
        <v>95864</v>
      </c>
    </row>
    <row r="25" spans="1:6" x14ac:dyDescent="0.2">
      <c r="A25" t="s">
        <v>8</v>
      </c>
      <c r="B25" s="1">
        <v>56828</v>
      </c>
      <c r="D25" t="s">
        <v>23</v>
      </c>
      <c r="E25" s="4">
        <v>997189</v>
      </c>
      <c r="F25" s="4">
        <f>65999+86891</f>
        <v>152890</v>
      </c>
    </row>
    <row r="26" spans="1:6" x14ac:dyDescent="0.2">
      <c r="A26" t="s">
        <v>9</v>
      </c>
      <c r="B26" s="1">
        <v>55597</v>
      </c>
      <c r="D26" t="s">
        <v>24</v>
      </c>
      <c r="E26" s="4">
        <v>1189201</v>
      </c>
      <c r="F26" s="4">
        <v>239090</v>
      </c>
    </row>
    <row r="27" spans="1:6" x14ac:dyDescent="0.2">
      <c r="A27" t="s">
        <v>28</v>
      </c>
      <c r="B27" s="1">
        <v>49212</v>
      </c>
      <c r="E27" s="4"/>
      <c r="F27" s="4"/>
    </row>
    <row r="28" spans="1:6" x14ac:dyDescent="0.2">
      <c r="B28" s="1">
        <f>SUM(B22:B27)</f>
        <v>1176972</v>
      </c>
    </row>
    <row r="31" spans="1:6" x14ac:dyDescent="0.2">
      <c r="A31" t="s">
        <v>29</v>
      </c>
      <c r="B31" s="1">
        <f t="shared" ref="B31:B36" si="2">B11+B22</f>
        <v>18728</v>
      </c>
    </row>
    <row r="32" spans="1:6" x14ac:dyDescent="0.2">
      <c r="A32" t="s">
        <v>27</v>
      </c>
      <c r="B32" s="1">
        <f t="shared" si="2"/>
        <v>1964288</v>
      </c>
    </row>
    <row r="33" spans="1:2" x14ac:dyDescent="0.2">
      <c r="A33" t="s">
        <v>7</v>
      </c>
      <c r="B33" s="1">
        <f t="shared" si="2"/>
        <v>2377210</v>
      </c>
    </row>
    <row r="34" spans="1:2" x14ac:dyDescent="0.2">
      <c r="A34" t="s">
        <v>8</v>
      </c>
      <c r="B34" s="1">
        <f t="shared" si="2"/>
        <v>568955</v>
      </c>
    </row>
    <row r="35" spans="1:2" x14ac:dyDescent="0.2">
      <c r="A35" t="s">
        <v>9</v>
      </c>
      <c r="B35" s="1">
        <f t="shared" si="2"/>
        <v>514508</v>
      </c>
    </row>
    <row r="36" spans="1:2" x14ac:dyDescent="0.2">
      <c r="A36" t="s">
        <v>28</v>
      </c>
      <c r="B36" s="1">
        <f t="shared" si="2"/>
        <v>2347020</v>
      </c>
    </row>
    <row r="37" spans="1:2" x14ac:dyDescent="0.2">
      <c r="B37" s="1">
        <f>SUM(B31:B36)</f>
        <v>7790709</v>
      </c>
    </row>
  </sheetData>
  <mergeCells count="3">
    <mergeCell ref="D11:I11"/>
    <mergeCell ref="D2:I2"/>
    <mergeCell ref="D19:F1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76"/>
  <sheetViews>
    <sheetView view="pageBreakPreview" zoomScale="120" zoomScaleNormal="100" zoomScaleSheetLayoutView="120" workbookViewId="0">
      <selection activeCell="I3" sqref="I3"/>
    </sheetView>
  </sheetViews>
  <sheetFormatPr defaultRowHeight="12.75" x14ac:dyDescent="0.2"/>
  <cols>
    <col min="1" max="1" width="2.140625" style="3" customWidth="1"/>
    <col min="2" max="10" width="9.140625" style="3"/>
    <col min="11" max="11" width="2.5703125" style="3" customWidth="1"/>
    <col min="12" max="16384" width="9.140625" style="3"/>
  </cols>
  <sheetData>
    <row r="1" spans="2:10" x14ac:dyDescent="0.2">
      <c r="I1" s="3" t="s">
        <v>75</v>
      </c>
    </row>
    <row r="4" spans="2:10" ht="18.75" x14ac:dyDescent="0.3">
      <c r="B4" s="170" t="s">
        <v>13</v>
      </c>
      <c r="C4" s="167"/>
      <c r="D4" s="167"/>
      <c r="E4" s="167"/>
      <c r="F4" s="167"/>
      <c r="G4" s="167"/>
      <c r="H4" s="167"/>
      <c r="I4" s="167"/>
      <c r="J4" s="167"/>
    </row>
    <row r="32" spans="2:10" ht="18.75" x14ac:dyDescent="0.3">
      <c r="B32" s="170" t="s">
        <v>5</v>
      </c>
      <c r="C32" s="167"/>
      <c r="D32" s="167"/>
      <c r="E32" s="167"/>
      <c r="F32" s="167"/>
      <c r="G32" s="167"/>
      <c r="H32" s="167"/>
      <c r="I32" s="167"/>
      <c r="J32" s="167"/>
    </row>
    <row r="61" spans="2:10" ht="18.75" x14ac:dyDescent="0.3">
      <c r="B61" s="170" t="s">
        <v>6</v>
      </c>
      <c r="C61" s="167"/>
      <c r="D61" s="167"/>
      <c r="E61" s="167"/>
      <c r="F61" s="167"/>
      <c r="G61" s="167"/>
      <c r="H61" s="167"/>
      <c r="I61" s="167"/>
      <c r="J61" s="167"/>
    </row>
    <row r="88" spans="2:10" ht="18.75" x14ac:dyDescent="0.3">
      <c r="B88" s="170" t="s">
        <v>12</v>
      </c>
      <c r="C88" s="167"/>
      <c r="D88" s="167"/>
      <c r="E88" s="167"/>
      <c r="F88" s="167"/>
      <c r="G88" s="167"/>
      <c r="H88" s="167"/>
      <c r="I88" s="167"/>
      <c r="J88" s="167"/>
    </row>
    <row r="118" spans="2:10" ht="18.75" x14ac:dyDescent="0.3">
      <c r="B118" s="170" t="s">
        <v>30</v>
      </c>
      <c r="C118" s="167"/>
      <c r="D118" s="167"/>
      <c r="E118" s="167"/>
      <c r="F118" s="167"/>
      <c r="G118" s="167"/>
      <c r="H118" s="167"/>
      <c r="I118" s="167"/>
      <c r="J118" s="167"/>
    </row>
    <row r="145" spans="2:10" ht="18.75" x14ac:dyDescent="0.3">
      <c r="B145" s="170" t="s">
        <v>31</v>
      </c>
      <c r="C145" s="167"/>
      <c r="D145" s="167"/>
      <c r="E145" s="167"/>
      <c r="F145" s="167"/>
      <c r="G145" s="167"/>
      <c r="H145" s="167"/>
      <c r="I145" s="167"/>
      <c r="J145" s="167"/>
    </row>
    <row r="176" spans="2:10" ht="18.75" x14ac:dyDescent="0.3">
      <c r="B176" s="170" t="s">
        <v>32</v>
      </c>
      <c r="C176" s="167"/>
      <c r="D176" s="167"/>
      <c r="E176" s="167"/>
      <c r="F176" s="167"/>
      <c r="G176" s="167"/>
      <c r="H176" s="167"/>
      <c r="I176" s="167"/>
      <c r="J176" s="167"/>
    </row>
  </sheetData>
  <mergeCells count="7">
    <mergeCell ref="B176:J176"/>
    <mergeCell ref="B4:J4"/>
    <mergeCell ref="B32:J32"/>
    <mergeCell ref="B61:J61"/>
    <mergeCell ref="B88:J88"/>
    <mergeCell ref="B118:J118"/>
    <mergeCell ref="B145:J145"/>
  </mergeCells>
  <pageMargins left="0.7" right="0.7" top="0.78740157499999996" bottom="0.78740157499999996" header="0.3" footer="0.3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zoomScale="120" zoomScaleNormal="120" workbookViewId="0">
      <selection activeCell="K40" sqref="K40"/>
    </sheetView>
  </sheetViews>
  <sheetFormatPr defaultRowHeight="15" x14ac:dyDescent="0.25"/>
  <cols>
    <col min="1" max="1" width="8.7109375" style="12" customWidth="1"/>
    <col min="2" max="13" width="12.7109375" style="12" customWidth="1"/>
    <col min="14" max="14" width="10.28515625" style="12" customWidth="1"/>
    <col min="15" max="15" width="9.7109375" style="12" customWidth="1"/>
    <col min="16" max="16" width="12.42578125" style="12" customWidth="1"/>
    <col min="17" max="18" width="9.7109375" style="12" customWidth="1"/>
    <col min="19" max="19" width="11" style="12" customWidth="1"/>
    <col min="20" max="16384" width="9.140625" style="12"/>
  </cols>
  <sheetData>
    <row r="1" spans="1:14" ht="20.25" x14ac:dyDescent="0.3">
      <c r="A1" s="203" t="s">
        <v>33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4" ht="20.25" x14ac:dyDescent="0.3">
      <c r="A2" s="205" t="s">
        <v>34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</row>
    <row r="3" spans="1:14" ht="13.5" customHeight="1" thickBot="1" x14ac:dyDescent="0.3">
      <c r="B3" s="13"/>
      <c r="C3" s="14"/>
      <c r="D3" s="15"/>
      <c r="E3" s="15"/>
      <c r="F3" s="15"/>
      <c r="G3" s="16"/>
      <c r="H3" s="17"/>
      <c r="I3" s="17"/>
      <c r="J3" s="17"/>
      <c r="K3" s="18"/>
      <c r="L3" s="18"/>
      <c r="M3" s="19" t="s">
        <v>35</v>
      </c>
      <c r="N3" s="20"/>
    </row>
    <row r="4" spans="1:14" ht="13.5" customHeight="1" x14ac:dyDescent="0.25">
      <c r="A4" s="185" t="s">
        <v>36</v>
      </c>
      <c r="B4" s="206" t="s">
        <v>37</v>
      </c>
      <c r="C4" s="189"/>
      <c r="D4" s="190"/>
      <c r="E4" s="207" t="s">
        <v>38</v>
      </c>
      <c r="F4" s="189"/>
      <c r="G4" s="190"/>
      <c r="H4" s="208" t="s">
        <v>39</v>
      </c>
      <c r="I4" s="189"/>
      <c r="J4" s="190"/>
      <c r="K4" s="209" t="s">
        <v>40</v>
      </c>
      <c r="L4" s="189"/>
      <c r="M4" s="190"/>
      <c r="N4" s="20"/>
    </row>
    <row r="5" spans="1:14" ht="13.5" customHeight="1" thickBot="1" x14ac:dyDescent="0.3">
      <c r="A5" s="186"/>
      <c r="B5" s="191"/>
      <c r="C5" s="192"/>
      <c r="D5" s="193"/>
      <c r="E5" s="191"/>
      <c r="F5" s="192"/>
      <c r="G5" s="193"/>
      <c r="H5" s="191"/>
      <c r="I5" s="192"/>
      <c r="J5" s="193"/>
      <c r="K5" s="191"/>
      <c r="L5" s="192"/>
      <c r="M5" s="193"/>
      <c r="N5" s="21"/>
    </row>
    <row r="6" spans="1:14" x14ac:dyDescent="0.25">
      <c r="A6" s="186"/>
      <c r="B6" s="202" t="s">
        <v>41</v>
      </c>
      <c r="C6" s="175" t="s">
        <v>42</v>
      </c>
      <c r="D6" s="177" t="s">
        <v>43</v>
      </c>
      <c r="E6" s="202" t="s">
        <v>44</v>
      </c>
      <c r="F6" s="175" t="s">
        <v>42</v>
      </c>
      <c r="G6" s="177" t="s">
        <v>43</v>
      </c>
      <c r="H6" s="173" t="s">
        <v>45</v>
      </c>
      <c r="I6" s="175" t="s">
        <v>42</v>
      </c>
      <c r="J6" s="177" t="s">
        <v>43</v>
      </c>
      <c r="K6" s="202" t="s">
        <v>46</v>
      </c>
      <c r="L6" s="175" t="s">
        <v>42</v>
      </c>
      <c r="M6" s="177" t="s">
        <v>43</v>
      </c>
      <c r="N6" s="22"/>
    </row>
    <row r="7" spans="1:14" ht="15.75" thickBot="1" x14ac:dyDescent="0.3">
      <c r="A7" s="187"/>
      <c r="B7" s="174"/>
      <c r="C7" s="176"/>
      <c r="D7" s="178"/>
      <c r="E7" s="174"/>
      <c r="F7" s="176"/>
      <c r="G7" s="178"/>
      <c r="H7" s="174"/>
      <c r="I7" s="176"/>
      <c r="J7" s="178"/>
      <c r="K7" s="174"/>
      <c r="L7" s="176"/>
      <c r="M7" s="178"/>
    </row>
    <row r="8" spans="1:14" s="29" customFormat="1" ht="12.75" x14ac:dyDescent="0.2">
      <c r="A8" s="23" t="s">
        <v>47</v>
      </c>
      <c r="B8" s="24">
        <f>55117676.21+76110643.91</f>
        <v>131228320.12</v>
      </c>
      <c r="C8" s="25">
        <f>C20/12</f>
        <v>125019750</v>
      </c>
      <c r="D8" s="26">
        <f>B8-C8</f>
        <v>6208570.1200000048</v>
      </c>
      <c r="E8" s="27">
        <f>3687603.08+5092775.77</f>
        <v>8780378.8499999996</v>
      </c>
      <c r="F8" s="25">
        <f>F20/12</f>
        <v>8457250</v>
      </c>
      <c r="G8" s="26">
        <f>E8-F8</f>
        <v>323128.84999999963</v>
      </c>
      <c r="H8" s="27">
        <f>14680372.84+312.02</f>
        <v>14680684.859999999</v>
      </c>
      <c r="I8" s="25">
        <f>I20/12</f>
        <v>1223333.3333333333</v>
      </c>
      <c r="J8" s="28">
        <f>H8-I8</f>
        <v>13457351.526666665</v>
      </c>
      <c r="K8" s="27">
        <f>3160549.16+679291.39</f>
        <v>3839840.5500000003</v>
      </c>
      <c r="L8" s="25">
        <f>L20/12</f>
        <v>3449916.6666666665</v>
      </c>
      <c r="M8" s="28">
        <f>K8-L8</f>
        <v>389923.88333333377</v>
      </c>
    </row>
    <row r="9" spans="1:14" s="29" customFormat="1" ht="12.75" x14ac:dyDescent="0.2">
      <c r="A9" s="30" t="s">
        <v>48</v>
      </c>
      <c r="B9" s="31">
        <f>61023307.32+72092279.03</f>
        <v>133115586.34999999</v>
      </c>
      <c r="C9" s="32">
        <f>C8*2</f>
        <v>250039500</v>
      </c>
      <c r="D9" s="26">
        <f>SUM(B8+B9)-C9</f>
        <v>14304406.469999999</v>
      </c>
      <c r="E9" s="24">
        <f>4082714.46+4823274.99</f>
        <v>8905989.4499999993</v>
      </c>
      <c r="F9" s="32">
        <f>F8*2</f>
        <v>16914500</v>
      </c>
      <c r="G9" s="26">
        <f>SUM(E8+E9)-F9</f>
        <v>771868.29999999702</v>
      </c>
      <c r="H9" s="24">
        <v>0</v>
      </c>
      <c r="I9" s="32">
        <f>I8*2</f>
        <v>2446666.6666666665</v>
      </c>
      <c r="J9" s="26">
        <f>SUM(H8+H9)-I9</f>
        <v>12234018.193333333</v>
      </c>
      <c r="K9" s="31">
        <f>695505.98+1023431.07</f>
        <v>1718937.0499999998</v>
      </c>
      <c r="L9" s="32">
        <f>L8*2</f>
        <v>6899833.333333333</v>
      </c>
      <c r="M9" s="26">
        <f>SUM(K8+K9)-L9</f>
        <v>-1341055.7333333334</v>
      </c>
    </row>
    <row r="10" spans="1:14" s="29" customFormat="1" ht="12.75" x14ac:dyDescent="0.2">
      <c r="A10" s="30" t="s">
        <v>49</v>
      </c>
      <c r="B10" s="31">
        <f>46789518.35+60805695.94</f>
        <v>107595214.28999999</v>
      </c>
      <c r="C10" s="32">
        <f>C8*3</f>
        <v>375059250</v>
      </c>
      <c r="D10" s="26">
        <f>SUM(B8+B9+B10)-C10</f>
        <v>-3120129.2400000095</v>
      </c>
      <c r="E10" s="24">
        <f>3130414.46+4070582.58</f>
        <v>7200997.04</v>
      </c>
      <c r="F10" s="33">
        <f>F8*3</f>
        <v>25371750</v>
      </c>
      <c r="G10" s="26">
        <f>SUM(E8+E9+E10)-F10</f>
        <v>-484384.66000000387</v>
      </c>
      <c r="H10" s="24">
        <v>0</v>
      </c>
      <c r="I10" s="33">
        <f>I8*3</f>
        <v>3670000</v>
      </c>
      <c r="J10" s="26">
        <f>SUM(H8+H9+H10)-I10</f>
        <v>11010684.859999999</v>
      </c>
      <c r="K10" s="31">
        <f>1775601.55+2488482.18</f>
        <v>4264083.7300000004</v>
      </c>
      <c r="L10" s="33">
        <f>L8*3</f>
        <v>10349750</v>
      </c>
      <c r="M10" s="26">
        <f>SUM(K8+K9+K10)-L10</f>
        <v>-526888.66999999993</v>
      </c>
    </row>
    <row r="11" spans="1:14" s="29" customFormat="1" ht="12.75" x14ac:dyDescent="0.2">
      <c r="A11" s="30" t="s">
        <v>50</v>
      </c>
      <c r="B11" s="31">
        <f>38598074.26+56255993.61</f>
        <v>94854067.870000005</v>
      </c>
      <c r="C11" s="32">
        <f>C8*4</f>
        <v>500079000</v>
      </c>
      <c r="D11" s="26">
        <f>SUM(B8+B9+B10+B11)-C11</f>
        <v>-33285811.370000005</v>
      </c>
      <c r="E11" s="24">
        <f>2582372.61+3763761.25</f>
        <v>6346133.8599999994</v>
      </c>
      <c r="F11" s="32">
        <f>F8*4</f>
        <v>33829000</v>
      </c>
      <c r="G11" s="26">
        <f>SUM(E8+E9+E10+E11)-F11</f>
        <v>-2595500.8000000045</v>
      </c>
      <c r="H11" s="24">
        <v>0</v>
      </c>
      <c r="I11" s="32">
        <f>I8*4</f>
        <v>4893333.333333333</v>
      </c>
      <c r="J11" s="26">
        <f>SUM(H8+H9+H10+H11)-I11</f>
        <v>9787351.5266666673</v>
      </c>
      <c r="K11" s="31">
        <v>0</v>
      </c>
      <c r="L11" s="32">
        <f>L8*4</f>
        <v>13799666.666666666</v>
      </c>
      <c r="M11" s="26">
        <f>SUM(K8+K9+K10+K11)-L11</f>
        <v>-3976805.336666666</v>
      </c>
    </row>
    <row r="12" spans="1:14" s="29" customFormat="1" ht="12.75" x14ac:dyDescent="0.2">
      <c r="A12" s="30" t="s">
        <v>51</v>
      </c>
      <c r="B12" s="31">
        <f>39275881.04+77943820.28</f>
        <v>117219701.31999999</v>
      </c>
      <c r="C12" s="32">
        <f>C8*5</f>
        <v>625098750</v>
      </c>
      <c r="D12" s="26">
        <f>SUM(B8+B9+B10+B11+B12)-C12</f>
        <v>-41085860.049999952</v>
      </c>
      <c r="E12" s="24">
        <f>2627720.75+5214767.58</f>
        <v>7842488.3300000001</v>
      </c>
      <c r="F12" s="32">
        <f>F8*5</f>
        <v>42286250</v>
      </c>
      <c r="G12" s="26">
        <f>SUM(E8+E9+E10+E11+E12)-F12</f>
        <v>-3210262.4700000063</v>
      </c>
      <c r="H12" s="24">
        <v>0</v>
      </c>
      <c r="I12" s="32">
        <f>I8*5</f>
        <v>6116666.666666666</v>
      </c>
      <c r="J12" s="26">
        <f>SUM(H8+H9+H10+H11+H12)-I12</f>
        <v>8564018.1933333334</v>
      </c>
      <c r="K12" s="31">
        <v>0</v>
      </c>
      <c r="L12" s="32">
        <f>L8*5</f>
        <v>17249583.333333332</v>
      </c>
      <c r="M12" s="26">
        <f>SUM(K8+K9+K10+K11+K12)-L12</f>
        <v>-7426722.003333332</v>
      </c>
    </row>
    <row r="13" spans="1:14" ht="12.75" customHeight="1" x14ac:dyDescent="0.25">
      <c r="A13" s="30" t="s">
        <v>52</v>
      </c>
      <c r="B13" s="31">
        <f>55210692.85+83874911</f>
        <v>139085603.84999999</v>
      </c>
      <c r="C13" s="32">
        <f>C8*6</f>
        <v>750118500</v>
      </c>
      <c r="D13" s="26">
        <f>SUM(B8+B9+B10+B11+B12+B13)-C13</f>
        <v>-27020006.199999928</v>
      </c>
      <c r="E13" s="24">
        <f>3693826.27+5611582.35</f>
        <v>9305408.6199999992</v>
      </c>
      <c r="F13" s="32">
        <f>F8*6</f>
        <v>50743500</v>
      </c>
      <c r="G13" s="26">
        <f>SUM(E8+E9+E10+E11+E12+E13)-F13</f>
        <v>-2362103.8500000089</v>
      </c>
      <c r="H13" s="24">
        <v>0</v>
      </c>
      <c r="I13" s="32">
        <f>I8*6</f>
        <v>7340000</v>
      </c>
      <c r="J13" s="26">
        <f>SUM(H8+H9+H10+H11+H12+H13)-I13</f>
        <v>7340684.8599999994</v>
      </c>
      <c r="K13" s="31">
        <v>0</v>
      </c>
      <c r="L13" s="32">
        <f>L8*6</f>
        <v>20699500</v>
      </c>
      <c r="M13" s="26">
        <f>SUM(K8+K9+K10+K11+K12+K13)-L13</f>
        <v>-10876638.67</v>
      </c>
    </row>
    <row r="14" spans="1:14" ht="12.75" customHeight="1" x14ac:dyDescent="0.25">
      <c r="A14" s="30" t="s">
        <v>53</v>
      </c>
      <c r="B14" s="31">
        <f>53312297.79+81830419.86</f>
        <v>135142717.65000001</v>
      </c>
      <c r="C14" s="32">
        <f>C8*7</f>
        <v>875138250</v>
      </c>
      <c r="D14" s="26">
        <f>SUM(B8+B9+B10+B11+B12+B13+B14)-C14</f>
        <v>-16897038.549999952</v>
      </c>
      <c r="E14" s="24">
        <f>3566815.71+5474797.34</f>
        <v>9041613.0500000007</v>
      </c>
      <c r="F14" s="32">
        <f>F8*7</f>
        <v>59200750</v>
      </c>
      <c r="G14" s="26">
        <f>SUM(E8+E9+E10+E11+E12+E13+E14)-F14</f>
        <v>-1777740.8000000119</v>
      </c>
      <c r="H14" s="24">
        <v>0</v>
      </c>
      <c r="I14" s="32">
        <f>I8*7</f>
        <v>8563333.3333333321</v>
      </c>
      <c r="J14" s="26">
        <f>SUM(H8+H9+H10+H11+H12+H13+H14)-I14</f>
        <v>6117351.5266666673</v>
      </c>
      <c r="K14" s="31">
        <f>827738.47+6406320.74</f>
        <v>7234059.21</v>
      </c>
      <c r="L14" s="32">
        <f>L8*7</f>
        <v>24149416.666666664</v>
      </c>
      <c r="M14" s="26">
        <f>SUM(K8+K9+K10+K11+K12+K13+K14)-L14</f>
        <v>-7092496.1266666651</v>
      </c>
    </row>
    <row r="15" spans="1:14" ht="12.75" customHeight="1" x14ac:dyDescent="0.25">
      <c r="A15" s="30" t="s">
        <v>54</v>
      </c>
      <c r="B15" s="31">
        <f>55345403.31+82328192.78</f>
        <v>137673596.09</v>
      </c>
      <c r="C15" s="32">
        <f>C8*8</f>
        <v>1000158000</v>
      </c>
      <c r="D15" s="26">
        <f>SUM(B8+B9+B10+B11+B12+B13+B14+B15)-C15</f>
        <v>-4243192.4599999189</v>
      </c>
      <c r="E15" s="24">
        <f>3702838.98+5508100.45</f>
        <v>9210939.4299999997</v>
      </c>
      <c r="F15" s="32">
        <f>F8*8</f>
        <v>67658000</v>
      </c>
      <c r="G15" s="26">
        <f>SUM(E8+E9+E10+E11+E12+E13+E14+E15)-F15</f>
        <v>-1024051.3700000122</v>
      </c>
      <c r="H15" s="24">
        <v>0</v>
      </c>
      <c r="I15" s="32">
        <f>I8*8</f>
        <v>9786666.666666666</v>
      </c>
      <c r="J15" s="26">
        <f>SUM(H8+H9+H10+H11+H12+H13+H14+H15)-I15</f>
        <v>4894018.1933333334</v>
      </c>
      <c r="K15" s="31">
        <v>0</v>
      </c>
      <c r="L15" s="32">
        <f>L8*8</f>
        <v>27599333.333333332</v>
      </c>
      <c r="M15" s="26">
        <f>SUM(K8+K9+K10+K11+K12+K13+K14+K15)-L15</f>
        <v>-10542412.793333333</v>
      </c>
    </row>
    <row r="16" spans="1:14" ht="12.75" customHeight="1" x14ac:dyDescent="0.25">
      <c r="A16" s="30" t="s">
        <v>55</v>
      </c>
      <c r="B16" s="31">
        <f>51717304.36+75028043.9</f>
        <v>126745348.26000001</v>
      </c>
      <c r="C16" s="32">
        <f>C8*9</f>
        <v>1125177750</v>
      </c>
      <c r="D16" s="26">
        <f>SUM(B8+B9+B10+B11+B12+B13+B14+B15+B16)-C16</f>
        <v>-2517594.1999998093</v>
      </c>
      <c r="E16" s="24">
        <f>3460103.98+6322715.54</f>
        <v>9782819.5199999996</v>
      </c>
      <c r="F16" s="32">
        <f>F8*9</f>
        <v>76115250</v>
      </c>
      <c r="G16" s="26">
        <f>SUM(E8+E9+E10+E11+E12+E13+E14+E15+E16)-F16</f>
        <v>301518.14999999106</v>
      </c>
      <c r="H16" s="24">
        <v>0</v>
      </c>
      <c r="I16" s="32">
        <f>I8*9</f>
        <v>11010000</v>
      </c>
      <c r="J16" s="26">
        <f>SUM(H8+H9+H10+H11+H12+H13+H14+H15+H16)-I16</f>
        <v>3670684.8599999994</v>
      </c>
      <c r="K16" s="31">
        <f>6113577.25</f>
        <v>6113577.25</v>
      </c>
      <c r="L16" s="32">
        <f>L8*9</f>
        <v>31049250</v>
      </c>
      <c r="M16" s="26">
        <f>SUM(K8+K9+K10+K11+K12+K13+K14+K15+K16)-L16</f>
        <v>-7878752.2100000009</v>
      </c>
    </row>
    <row r="17" spans="1:14" s="29" customFormat="1" ht="12.75" customHeight="1" x14ac:dyDescent="0.2">
      <c r="A17" s="30" t="s">
        <v>56</v>
      </c>
      <c r="B17" s="31">
        <f>47197799.11+75020541.72</f>
        <v>122218340.83</v>
      </c>
      <c r="C17" s="32">
        <f>C8*10</f>
        <v>1250197500</v>
      </c>
      <c r="D17" s="26">
        <f>SUM(B8+B9+B10+B11+B12+B13+B14+B15+B16+B17)-C17</f>
        <v>-5319003.3699998856</v>
      </c>
      <c r="E17" s="24">
        <f>3215336.57+5110753</f>
        <v>8326089.5700000003</v>
      </c>
      <c r="F17" s="32">
        <f>F8*10</f>
        <v>84572500</v>
      </c>
      <c r="G17" s="26">
        <f>SUM(E8+E9+E10+E11+E12+E13+E14+E15+E16+E17)-F17</f>
        <v>170357.71999999881</v>
      </c>
      <c r="H17" s="24">
        <v>0</v>
      </c>
      <c r="I17" s="32">
        <f>I8*10</f>
        <v>12233333.333333332</v>
      </c>
      <c r="J17" s="26">
        <f>SUM(H8+H9+H10+H11+H12+H13+H14+H15+H16+H17)-I17</f>
        <v>2447351.5266666673</v>
      </c>
      <c r="K17" s="31">
        <f>2046537.11+807600.63</f>
        <v>2854137.74</v>
      </c>
      <c r="L17" s="32">
        <f>L8*10</f>
        <v>34499166.666666664</v>
      </c>
      <c r="M17" s="26">
        <f>SUM(K8+K9+K10+K11+K12+K13+K14+K15+K16+K17)-L17</f>
        <v>-8474531.136666663</v>
      </c>
    </row>
    <row r="18" spans="1:14" ht="12.75" customHeight="1" x14ac:dyDescent="0.25">
      <c r="A18" s="30" t="s">
        <v>57</v>
      </c>
      <c r="B18" s="31">
        <f>56234287.72+88912264.64</f>
        <v>145146552.36000001</v>
      </c>
      <c r="C18" s="32">
        <f>C8*11</f>
        <v>1375217250</v>
      </c>
      <c r="D18" s="26">
        <f>SUM(B8+B9+B10+B11+B12+B13+B14+B15+B16+B17+B18)-C18</f>
        <v>14807798.990000248</v>
      </c>
      <c r="E18" s="24">
        <f>3830944.78+6057122.6</f>
        <v>9888067.379999999</v>
      </c>
      <c r="F18" s="32">
        <f>F8*11</f>
        <v>93029750</v>
      </c>
      <c r="G18" s="26">
        <f>SUM(E8+E9+E10+E11+E12+E13+E14+E15+E16+E17+E18)-F18</f>
        <v>1601175.099999994</v>
      </c>
      <c r="H18" s="24">
        <v>0</v>
      </c>
      <c r="I18" s="32">
        <f>I8*11</f>
        <v>13456666.666666666</v>
      </c>
      <c r="J18" s="26">
        <f>SUM(H8+H9+H10+H11+H12+H13+H14+H15+H16+H17+H18)-I18</f>
        <v>1224018.1933333334</v>
      </c>
      <c r="K18" s="31">
        <f>1345328.26+682221.25</f>
        <v>2027549.51</v>
      </c>
      <c r="L18" s="32">
        <f>L8*11</f>
        <v>37949083.333333328</v>
      </c>
      <c r="M18" s="26">
        <f>SUM(K8+K9+K10+K11+K12+K13+K14+K15+K16+K17+K18)-L18</f>
        <v>-9896898.2933333255</v>
      </c>
    </row>
    <row r="19" spans="1:14" ht="12.75" customHeight="1" thickBot="1" x14ac:dyDescent="0.3">
      <c r="A19" s="34" t="s">
        <v>58</v>
      </c>
      <c r="B19" s="35">
        <f>48020231.52+112138892.43</f>
        <v>160159123.95000002</v>
      </c>
      <c r="C19" s="36">
        <f>C8*12</f>
        <v>1500237000</v>
      </c>
      <c r="D19" s="26">
        <f>SUM(B8+B9+B10+B11+B12+B13+B14+B15+B16+B17+B18+B19)-C19</f>
        <v>49947172.940000296</v>
      </c>
      <c r="E19" s="37">
        <f>3271364.54+7639430.03</f>
        <v>10910794.57</v>
      </c>
      <c r="F19" s="36">
        <f>F8*12</f>
        <v>101487000</v>
      </c>
      <c r="G19" s="26">
        <f>SUM(E8+E9+E10+E11+E12+E13+E14+E15+E16+E17+E18+E19)-F19</f>
        <v>4054719.6699999869</v>
      </c>
      <c r="H19" s="37">
        <v>0</v>
      </c>
      <c r="I19" s="36">
        <f>I8*12</f>
        <v>14680000</v>
      </c>
      <c r="J19" s="26">
        <f>SUM(H8+H9+H10+H11+H12+H13+H14+H15+H16+H17+H18+H19)-I19</f>
        <v>684.85999999940395</v>
      </c>
      <c r="K19" s="35">
        <f>882498.75+13275723.28</f>
        <v>14158222.029999999</v>
      </c>
      <c r="L19" s="36">
        <f>L8*12</f>
        <v>41399000</v>
      </c>
      <c r="M19" s="26">
        <f>SUM(K8+K9+K10+K11+K12+K13+K14+K15+K16+K17+K18+K19)-L19</f>
        <v>811407.0700000003</v>
      </c>
    </row>
    <row r="20" spans="1:14" ht="12.75" customHeight="1" thickBot="1" x14ac:dyDescent="0.3">
      <c r="A20" s="38" t="s">
        <v>3</v>
      </c>
      <c r="B20" s="39">
        <f>SUM(B8:B19)</f>
        <v>1550184172.9400003</v>
      </c>
      <c r="C20" s="40">
        <f>1400297000+99940000</f>
        <v>1500237000</v>
      </c>
      <c r="D20" s="41"/>
      <c r="E20" s="39">
        <f>SUM(E8:E19)</f>
        <v>105541719.66999999</v>
      </c>
      <c r="F20" s="40">
        <f>94726000+6761000</f>
        <v>101487000</v>
      </c>
      <c r="G20" s="42"/>
      <c r="H20" s="39">
        <f>SUM(H8:H19)</f>
        <v>14680684.859999999</v>
      </c>
      <c r="I20" s="40">
        <v>14680000</v>
      </c>
      <c r="J20" s="42"/>
      <c r="K20" s="39">
        <f>SUM(K8:K19)</f>
        <v>42210407.07</v>
      </c>
      <c r="L20" s="40">
        <f>36322000+5077000</f>
        <v>41399000</v>
      </c>
      <c r="M20" s="42"/>
    </row>
    <row r="21" spans="1:14" x14ac:dyDescent="0.25">
      <c r="A21" s="21"/>
      <c r="B21" s="20"/>
      <c r="C21" s="20"/>
      <c r="D21" s="20"/>
      <c r="E21" s="20"/>
      <c r="F21" s="20"/>
      <c r="G21" s="20"/>
      <c r="H21" s="21"/>
      <c r="I21" s="20"/>
      <c r="J21" s="43"/>
      <c r="K21" s="21"/>
      <c r="L21" s="20"/>
      <c r="M21" s="21"/>
    </row>
    <row r="22" spans="1:14" x14ac:dyDescent="0.25">
      <c r="A22" s="21"/>
      <c r="B22" s="20"/>
      <c r="C22" s="20"/>
      <c r="D22" s="44"/>
      <c r="E22" s="45"/>
      <c r="F22" s="20"/>
      <c r="G22" s="20"/>
      <c r="H22" s="21"/>
      <c r="I22" s="20"/>
      <c r="J22" s="46"/>
      <c r="K22" s="21"/>
      <c r="L22" s="20"/>
      <c r="M22" s="21"/>
    </row>
    <row r="23" spans="1:14" ht="15.75" thickBot="1" x14ac:dyDescent="0.3">
      <c r="A23" s="47"/>
      <c r="B23" s="20"/>
      <c r="C23" s="48"/>
      <c r="D23" s="20"/>
      <c r="E23" s="20"/>
      <c r="F23" s="20"/>
      <c r="G23" s="20"/>
      <c r="H23" s="22"/>
      <c r="I23" s="22"/>
      <c r="J23" s="22"/>
      <c r="K23" s="22"/>
      <c r="L23" s="22"/>
      <c r="M23" s="49" t="s">
        <v>35</v>
      </c>
    </row>
    <row r="24" spans="1:14" x14ac:dyDescent="0.25">
      <c r="A24" s="185" t="s">
        <v>36</v>
      </c>
      <c r="B24" s="188" t="s">
        <v>59</v>
      </c>
      <c r="C24" s="189"/>
      <c r="D24" s="190"/>
      <c r="E24" s="194" t="s">
        <v>60</v>
      </c>
      <c r="F24" s="195"/>
      <c r="G24" s="196"/>
      <c r="H24" s="200" t="s">
        <v>61</v>
      </c>
      <c r="I24" s="195"/>
      <c r="J24" s="196"/>
      <c r="K24" s="201" t="s">
        <v>62</v>
      </c>
      <c r="L24" s="195"/>
      <c r="M24" s="196"/>
    </row>
    <row r="25" spans="1:14" ht="15.75" thickBot="1" x14ac:dyDescent="0.3">
      <c r="A25" s="186"/>
      <c r="B25" s="191"/>
      <c r="C25" s="192"/>
      <c r="D25" s="193"/>
      <c r="E25" s="197"/>
      <c r="F25" s="198"/>
      <c r="G25" s="199"/>
      <c r="H25" s="197"/>
      <c r="I25" s="198"/>
      <c r="J25" s="199"/>
      <c r="K25" s="197"/>
      <c r="L25" s="198"/>
      <c r="M25" s="199"/>
    </row>
    <row r="26" spans="1:14" ht="12.75" customHeight="1" x14ac:dyDescent="0.25">
      <c r="A26" s="186"/>
      <c r="B26" s="202" t="s">
        <v>63</v>
      </c>
      <c r="C26" s="175" t="s">
        <v>42</v>
      </c>
      <c r="D26" s="177" t="s">
        <v>43</v>
      </c>
      <c r="E26" s="181" t="s">
        <v>64</v>
      </c>
      <c r="F26" s="175" t="s">
        <v>42</v>
      </c>
      <c r="G26" s="177" t="s">
        <v>43</v>
      </c>
      <c r="H26" s="181" t="s">
        <v>65</v>
      </c>
      <c r="I26" s="175" t="s">
        <v>42</v>
      </c>
      <c r="J26" s="177" t="s">
        <v>43</v>
      </c>
      <c r="K26" s="184" t="s">
        <v>3</v>
      </c>
      <c r="L26" s="175" t="s">
        <v>42</v>
      </c>
      <c r="M26" s="177" t="s">
        <v>43</v>
      </c>
      <c r="N26" s="171" t="s">
        <v>66</v>
      </c>
    </row>
    <row r="27" spans="1:14" ht="15.75" thickBot="1" x14ac:dyDescent="0.3">
      <c r="A27" s="187"/>
      <c r="B27" s="174"/>
      <c r="C27" s="176"/>
      <c r="D27" s="178"/>
      <c r="E27" s="182"/>
      <c r="F27" s="176"/>
      <c r="G27" s="178"/>
      <c r="H27" s="182"/>
      <c r="I27" s="183"/>
      <c r="J27" s="178"/>
      <c r="K27" s="174"/>
      <c r="L27" s="176"/>
      <c r="M27" s="178"/>
      <c r="N27" s="172"/>
    </row>
    <row r="28" spans="1:14" s="29" customFormat="1" ht="12.75" x14ac:dyDescent="0.2">
      <c r="A28" s="50" t="s">
        <v>47</v>
      </c>
      <c r="B28" s="27">
        <f>7004657.94+4280967.32</f>
        <v>11285625.260000002</v>
      </c>
      <c r="C28" s="25">
        <f>C40/12</f>
        <v>12165250</v>
      </c>
      <c r="D28" s="28">
        <f>B28-C28</f>
        <v>-879624.73999999836</v>
      </c>
      <c r="E28" s="51">
        <f>33355435.75+5104038.98</f>
        <v>38459474.730000004</v>
      </c>
      <c r="F28" s="25">
        <f>F40/12</f>
        <v>129002083.33333333</v>
      </c>
      <c r="G28" s="28">
        <f>E28-F28</f>
        <v>-90542608.603333324</v>
      </c>
      <c r="H28" s="52">
        <f>261766552.27+13265576.51</f>
        <v>275032128.78000003</v>
      </c>
      <c r="I28" s="53">
        <f>I40/12</f>
        <v>265130750</v>
      </c>
      <c r="J28" s="54">
        <f>H28-I28</f>
        <v>9901378.780000031</v>
      </c>
      <c r="K28" s="55">
        <f>SUM($B8+$E8+$H8+$K8+$B28+$E28+$H28)</f>
        <v>483306453.15000004</v>
      </c>
      <c r="L28" s="53">
        <f>L40/12</f>
        <v>544448333.33333337</v>
      </c>
      <c r="M28" s="56">
        <f>K28-L28</f>
        <v>-61141880.183333337</v>
      </c>
      <c r="N28" s="57">
        <f>M28/L40</f>
        <v>-9.3583842028679386E-3</v>
      </c>
    </row>
    <row r="29" spans="1:14" s="29" customFormat="1" ht="12.75" x14ac:dyDescent="0.2">
      <c r="A29" s="58" t="s">
        <v>48</v>
      </c>
      <c r="B29" s="31">
        <f>11221810.48+3275198.7</f>
        <v>14497009.18</v>
      </c>
      <c r="C29" s="32">
        <f>C28*2</f>
        <v>24330500</v>
      </c>
      <c r="D29" s="26">
        <f>SUM(B28+B29)-C29</f>
        <v>1452134.4400000013</v>
      </c>
      <c r="E29" s="59">
        <f>6100605.31+7652883.35</f>
        <v>13753488.66</v>
      </c>
      <c r="F29" s="32">
        <f>F28*2</f>
        <v>258004166.66666666</v>
      </c>
      <c r="G29" s="26">
        <f>SUM(E28+E29)-F29</f>
        <v>-205791203.27666664</v>
      </c>
      <c r="H29" s="60">
        <f>334500131.58+12730461.2</f>
        <v>347230592.77999997</v>
      </c>
      <c r="I29" s="33">
        <f>I28*2</f>
        <v>530261500</v>
      </c>
      <c r="J29" s="26">
        <f>SUM(H28+H29)-I29</f>
        <v>92001221.559999943</v>
      </c>
      <c r="K29" s="61">
        <f t="shared" ref="K29:K40" si="0">SUM($B9+$E9+$H9+$K9+$B29+$E29+$H29)</f>
        <v>519221603.46999997</v>
      </c>
      <c r="L29" s="33">
        <f>L28*2</f>
        <v>1088896666.6666667</v>
      </c>
      <c r="M29" s="26">
        <f>SUM(K28+K29)-L29</f>
        <v>-86368610.046666741</v>
      </c>
      <c r="N29" s="62">
        <f>M29/L40</f>
        <v>-1.3219590785576033E-2</v>
      </c>
    </row>
    <row r="30" spans="1:14" s="29" customFormat="1" ht="12.75" x14ac:dyDescent="0.2">
      <c r="A30" s="58" t="s">
        <v>49</v>
      </c>
      <c r="B30" s="31">
        <f>4160334.62+3591217.82</f>
        <v>7751552.4399999995</v>
      </c>
      <c r="C30" s="33">
        <f>C28*3</f>
        <v>36495750</v>
      </c>
      <c r="D30" s="26">
        <f>SUM(B28+B29+B30)-C30</f>
        <v>-2961563.1199999973</v>
      </c>
      <c r="E30" s="63">
        <f>9230068.15+263500665.01</f>
        <v>272730733.15999997</v>
      </c>
      <c r="F30" s="33">
        <f>F28*3</f>
        <v>387006250</v>
      </c>
      <c r="G30" s="26">
        <f>SUM(E28+E29+E30)-F30</f>
        <v>-62062553.450000048</v>
      </c>
      <c r="H30" s="60">
        <f>129275983.97+22436225.46</f>
        <v>151712209.43000001</v>
      </c>
      <c r="I30" s="33">
        <f>I28*3</f>
        <v>795392250</v>
      </c>
      <c r="J30" s="26">
        <f>SUM(H28+H29+H30)-I30</f>
        <v>-21417319.00999999</v>
      </c>
      <c r="K30" s="64">
        <f t="shared" si="0"/>
        <v>551254790.08999991</v>
      </c>
      <c r="L30" s="33">
        <f>L28*3</f>
        <v>1633345000</v>
      </c>
      <c r="M30" s="26">
        <f>SUM(K28+K29+K30)-L30</f>
        <v>-79562153.289999962</v>
      </c>
      <c r="N30" s="62">
        <f>M30/L40</f>
        <v>-1.2177793621372087E-2</v>
      </c>
    </row>
    <row r="31" spans="1:14" s="29" customFormat="1" ht="12.75" x14ac:dyDescent="0.2">
      <c r="A31" s="58" t="s">
        <v>50</v>
      </c>
      <c r="B31" s="31">
        <f>4714701+4257486.26</f>
        <v>8972187.2599999998</v>
      </c>
      <c r="C31" s="32">
        <f>C28*4</f>
        <v>48661000</v>
      </c>
      <c r="D31" s="26">
        <f>SUM(B28+B29+B30+B31)-C31</f>
        <v>-6154625.8599999994</v>
      </c>
      <c r="E31" s="59">
        <f>66107191.36+20191663.35</f>
        <v>86298854.710000008</v>
      </c>
      <c r="F31" s="32">
        <f>F28*4</f>
        <v>516008333.33333331</v>
      </c>
      <c r="G31" s="26">
        <f>SUM(E28+E29+E30+E31)-F31</f>
        <v>-104765782.07333332</v>
      </c>
      <c r="H31" s="65">
        <f>176026879.96+9793059.54</f>
        <v>185819939.5</v>
      </c>
      <c r="I31" s="32">
        <f>I28*4</f>
        <v>1060523000</v>
      </c>
      <c r="J31" s="26">
        <f>SUM(H28+H29+H30+H31)-I31</f>
        <v>-100728129.50999999</v>
      </c>
      <c r="K31" s="64">
        <f t="shared" si="0"/>
        <v>382291183.20000005</v>
      </c>
      <c r="L31" s="32">
        <f>L28*4</f>
        <v>2177793333.3333335</v>
      </c>
      <c r="M31" s="26">
        <f>SUM(K28+K29+K30+K31)-L31</f>
        <v>-241719303.42333341</v>
      </c>
      <c r="N31" s="62">
        <f>M31/L40</f>
        <v>-3.6997588296308101E-2</v>
      </c>
    </row>
    <row r="32" spans="1:14" s="29" customFormat="1" ht="12.75" x14ac:dyDescent="0.2">
      <c r="A32" s="58" t="s">
        <v>51</v>
      </c>
      <c r="B32" s="31">
        <f>5793435.12+4558000.19</f>
        <v>10351435.310000001</v>
      </c>
      <c r="C32" s="32">
        <f>C28*5</f>
        <v>60826250</v>
      </c>
      <c r="D32" s="26">
        <f>SUM(B28+B29+B30+B31+B32)-C32</f>
        <v>-7968440.549999997</v>
      </c>
      <c r="E32" s="63">
        <f>935805.04</f>
        <v>935805.04</v>
      </c>
      <c r="F32" s="32">
        <f>F28*5</f>
        <v>645010416.66666663</v>
      </c>
      <c r="G32" s="26">
        <f>SUM(E28+E29+E30+E31+E32)-F32</f>
        <v>-232832060.36666662</v>
      </c>
      <c r="H32" s="65">
        <f>327906228.91+22734568.05</f>
        <v>350640796.96000004</v>
      </c>
      <c r="I32" s="32">
        <f>I28*5</f>
        <v>1325653750</v>
      </c>
      <c r="J32" s="26">
        <f>SUM(H28+H29+H30+H31+H32)-I32</f>
        <v>-15218082.549999952</v>
      </c>
      <c r="K32" s="64">
        <f t="shared" si="0"/>
        <v>486990226.96000004</v>
      </c>
      <c r="L32" s="32">
        <f>L28*5</f>
        <v>2722241666.666667</v>
      </c>
      <c r="M32" s="26">
        <f>SUM(K28+K29+K30+K31+K32)-L32</f>
        <v>-299177409.7966671</v>
      </c>
      <c r="N32" s="62">
        <f>M32/L40</f>
        <v>-4.5792133596494783E-2</v>
      </c>
    </row>
    <row r="33" spans="1:14" ht="12.75" customHeight="1" x14ac:dyDescent="0.25">
      <c r="A33" s="58" t="s">
        <v>52</v>
      </c>
      <c r="B33" s="31">
        <f>7263683.28+5602984.58</f>
        <v>12866667.859999999</v>
      </c>
      <c r="C33" s="32">
        <f>C28*6</f>
        <v>72991500</v>
      </c>
      <c r="D33" s="26">
        <f>SUM(B28+B29+B30+B31+B32+B33)-C33</f>
        <v>-7267022.6899999976</v>
      </c>
      <c r="E33" s="59">
        <f>7313323.08+278454869.13</f>
        <v>285768192.20999998</v>
      </c>
      <c r="F33" s="32">
        <f>F28*6</f>
        <v>774012500</v>
      </c>
      <c r="G33" s="26">
        <f>SUM(E28+E29+E30+E31+E32+E33)-F33</f>
        <v>-76065951.49000001</v>
      </c>
      <c r="H33" s="65">
        <f>191744215.39+13518337.07</f>
        <v>205262552.45999998</v>
      </c>
      <c r="I33" s="32">
        <f>I28*6</f>
        <v>1590784500</v>
      </c>
      <c r="J33" s="26">
        <f>SUM(H28+H29+H30+H31+H32+H33)-I33</f>
        <v>-75086280.089999914</v>
      </c>
      <c r="K33" s="64">
        <f t="shared" si="0"/>
        <v>652288425</v>
      </c>
      <c r="L33" s="32">
        <f>L28*6</f>
        <v>3266690000</v>
      </c>
      <c r="M33" s="26">
        <f>SUM(K28+K29+K30+K31+K32+K33)-L33</f>
        <v>-191337318.13000011</v>
      </c>
      <c r="N33" s="62">
        <f>M33/L40</f>
        <v>-2.928611501703561E-2</v>
      </c>
    </row>
    <row r="34" spans="1:14" ht="12.75" customHeight="1" x14ac:dyDescent="0.25">
      <c r="A34" s="58" t="s">
        <v>53</v>
      </c>
      <c r="B34" s="31">
        <f>9127660.59+5360558.05</f>
        <v>14488218.640000001</v>
      </c>
      <c r="C34" s="32">
        <f>C28*7</f>
        <v>85156750</v>
      </c>
      <c r="D34" s="26">
        <f>SUM(B28+B29+B30+B31+B32+B33+B34)-C34</f>
        <v>-4944054.049999997</v>
      </c>
      <c r="E34" s="63">
        <f>199272126.63+90312389.36</f>
        <v>289584515.99000001</v>
      </c>
      <c r="F34" s="32">
        <f>F28*7</f>
        <v>903014583.33333325</v>
      </c>
      <c r="G34" s="26">
        <f>SUM(E28+E29+E30+E31+E32+E33+E34)-F34</f>
        <v>84516481.166666746</v>
      </c>
      <c r="H34" s="65">
        <f>256447589.6+14575652.63</f>
        <v>271023242.23000002</v>
      </c>
      <c r="I34" s="32">
        <f>I28*7</f>
        <v>1855915250</v>
      </c>
      <c r="J34" s="26">
        <f>SUM(H28+H29+H30+H31+H32+H33+H34)-I34</f>
        <v>-69193787.859999895</v>
      </c>
      <c r="K34" s="64">
        <f t="shared" si="0"/>
        <v>726514366.76999998</v>
      </c>
      <c r="L34" s="32">
        <f>L28*7</f>
        <v>3811138333.3333335</v>
      </c>
      <c r="M34" s="26">
        <f>SUM(K28+K29+K30+K31+K32+K33+K34)-L34</f>
        <v>-9271284.6933336258</v>
      </c>
      <c r="N34" s="62">
        <f>M34/L40</f>
        <v>-1.4190640515833498E-3</v>
      </c>
    </row>
    <row r="35" spans="1:14" ht="12.75" customHeight="1" x14ac:dyDescent="0.25">
      <c r="A35" s="58" t="s">
        <v>54</v>
      </c>
      <c r="B35" s="31">
        <f>9757581.25+5116818.83</f>
        <v>14874400.08</v>
      </c>
      <c r="C35" s="32">
        <f>C28*8</f>
        <v>97322000</v>
      </c>
      <c r="D35" s="26">
        <f>SUM(B28+B29+B30+B31+B32+B33+B34+B35)-C35</f>
        <v>-2234903.9699999988</v>
      </c>
      <c r="E35" s="59">
        <v>0</v>
      </c>
      <c r="F35" s="32">
        <f>F28*8</f>
        <v>1032016666.6666666</v>
      </c>
      <c r="G35" s="26">
        <f>SUM(E28+E29+E30+E31+E32+E33+E34+E35)-F35</f>
        <v>-44485602.166666627</v>
      </c>
      <c r="H35" s="65">
        <f>322566134.35+17993679.19</f>
        <v>340559813.54000002</v>
      </c>
      <c r="I35" s="32">
        <f>I28*8</f>
        <v>2121046000</v>
      </c>
      <c r="J35" s="26">
        <f>SUM(H28+H29+H30+H31+H32+H33+H34+H35)-I35</f>
        <v>6235275.6800000668</v>
      </c>
      <c r="K35" s="64">
        <f t="shared" si="0"/>
        <v>502318749.14000005</v>
      </c>
      <c r="L35" s="32">
        <f>L28*8</f>
        <v>4355586666.666667</v>
      </c>
      <c r="M35" s="26">
        <f>SUM(K28+K29+K30+K31+K32+K33+K34+K35)-L35</f>
        <v>-51400868.886667252</v>
      </c>
      <c r="N35" s="62">
        <f>M35/L40</f>
        <v>-7.867423735748915E-3</v>
      </c>
    </row>
    <row r="36" spans="1:14" ht="12.75" customHeight="1" x14ac:dyDescent="0.25">
      <c r="A36" s="58" t="s">
        <v>55</v>
      </c>
      <c r="B36" s="31">
        <f>11083771.46+4773542.66</f>
        <v>15857314.120000001</v>
      </c>
      <c r="C36" s="32">
        <f>C28*9</f>
        <v>109487250</v>
      </c>
      <c r="D36" s="26">
        <f>SUM(B28+B29+B30+B31+B32+B33+B34+B35+B36)-C36</f>
        <v>1457160.150000006</v>
      </c>
      <c r="E36" s="63">
        <f>204785616.62</f>
        <v>204785616.62</v>
      </c>
      <c r="F36" s="32">
        <f>F28*9</f>
        <v>1161018750</v>
      </c>
      <c r="G36" s="26">
        <f>SUM(E28+E29+E30+E31+E32+E33+E34+E35+E36)-F36</f>
        <v>31297931.119999886</v>
      </c>
      <c r="H36" s="65">
        <f>163038523.61</f>
        <v>163038523.61000001</v>
      </c>
      <c r="I36" s="32">
        <f>I28*9</f>
        <v>2386176750</v>
      </c>
      <c r="J36" s="26">
        <f>SUM(H28+H29+H30+H31+H32+H33+H34+H35+H36)-I36</f>
        <v>-95856950.710000038</v>
      </c>
      <c r="K36" s="64">
        <f t="shared" si="0"/>
        <v>526323199.38</v>
      </c>
      <c r="L36" s="32">
        <f>L28*9</f>
        <v>4900035000</v>
      </c>
      <c r="M36" s="26">
        <f>SUM(K28+K29+K30+K31+K32+K33+K34+K35+K36)-L36</f>
        <v>-69526002.840000153</v>
      </c>
      <c r="N36" s="62">
        <f>M36/L40</f>
        <v>-1.0641659116720619E-2</v>
      </c>
    </row>
    <row r="37" spans="1:14" s="29" customFormat="1" ht="12.75" customHeight="1" x14ac:dyDescent="0.2">
      <c r="A37" s="58" t="s">
        <v>56</v>
      </c>
      <c r="B37" s="31">
        <f>7883727.56+5273887.46</f>
        <v>13157615.02</v>
      </c>
      <c r="C37" s="32">
        <f>C28*10</f>
        <v>121652500</v>
      </c>
      <c r="D37" s="26">
        <f>SUM(B28+B29+B30+B31+B32+B33+B34+B35+B36+B37)-C37</f>
        <v>2449525.1700000018</v>
      </c>
      <c r="E37" s="59">
        <f>39098160.24+39539865.61</f>
        <v>78638025.849999994</v>
      </c>
      <c r="F37" s="32">
        <f>F28*10</f>
        <v>1290020833.3333333</v>
      </c>
      <c r="G37" s="26">
        <f>SUM(E28+E29+E30+E31+E32+E33+E34+E35+E36+E37)-F37</f>
        <v>-19066126.363333464</v>
      </c>
      <c r="H37" s="65">
        <f>246333627.85+19021183.96</f>
        <v>265354811.81</v>
      </c>
      <c r="I37" s="32">
        <f>I28*10</f>
        <v>2651307500</v>
      </c>
      <c r="J37" s="26">
        <f>SUM(H28+H29+H30+H31+H32+H33+H34+H35+H36+H37)-I37</f>
        <v>-95632888.900000095</v>
      </c>
      <c r="K37" s="64">
        <f t="shared" si="0"/>
        <v>490549020.81999999</v>
      </c>
      <c r="L37" s="32">
        <f>L28*10</f>
        <v>5444483333.333334</v>
      </c>
      <c r="M37" s="26">
        <f>SUM(K28+K29+K30+K31+K32+K33+K34+K35+K36+K37)-L37</f>
        <v>-123425315.35333443</v>
      </c>
      <c r="N37" s="62">
        <f>M37/L40</f>
        <v>-1.8891494961770849E-2</v>
      </c>
    </row>
    <row r="38" spans="1:14" ht="12.75" customHeight="1" x14ac:dyDescent="0.25">
      <c r="A38" s="58" t="s">
        <v>57</v>
      </c>
      <c r="B38" s="31">
        <f>7270108.23+4931611.98</f>
        <v>12201720.210000001</v>
      </c>
      <c r="C38" s="32">
        <f>C28*11</f>
        <v>133817750</v>
      </c>
      <c r="D38" s="26">
        <f>SUM(B28+B29+B30+B31+B32+B33+B34+B35+B36+B37+B38)-C38</f>
        <v>2485995.3799999952</v>
      </c>
      <c r="E38" s="59">
        <f>12297531.27+3926894.73</f>
        <v>16224426</v>
      </c>
      <c r="F38" s="32">
        <f>F28*11</f>
        <v>1419022916.6666665</v>
      </c>
      <c r="G38" s="26">
        <f>SUM(E28+E29+E30+E31+E32+E33+E34+E35+E36+E37+E38)-F38</f>
        <v>-131843783.69666672</v>
      </c>
      <c r="H38" s="65">
        <f>327901389.77+15028994.89</f>
        <v>342930384.65999997</v>
      </c>
      <c r="I38" s="32">
        <f>I28*11</f>
        <v>2916438250</v>
      </c>
      <c r="J38" s="26">
        <f>SUM(H28+H29+H30+H31+H32+H33+H34+H35+H36+H37+H38)-I38</f>
        <v>-17833254.240000248</v>
      </c>
      <c r="K38" s="64">
        <f t="shared" si="0"/>
        <v>528418700.12</v>
      </c>
      <c r="L38" s="32">
        <f>L28*11</f>
        <v>5988931666.666667</v>
      </c>
      <c r="M38" s="26">
        <f>SUM(K28+K29+K30+K31+K32+K33+K34+K35+K36+K37+K38)-L38</f>
        <v>-139454948.56666756</v>
      </c>
      <c r="N38" s="62">
        <f>M38/L40</f>
        <v>-2.1344992724541899E-2</v>
      </c>
    </row>
    <row r="39" spans="1:14" ht="12.75" customHeight="1" thickBot="1" x14ac:dyDescent="0.3">
      <c r="A39" s="66" t="s">
        <v>58</v>
      </c>
      <c r="B39" s="67">
        <f>5015387.3+5831332</f>
        <v>10846719.300000001</v>
      </c>
      <c r="C39" s="36">
        <f>C28*12</f>
        <v>145983000</v>
      </c>
      <c r="D39" s="26">
        <f>SUM(B28+B29+B30+B31+B32+B33+B34+B35+B36+B37+B38+B39)-C39</f>
        <v>1167464.6800000072</v>
      </c>
      <c r="E39" s="68">
        <f>279558303.85</f>
        <v>279558303.85000002</v>
      </c>
      <c r="F39" s="36">
        <f>F28*12</f>
        <v>1548025000</v>
      </c>
      <c r="G39" s="69">
        <f>SUM(E28+E29+E30+E31+E32+E33+E34+E35+E36+E37+E38+E39)-F39</f>
        <v>18712436.819999695</v>
      </c>
      <c r="H39" s="70">
        <f>251114810.26+27684278.8</f>
        <v>278799089.06</v>
      </c>
      <c r="I39" s="36">
        <f>I28*12</f>
        <v>3181569000</v>
      </c>
      <c r="J39" s="26">
        <f>SUM(H28+H29+H30+H31+H32+H33+H34+H35+H36+H37+H38+H39)-I39</f>
        <v>-4164915.1800003052</v>
      </c>
      <c r="K39" s="71">
        <f t="shared" si="0"/>
        <v>754432252.75999999</v>
      </c>
      <c r="L39" s="72">
        <f>L28*12</f>
        <v>6533380000</v>
      </c>
      <c r="M39" s="73">
        <f>SUM(K28+K29+K30+K31+K32+K33+K34+K35+K36+K37+K38+K39)-L39</f>
        <v>70528970.859999657</v>
      </c>
      <c r="N39" s="62">
        <f>M39/L40</f>
        <v>1.07951735334543E-2</v>
      </c>
    </row>
    <row r="40" spans="1:14" ht="12.75" customHeight="1" thickBot="1" x14ac:dyDescent="0.3">
      <c r="A40" s="38" t="s">
        <v>3</v>
      </c>
      <c r="B40" s="39">
        <f>SUM(B28:B39)</f>
        <v>147150464.68000001</v>
      </c>
      <c r="C40" s="40">
        <f>152689000-6706000</f>
        <v>145983000</v>
      </c>
      <c r="D40" s="74"/>
      <c r="E40" s="75">
        <f>SUM(E28:E39)</f>
        <v>1566737436.8199997</v>
      </c>
      <c r="F40" s="76">
        <f>1519014000+29011000</f>
        <v>1548025000</v>
      </c>
      <c r="G40" s="77"/>
      <c r="H40" s="39">
        <f>SUM(H28:H39)</f>
        <v>3177404084.8199997</v>
      </c>
      <c r="I40" s="40">
        <f>2896575000+284994000</f>
        <v>3181569000</v>
      </c>
      <c r="J40" s="78"/>
      <c r="K40" s="79">
        <f t="shared" si="0"/>
        <v>6603908970.8599997</v>
      </c>
      <c r="L40" s="80">
        <f>SUM(F20+I20+L20+O20+F40+I40+C20+C40)</f>
        <v>6533380000</v>
      </c>
      <c r="M40" s="81"/>
      <c r="N40" s="82"/>
    </row>
    <row r="41" spans="1:14" x14ac:dyDescent="0.25">
      <c r="A41" s="47"/>
      <c r="B41" s="20"/>
      <c r="C41" s="20"/>
      <c r="D41" s="20"/>
      <c r="E41" s="20"/>
      <c r="F41" s="20"/>
      <c r="G41" s="20"/>
      <c r="H41" s="21"/>
      <c r="I41" s="20"/>
      <c r="J41" s="20"/>
      <c r="K41" s="20"/>
      <c r="L41" s="20"/>
      <c r="M41" s="20"/>
    </row>
    <row r="42" spans="1:14" x14ac:dyDescent="0.25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</row>
    <row r="43" spans="1:14" x14ac:dyDescent="0.25">
      <c r="K43" s="83"/>
      <c r="L43" s="84"/>
    </row>
    <row r="44" spans="1:14" x14ac:dyDescent="0.25">
      <c r="K44" s="83"/>
    </row>
    <row r="45" spans="1:14" x14ac:dyDescent="0.25">
      <c r="K45" s="83"/>
    </row>
    <row r="46" spans="1:14" x14ac:dyDescent="0.25">
      <c r="K46" s="83"/>
    </row>
    <row r="48" spans="1:14" x14ac:dyDescent="0.25">
      <c r="K48" s="85"/>
    </row>
  </sheetData>
  <mergeCells count="38">
    <mergeCell ref="A1:M1"/>
    <mergeCell ref="A2:M2"/>
    <mergeCell ref="A4:A7"/>
    <mergeCell ref="B4:D5"/>
    <mergeCell ref="E4:G5"/>
    <mergeCell ref="H4:J5"/>
    <mergeCell ref="K4:M5"/>
    <mergeCell ref="B6:B7"/>
    <mergeCell ref="C6:C7"/>
    <mergeCell ref="D6:D7"/>
    <mergeCell ref="K6:K7"/>
    <mergeCell ref="L6:L7"/>
    <mergeCell ref="M6:M7"/>
    <mergeCell ref="E6:E7"/>
    <mergeCell ref="F6:F7"/>
    <mergeCell ref="G6:G7"/>
    <mergeCell ref="B24:D25"/>
    <mergeCell ref="E24:G25"/>
    <mergeCell ref="H24:J25"/>
    <mergeCell ref="K24:M25"/>
    <mergeCell ref="B26:B27"/>
    <mergeCell ref="C26:C27"/>
    <mergeCell ref="N26:N27"/>
    <mergeCell ref="H6:H7"/>
    <mergeCell ref="I6:I7"/>
    <mergeCell ref="J6:J7"/>
    <mergeCell ref="A42:M42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A24:A2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showGridLines="0" view="pageBreakPreview" zoomScaleNormal="100" zoomScaleSheetLayoutView="100" workbookViewId="0">
      <selection activeCell="J24" sqref="J24"/>
    </sheetView>
  </sheetViews>
  <sheetFormatPr defaultRowHeight="12.75" x14ac:dyDescent="0.2"/>
  <cols>
    <col min="1" max="1" width="3.7109375" style="87" customWidth="1"/>
    <col min="2" max="8" width="9.140625" style="87"/>
    <col min="9" max="9" width="9.140625" style="87" customWidth="1"/>
    <col min="10" max="19" width="9.140625" style="87"/>
    <col min="20" max="20" width="3.7109375" style="87" customWidth="1"/>
    <col min="21" max="16384" width="9.140625" style="87"/>
  </cols>
  <sheetData>
    <row r="1" spans="1:19" ht="26.25" x14ac:dyDescent="0.4">
      <c r="A1" s="86"/>
      <c r="B1" s="210" t="s">
        <v>67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1"/>
      <c r="S1" s="211"/>
    </row>
    <row r="2" spans="1:19" ht="12.75" customHeight="1" x14ac:dyDescent="0.25">
      <c r="A2" s="88"/>
    </row>
    <row r="19" spans="9:12" x14ac:dyDescent="0.2">
      <c r="I19" s="87">
        <v>14680000</v>
      </c>
      <c r="L19" s="87">
        <f>36322000+5077000</f>
        <v>41399000</v>
      </c>
    </row>
    <row r="38" spans="1:19" x14ac:dyDescent="0.2">
      <c r="K38" s="89"/>
      <c r="L38" s="90"/>
      <c r="M38" s="90"/>
      <c r="N38" s="90"/>
      <c r="O38" s="90"/>
      <c r="P38" s="90"/>
    </row>
    <row r="39" spans="1:19" x14ac:dyDescent="0.2">
      <c r="K39" s="89"/>
      <c r="L39" s="90"/>
      <c r="M39" s="90"/>
      <c r="N39" s="90"/>
      <c r="O39" s="90"/>
      <c r="P39" s="90"/>
    </row>
    <row r="44" spans="1:19" x14ac:dyDescent="0.2">
      <c r="K44" s="91"/>
      <c r="L44" s="92"/>
      <c r="M44" s="92"/>
      <c r="N44" s="92"/>
      <c r="O44" s="92"/>
      <c r="P44" s="92"/>
      <c r="Q44" s="92"/>
      <c r="R44" s="92"/>
      <c r="S44" s="92"/>
    </row>
    <row r="45" spans="1:19" x14ac:dyDescent="0.2">
      <c r="K45" s="91" t="s">
        <v>68</v>
      </c>
      <c r="L45" s="92"/>
      <c r="M45" s="92"/>
      <c r="N45" s="92"/>
      <c r="O45" s="92"/>
      <c r="P45" s="92"/>
      <c r="Q45" s="92"/>
      <c r="R45" s="92"/>
      <c r="S45" s="92"/>
    </row>
    <row r="46" spans="1:19" x14ac:dyDescent="0.2">
      <c r="L46" s="92"/>
      <c r="M46" s="92"/>
      <c r="N46" s="92"/>
      <c r="O46" s="92"/>
      <c r="P46" s="92"/>
      <c r="Q46" s="92"/>
      <c r="R46" s="92"/>
      <c r="S46" s="92"/>
    </row>
    <row r="47" spans="1:19" ht="26.25" x14ac:dyDescent="0.4">
      <c r="A47" s="86"/>
      <c r="B47" s="210" t="s">
        <v>69</v>
      </c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</row>
    <row r="69" spans="11:19" x14ac:dyDescent="0.2">
      <c r="K69" s="212" t="s">
        <v>74</v>
      </c>
      <c r="L69" s="213"/>
      <c r="M69" s="213"/>
      <c r="N69" s="213"/>
      <c r="O69" s="213"/>
      <c r="P69" s="213"/>
      <c r="Q69" s="213"/>
      <c r="R69" s="213"/>
      <c r="S69" s="213"/>
    </row>
  </sheetData>
  <mergeCells count="3">
    <mergeCell ref="B1:S1"/>
    <mergeCell ref="B47:S47"/>
    <mergeCell ref="K69:S69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75" fitToHeight="2" orientation="landscape" r:id="rId1"/>
  <headerFooter alignWithMargins="0"/>
  <rowBreaks count="1" manualBreakCount="1">
    <brk id="46" max="1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topLeftCell="A8" zoomScale="120" zoomScaleNormal="120" workbookViewId="0">
      <selection activeCell="K40" sqref="K40"/>
    </sheetView>
  </sheetViews>
  <sheetFormatPr defaultRowHeight="12.75" x14ac:dyDescent="0.2"/>
  <cols>
    <col min="1" max="1" width="8.7109375" style="93" customWidth="1"/>
    <col min="2" max="13" width="12.7109375" style="93" customWidth="1"/>
    <col min="14" max="14" width="10.28515625" style="93" customWidth="1"/>
    <col min="15" max="15" width="9.7109375" style="93" customWidth="1"/>
    <col min="16" max="16" width="12.42578125" style="93" customWidth="1"/>
    <col min="17" max="18" width="9.7109375" style="93" customWidth="1"/>
    <col min="19" max="19" width="11" style="93" customWidth="1"/>
    <col min="20" max="16384" width="9.140625" style="93"/>
  </cols>
  <sheetData>
    <row r="1" spans="1:14" ht="20.25" x14ac:dyDescent="0.3">
      <c r="A1" s="246" t="s">
        <v>70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4" ht="20.25" x14ac:dyDescent="0.3">
      <c r="A2" s="248" t="s">
        <v>34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</row>
    <row r="3" spans="1:14" ht="13.5" thickBot="1" x14ac:dyDescent="0.25">
      <c r="B3" s="94"/>
      <c r="C3" s="95"/>
      <c r="D3" s="96"/>
      <c r="E3" s="96"/>
      <c r="F3" s="96"/>
      <c r="G3" s="97"/>
      <c r="H3" s="98"/>
      <c r="I3" s="98"/>
      <c r="J3" s="98"/>
      <c r="K3" s="99"/>
      <c r="L3" s="99"/>
      <c r="M3" s="100" t="s">
        <v>71</v>
      </c>
      <c r="N3" s="101"/>
    </row>
    <row r="4" spans="1:14" ht="12.75" customHeight="1" x14ac:dyDescent="0.2">
      <c r="A4" s="228" t="s">
        <v>36</v>
      </c>
      <c r="B4" s="206" t="s">
        <v>37</v>
      </c>
      <c r="C4" s="189"/>
      <c r="D4" s="190"/>
      <c r="E4" s="207" t="s">
        <v>38</v>
      </c>
      <c r="F4" s="189"/>
      <c r="G4" s="190"/>
      <c r="H4" s="208" t="s">
        <v>39</v>
      </c>
      <c r="I4" s="189"/>
      <c r="J4" s="190"/>
      <c r="K4" s="209" t="s">
        <v>40</v>
      </c>
      <c r="L4" s="189"/>
      <c r="M4" s="190"/>
      <c r="N4" s="101"/>
    </row>
    <row r="5" spans="1:14" ht="13.5" thickBot="1" x14ac:dyDescent="0.25">
      <c r="A5" s="229"/>
      <c r="B5" s="191"/>
      <c r="C5" s="192"/>
      <c r="D5" s="193"/>
      <c r="E5" s="191"/>
      <c r="F5" s="192"/>
      <c r="G5" s="193"/>
      <c r="H5" s="191"/>
      <c r="I5" s="192"/>
      <c r="J5" s="193"/>
      <c r="K5" s="191"/>
      <c r="L5" s="192"/>
      <c r="M5" s="193"/>
      <c r="N5" s="102"/>
    </row>
    <row r="6" spans="1:14" x14ac:dyDescent="0.2">
      <c r="A6" s="229"/>
      <c r="B6" s="245" t="s">
        <v>41</v>
      </c>
      <c r="C6" s="218" t="s">
        <v>42</v>
      </c>
      <c r="D6" s="220" t="s">
        <v>43</v>
      </c>
      <c r="E6" s="245" t="s">
        <v>44</v>
      </c>
      <c r="F6" s="218" t="s">
        <v>42</v>
      </c>
      <c r="G6" s="220" t="s">
        <v>43</v>
      </c>
      <c r="H6" s="216" t="s">
        <v>45</v>
      </c>
      <c r="I6" s="218" t="s">
        <v>42</v>
      </c>
      <c r="J6" s="220" t="s">
        <v>43</v>
      </c>
      <c r="K6" s="245" t="s">
        <v>46</v>
      </c>
      <c r="L6" s="218" t="s">
        <v>42</v>
      </c>
      <c r="M6" s="220" t="s">
        <v>43</v>
      </c>
      <c r="N6" s="103"/>
    </row>
    <row r="7" spans="1:14" ht="13.5" thickBot="1" x14ac:dyDescent="0.25">
      <c r="A7" s="230"/>
      <c r="B7" s="217"/>
      <c r="C7" s="219"/>
      <c r="D7" s="221"/>
      <c r="E7" s="217"/>
      <c r="F7" s="219"/>
      <c r="G7" s="221"/>
      <c r="H7" s="217"/>
      <c r="I7" s="219"/>
      <c r="J7" s="221"/>
      <c r="K7" s="217"/>
      <c r="L7" s="219"/>
      <c r="M7" s="221"/>
    </row>
    <row r="8" spans="1:14" s="110" customFormat="1" x14ac:dyDescent="0.2">
      <c r="A8" s="104" t="s">
        <v>47</v>
      </c>
      <c r="B8" s="105">
        <f>55117676.21+76110643.91</f>
        <v>131228320.12</v>
      </c>
      <c r="C8" s="106">
        <f>C20/12</f>
        <v>125019750</v>
      </c>
      <c r="D8" s="107">
        <f>B8-C8</f>
        <v>6208570.1200000048</v>
      </c>
      <c r="E8" s="108">
        <f>3687603.08+5092775.77</f>
        <v>8780378.8499999996</v>
      </c>
      <c r="F8" s="106">
        <f>F20/12</f>
        <v>8457250</v>
      </c>
      <c r="G8" s="107">
        <f>E8-F8</f>
        <v>323128.84999999963</v>
      </c>
      <c r="H8" s="108">
        <f>14680372.84+312.02</f>
        <v>14680684.859999999</v>
      </c>
      <c r="I8" s="106">
        <f>I20/12</f>
        <v>1223333.3333333333</v>
      </c>
      <c r="J8" s="109">
        <f>H8-I8</f>
        <v>13457351.526666665</v>
      </c>
      <c r="K8" s="108">
        <f>3160549.16+679291.39</f>
        <v>3839840.5500000003</v>
      </c>
      <c r="L8" s="106">
        <f>L20/12</f>
        <v>3449916.6666666665</v>
      </c>
      <c r="M8" s="109">
        <f>K8-L8</f>
        <v>389923.88333333377</v>
      </c>
    </row>
    <row r="9" spans="1:14" s="110" customFormat="1" x14ac:dyDescent="0.2">
      <c r="A9" s="111" t="s">
        <v>48</v>
      </c>
      <c r="B9" s="112">
        <f>61023307.32+72092279.03+B8</f>
        <v>264343906.47</v>
      </c>
      <c r="C9" s="113">
        <f>C8*2</f>
        <v>250039500</v>
      </c>
      <c r="D9" s="107">
        <f>B9-C9</f>
        <v>14304406.469999999</v>
      </c>
      <c r="E9" s="105">
        <f>4082714.46+4823274.99+E8</f>
        <v>17686368.299999997</v>
      </c>
      <c r="F9" s="113">
        <f>F8*2</f>
        <v>16914500</v>
      </c>
      <c r="G9" s="107">
        <f>E9-F9</f>
        <v>771868.29999999702</v>
      </c>
      <c r="H9" s="105">
        <f t="shared" ref="H9:H20" si="0">H8</f>
        <v>14680684.859999999</v>
      </c>
      <c r="I9" s="113">
        <f>I8*2</f>
        <v>2446666.6666666665</v>
      </c>
      <c r="J9" s="107">
        <f>H9-I9</f>
        <v>12234018.193333333</v>
      </c>
      <c r="K9" s="112">
        <f>695505.98+1023431.07+K8</f>
        <v>5558777.5999999996</v>
      </c>
      <c r="L9" s="113">
        <f>L8*2</f>
        <v>6899833.333333333</v>
      </c>
      <c r="M9" s="107">
        <f>K9-L9</f>
        <v>-1341055.7333333334</v>
      </c>
    </row>
    <row r="10" spans="1:14" s="110" customFormat="1" x14ac:dyDescent="0.2">
      <c r="A10" s="111" t="s">
        <v>49</v>
      </c>
      <c r="B10" s="112">
        <f>46789518.35+60805695.94+B9</f>
        <v>371939120.75999999</v>
      </c>
      <c r="C10" s="113">
        <f>C8*3</f>
        <v>375059250</v>
      </c>
      <c r="D10" s="107">
        <f t="shared" ref="D10:D19" si="1">B10-C10</f>
        <v>-3120129.2400000095</v>
      </c>
      <c r="E10" s="105">
        <f>3130414.46+4070582.58+E9</f>
        <v>24887365.339999996</v>
      </c>
      <c r="F10" s="114">
        <f>F8*3</f>
        <v>25371750</v>
      </c>
      <c r="G10" s="107">
        <f t="shared" ref="G10:G19" si="2">E10-F10</f>
        <v>-484384.66000000387</v>
      </c>
      <c r="H10" s="105">
        <f t="shared" si="0"/>
        <v>14680684.859999999</v>
      </c>
      <c r="I10" s="114">
        <f>I8*3</f>
        <v>3670000</v>
      </c>
      <c r="J10" s="107">
        <f t="shared" ref="J10:J19" si="3">H10-I10</f>
        <v>11010684.859999999</v>
      </c>
      <c r="K10" s="112">
        <f>1775601.55+2488482.18+K9</f>
        <v>9822861.3300000001</v>
      </c>
      <c r="L10" s="114">
        <f>L8*3</f>
        <v>10349750</v>
      </c>
      <c r="M10" s="107">
        <f t="shared" ref="M10:M19" si="4">K10-L10</f>
        <v>-526888.66999999993</v>
      </c>
    </row>
    <row r="11" spans="1:14" s="110" customFormat="1" x14ac:dyDescent="0.2">
      <c r="A11" s="111" t="s">
        <v>50</v>
      </c>
      <c r="B11" s="112">
        <f>38598074.26+56255993.61+B10</f>
        <v>466793188.63</v>
      </c>
      <c r="C11" s="113">
        <f>C8*4</f>
        <v>500079000</v>
      </c>
      <c r="D11" s="107">
        <f t="shared" si="1"/>
        <v>-33285811.370000005</v>
      </c>
      <c r="E11" s="105">
        <f>2582372.61+3763761.25+E10</f>
        <v>31233499.199999996</v>
      </c>
      <c r="F11" s="113">
        <f>F8*4</f>
        <v>33829000</v>
      </c>
      <c r="G11" s="107">
        <f t="shared" si="2"/>
        <v>-2595500.8000000045</v>
      </c>
      <c r="H11" s="105">
        <f t="shared" si="0"/>
        <v>14680684.859999999</v>
      </c>
      <c r="I11" s="113">
        <f>I8*4</f>
        <v>4893333.333333333</v>
      </c>
      <c r="J11" s="107">
        <f t="shared" si="3"/>
        <v>9787351.5266666673</v>
      </c>
      <c r="K11" s="112">
        <f t="shared" ref="K11:K20" si="5">K10</f>
        <v>9822861.3300000001</v>
      </c>
      <c r="L11" s="113">
        <f>L8*4</f>
        <v>13799666.666666666</v>
      </c>
      <c r="M11" s="107">
        <f t="shared" si="4"/>
        <v>-3976805.336666666</v>
      </c>
    </row>
    <row r="12" spans="1:14" s="110" customFormat="1" x14ac:dyDescent="0.2">
      <c r="A12" s="111" t="s">
        <v>51</v>
      </c>
      <c r="B12" s="112">
        <f>39275881.04+77943820.28+B11</f>
        <v>584012889.95000005</v>
      </c>
      <c r="C12" s="113">
        <f>C8*5</f>
        <v>625098750</v>
      </c>
      <c r="D12" s="107">
        <f t="shared" si="1"/>
        <v>-41085860.049999952</v>
      </c>
      <c r="E12" s="105">
        <f>2627720.75+5214767.58+E11</f>
        <v>39075987.529999994</v>
      </c>
      <c r="F12" s="113">
        <f>F8*5</f>
        <v>42286250</v>
      </c>
      <c r="G12" s="107">
        <f t="shared" si="2"/>
        <v>-3210262.4700000063</v>
      </c>
      <c r="H12" s="105">
        <f t="shared" si="0"/>
        <v>14680684.859999999</v>
      </c>
      <c r="I12" s="113">
        <f>I8*5</f>
        <v>6116666.666666666</v>
      </c>
      <c r="J12" s="107">
        <f t="shared" si="3"/>
        <v>8564018.1933333334</v>
      </c>
      <c r="K12" s="112">
        <f t="shared" si="5"/>
        <v>9822861.3300000001</v>
      </c>
      <c r="L12" s="113">
        <f>L8*5</f>
        <v>17249583.333333332</v>
      </c>
      <c r="M12" s="107">
        <f t="shared" si="4"/>
        <v>-7426722.003333332</v>
      </c>
    </row>
    <row r="13" spans="1:14" x14ac:dyDescent="0.2">
      <c r="A13" s="111" t="s">
        <v>52</v>
      </c>
      <c r="B13" s="112">
        <f>55210692.85+83874911+B12</f>
        <v>723098493.80000007</v>
      </c>
      <c r="C13" s="113">
        <f>C8*6</f>
        <v>750118500</v>
      </c>
      <c r="D13" s="107">
        <f t="shared" si="1"/>
        <v>-27020006.199999928</v>
      </c>
      <c r="E13" s="105">
        <f>3693826.27+5611582.35+E12</f>
        <v>48381396.149999991</v>
      </c>
      <c r="F13" s="113">
        <f>F8*6</f>
        <v>50743500</v>
      </c>
      <c r="G13" s="107">
        <f t="shared" si="2"/>
        <v>-2362103.8500000089</v>
      </c>
      <c r="H13" s="105">
        <f t="shared" si="0"/>
        <v>14680684.859999999</v>
      </c>
      <c r="I13" s="113">
        <f>I8*6</f>
        <v>7340000</v>
      </c>
      <c r="J13" s="107">
        <f t="shared" si="3"/>
        <v>7340684.8599999994</v>
      </c>
      <c r="K13" s="112">
        <f t="shared" si="5"/>
        <v>9822861.3300000001</v>
      </c>
      <c r="L13" s="113">
        <f>L8*6</f>
        <v>20699500</v>
      </c>
      <c r="M13" s="107">
        <f t="shared" si="4"/>
        <v>-10876638.67</v>
      </c>
    </row>
    <row r="14" spans="1:14" x14ac:dyDescent="0.2">
      <c r="A14" s="111" t="s">
        <v>53</v>
      </c>
      <c r="B14" s="112">
        <f>53312297.79+81830419.86+B13</f>
        <v>858241211.45000005</v>
      </c>
      <c r="C14" s="113">
        <f>C8*7</f>
        <v>875138250</v>
      </c>
      <c r="D14" s="107">
        <f t="shared" si="1"/>
        <v>-16897038.549999952</v>
      </c>
      <c r="E14" s="105">
        <f>3566815.71+5474797.34+E13</f>
        <v>57423009.199999988</v>
      </c>
      <c r="F14" s="113">
        <f>F8*7</f>
        <v>59200750</v>
      </c>
      <c r="G14" s="107">
        <f t="shared" si="2"/>
        <v>-1777740.8000000119</v>
      </c>
      <c r="H14" s="105">
        <f t="shared" si="0"/>
        <v>14680684.859999999</v>
      </c>
      <c r="I14" s="113">
        <f>I8*7</f>
        <v>8563333.3333333321</v>
      </c>
      <c r="J14" s="107">
        <f t="shared" si="3"/>
        <v>6117351.5266666673</v>
      </c>
      <c r="K14" s="112">
        <f>827738.47+6406320.74+K13</f>
        <v>17056920.539999999</v>
      </c>
      <c r="L14" s="113">
        <f>L8*7</f>
        <v>24149416.666666664</v>
      </c>
      <c r="M14" s="107">
        <f t="shared" si="4"/>
        <v>-7092496.1266666651</v>
      </c>
    </row>
    <row r="15" spans="1:14" x14ac:dyDescent="0.2">
      <c r="A15" s="111" t="s">
        <v>54</v>
      </c>
      <c r="B15" s="112">
        <f>55345403.31+82328192.78+B14</f>
        <v>995914807.54000008</v>
      </c>
      <c r="C15" s="113">
        <f>C8*8</f>
        <v>1000158000</v>
      </c>
      <c r="D15" s="107">
        <f t="shared" si="1"/>
        <v>-4243192.4599999189</v>
      </c>
      <c r="E15" s="105">
        <f>3702838.98+5508100.45+E14</f>
        <v>66633948.629999988</v>
      </c>
      <c r="F15" s="113">
        <f>F8*8</f>
        <v>67658000</v>
      </c>
      <c r="G15" s="107">
        <f t="shared" si="2"/>
        <v>-1024051.3700000122</v>
      </c>
      <c r="H15" s="105">
        <f t="shared" si="0"/>
        <v>14680684.859999999</v>
      </c>
      <c r="I15" s="113">
        <f>I8*8</f>
        <v>9786666.666666666</v>
      </c>
      <c r="J15" s="107">
        <f t="shared" si="3"/>
        <v>4894018.1933333334</v>
      </c>
      <c r="K15" s="112">
        <f t="shared" si="5"/>
        <v>17056920.539999999</v>
      </c>
      <c r="L15" s="113">
        <f>L8*8</f>
        <v>27599333.333333332</v>
      </c>
      <c r="M15" s="107">
        <f t="shared" si="4"/>
        <v>-10542412.793333333</v>
      </c>
    </row>
    <row r="16" spans="1:14" x14ac:dyDescent="0.2">
      <c r="A16" s="111" t="s">
        <v>55</v>
      </c>
      <c r="B16" s="112">
        <f>51717304.36+75028043.9+B15</f>
        <v>1122660155.8000002</v>
      </c>
      <c r="C16" s="113">
        <f>C8*9</f>
        <v>1125177750</v>
      </c>
      <c r="D16" s="107">
        <f t="shared" si="1"/>
        <v>-2517594.1999998093</v>
      </c>
      <c r="E16" s="105">
        <f>3460103.98+6322715.54+E15</f>
        <v>76416768.149999991</v>
      </c>
      <c r="F16" s="113">
        <f>F8*9</f>
        <v>76115250</v>
      </c>
      <c r="G16" s="107">
        <f t="shared" si="2"/>
        <v>301518.14999999106</v>
      </c>
      <c r="H16" s="105">
        <f t="shared" si="0"/>
        <v>14680684.859999999</v>
      </c>
      <c r="I16" s="113">
        <f>I8*9</f>
        <v>11010000</v>
      </c>
      <c r="J16" s="107">
        <f t="shared" si="3"/>
        <v>3670684.8599999994</v>
      </c>
      <c r="K16" s="112">
        <f>6113577.25+K15</f>
        <v>23170497.789999999</v>
      </c>
      <c r="L16" s="113">
        <f>L8*9</f>
        <v>31049250</v>
      </c>
      <c r="M16" s="107">
        <f t="shared" si="4"/>
        <v>-7878752.2100000009</v>
      </c>
    </row>
    <row r="17" spans="1:14" s="110" customFormat="1" x14ac:dyDescent="0.2">
      <c r="A17" s="111" t="s">
        <v>56</v>
      </c>
      <c r="B17" s="112">
        <f>47197799.11+75020541.72+B16</f>
        <v>1244878496.6300001</v>
      </c>
      <c r="C17" s="113">
        <f>C8*10</f>
        <v>1250197500</v>
      </c>
      <c r="D17" s="107">
        <f t="shared" si="1"/>
        <v>-5319003.3699998856</v>
      </c>
      <c r="E17" s="105">
        <f>3215336.57+5110753+E16</f>
        <v>84742857.719999999</v>
      </c>
      <c r="F17" s="113">
        <f>F8*10</f>
        <v>84572500</v>
      </c>
      <c r="G17" s="107">
        <f t="shared" si="2"/>
        <v>170357.71999999881</v>
      </c>
      <c r="H17" s="105">
        <f t="shared" si="0"/>
        <v>14680684.859999999</v>
      </c>
      <c r="I17" s="113">
        <f>I8*10</f>
        <v>12233333.333333332</v>
      </c>
      <c r="J17" s="107">
        <f t="shared" si="3"/>
        <v>2447351.5266666673</v>
      </c>
      <c r="K17" s="112">
        <f>2046537.11+807600.63+K16</f>
        <v>26024635.530000001</v>
      </c>
      <c r="L17" s="113">
        <f>L8*10</f>
        <v>34499166.666666664</v>
      </c>
      <c r="M17" s="107">
        <f t="shared" si="4"/>
        <v>-8474531.136666663</v>
      </c>
    </row>
    <row r="18" spans="1:14" x14ac:dyDescent="0.2">
      <c r="A18" s="111" t="s">
        <v>57</v>
      </c>
      <c r="B18" s="112">
        <f>56234287.72+88912264.64+B17</f>
        <v>1390025048.9900002</v>
      </c>
      <c r="C18" s="113">
        <f>C8*11</f>
        <v>1375217250</v>
      </c>
      <c r="D18" s="107">
        <f t="shared" si="1"/>
        <v>14807798.990000248</v>
      </c>
      <c r="E18" s="105">
        <f>3830944.78+6057122.6+E17</f>
        <v>94630925.099999994</v>
      </c>
      <c r="F18" s="113">
        <f>F8*11</f>
        <v>93029750</v>
      </c>
      <c r="G18" s="107">
        <f t="shared" si="2"/>
        <v>1601175.099999994</v>
      </c>
      <c r="H18" s="105">
        <f t="shared" si="0"/>
        <v>14680684.859999999</v>
      </c>
      <c r="I18" s="113">
        <f>I8*11</f>
        <v>13456666.666666666</v>
      </c>
      <c r="J18" s="107">
        <f t="shared" si="3"/>
        <v>1224018.1933333334</v>
      </c>
      <c r="K18" s="112">
        <f>1345328.26+682221.25+K17</f>
        <v>28052185.040000003</v>
      </c>
      <c r="L18" s="113">
        <f>L8*11</f>
        <v>37949083.333333328</v>
      </c>
      <c r="M18" s="107">
        <f t="shared" si="4"/>
        <v>-9896898.2933333255</v>
      </c>
    </row>
    <row r="19" spans="1:14" ht="13.5" thickBot="1" x14ac:dyDescent="0.25">
      <c r="A19" s="115" t="s">
        <v>58</v>
      </c>
      <c r="B19" s="116">
        <f>48020231.52+112138892.43+B18</f>
        <v>1550184172.9400003</v>
      </c>
      <c r="C19" s="117">
        <f>C8*12</f>
        <v>1500237000</v>
      </c>
      <c r="D19" s="107">
        <f t="shared" si="1"/>
        <v>49947172.940000296</v>
      </c>
      <c r="E19" s="118">
        <f>3271364.54+7639430.03+E18</f>
        <v>105541719.66999999</v>
      </c>
      <c r="F19" s="117">
        <f>F8*12</f>
        <v>101487000</v>
      </c>
      <c r="G19" s="107">
        <f t="shared" si="2"/>
        <v>4054719.6699999869</v>
      </c>
      <c r="H19" s="118">
        <f t="shared" si="0"/>
        <v>14680684.859999999</v>
      </c>
      <c r="I19" s="117">
        <f>I8*12</f>
        <v>14680000</v>
      </c>
      <c r="J19" s="107">
        <f t="shared" si="3"/>
        <v>684.85999999940395</v>
      </c>
      <c r="K19" s="116">
        <f>882498.75+13275723.28+K18</f>
        <v>42210407.07</v>
      </c>
      <c r="L19" s="117">
        <f>L8*12</f>
        <v>41399000</v>
      </c>
      <c r="M19" s="107">
        <f t="shared" si="4"/>
        <v>811407.0700000003</v>
      </c>
    </row>
    <row r="20" spans="1:14" ht="13.5" thickBot="1" x14ac:dyDescent="0.25">
      <c r="A20" s="119" t="s">
        <v>3</v>
      </c>
      <c r="B20" s="120">
        <f t="shared" ref="B20" si="6">B19</f>
        <v>1550184172.9400003</v>
      </c>
      <c r="C20" s="121">
        <f>1400297000+99940000</f>
        <v>1500237000</v>
      </c>
      <c r="D20" s="122"/>
      <c r="E20" s="120">
        <f t="shared" ref="E20" si="7">E19</f>
        <v>105541719.66999999</v>
      </c>
      <c r="F20" s="121">
        <f>94726000+6761000</f>
        <v>101487000</v>
      </c>
      <c r="G20" s="123"/>
      <c r="H20" s="120">
        <f t="shared" si="0"/>
        <v>14680684.859999999</v>
      </c>
      <c r="I20" s="121">
        <v>14680000</v>
      </c>
      <c r="J20" s="123"/>
      <c r="K20" s="120">
        <f t="shared" si="5"/>
        <v>42210407.07</v>
      </c>
      <c r="L20" s="121">
        <f>36322000+5077000</f>
        <v>41399000</v>
      </c>
      <c r="M20" s="123"/>
    </row>
    <row r="21" spans="1:14" ht="15" customHeight="1" x14ac:dyDescent="0.2">
      <c r="A21" s="102"/>
      <c r="B21" s="101"/>
      <c r="C21" s="101"/>
      <c r="D21" s="101"/>
      <c r="E21" s="101"/>
      <c r="F21" s="101"/>
      <c r="G21" s="101"/>
      <c r="H21" s="102"/>
      <c r="I21" s="101"/>
      <c r="J21" s="124"/>
      <c r="K21" s="102"/>
      <c r="L21" s="101"/>
      <c r="M21" s="102"/>
    </row>
    <row r="22" spans="1:14" ht="15" customHeight="1" x14ac:dyDescent="0.2">
      <c r="A22" s="102"/>
      <c r="B22" s="101"/>
      <c r="C22" s="101"/>
      <c r="D22" s="125"/>
      <c r="E22" s="126"/>
      <c r="F22" s="101"/>
      <c r="G22" s="101"/>
      <c r="H22" s="102"/>
      <c r="I22" s="101"/>
      <c r="J22" s="127"/>
      <c r="K22" s="102"/>
      <c r="L22" s="101"/>
      <c r="M22" s="102"/>
    </row>
    <row r="23" spans="1:14" ht="15" customHeight="1" thickBot="1" x14ac:dyDescent="0.25">
      <c r="A23" s="128"/>
      <c r="B23" s="101"/>
      <c r="C23" s="129"/>
      <c r="D23" s="101"/>
      <c r="E23" s="101"/>
      <c r="F23" s="101"/>
      <c r="G23" s="101"/>
      <c r="H23" s="103"/>
      <c r="I23" s="103"/>
      <c r="J23" s="103"/>
      <c r="K23" s="103"/>
      <c r="L23" s="103"/>
      <c r="M23" s="130" t="s">
        <v>71</v>
      </c>
    </row>
    <row r="24" spans="1:14" x14ac:dyDescent="0.2">
      <c r="A24" s="228" t="s">
        <v>36</v>
      </c>
      <c r="B24" s="231" t="s">
        <v>59</v>
      </c>
      <c r="C24" s="232"/>
      <c r="D24" s="233"/>
      <c r="E24" s="237" t="s">
        <v>60</v>
      </c>
      <c r="F24" s="238"/>
      <c r="G24" s="239"/>
      <c r="H24" s="243" t="s">
        <v>61</v>
      </c>
      <c r="I24" s="238"/>
      <c r="J24" s="239"/>
      <c r="K24" s="244" t="s">
        <v>62</v>
      </c>
      <c r="L24" s="238"/>
      <c r="M24" s="239"/>
    </row>
    <row r="25" spans="1:14" ht="13.5" thickBot="1" x14ac:dyDescent="0.25">
      <c r="A25" s="229"/>
      <c r="B25" s="234"/>
      <c r="C25" s="235"/>
      <c r="D25" s="236"/>
      <c r="E25" s="240"/>
      <c r="F25" s="241"/>
      <c r="G25" s="242"/>
      <c r="H25" s="240"/>
      <c r="I25" s="241"/>
      <c r="J25" s="242"/>
      <c r="K25" s="240"/>
      <c r="L25" s="241"/>
      <c r="M25" s="242"/>
    </row>
    <row r="26" spans="1:14" x14ac:dyDescent="0.2">
      <c r="A26" s="229"/>
      <c r="B26" s="245" t="s">
        <v>63</v>
      </c>
      <c r="C26" s="218" t="s">
        <v>42</v>
      </c>
      <c r="D26" s="220" t="s">
        <v>43</v>
      </c>
      <c r="E26" s="224" t="s">
        <v>64</v>
      </c>
      <c r="F26" s="218" t="s">
        <v>42</v>
      </c>
      <c r="G26" s="220" t="s">
        <v>43</v>
      </c>
      <c r="H26" s="224" t="s">
        <v>65</v>
      </c>
      <c r="I26" s="218" t="s">
        <v>42</v>
      </c>
      <c r="J26" s="220" t="s">
        <v>43</v>
      </c>
      <c r="K26" s="227" t="s">
        <v>3</v>
      </c>
      <c r="L26" s="218" t="s">
        <v>42</v>
      </c>
      <c r="M26" s="220" t="s">
        <v>43</v>
      </c>
      <c r="N26" s="214" t="s">
        <v>66</v>
      </c>
    </row>
    <row r="27" spans="1:14" ht="13.5" thickBot="1" x14ac:dyDescent="0.25">
      <c r="A27" s="230"/>
      <c r="B27" s="217"/>
      <c r="C27" s="219"/>
      <c r="D27" s="221"/>
      <c r="E27" s="225"/>
      <c r="F27" s="219"/>
      <c r="G27" s="221"/>
      <c r="H27" s="225"/>
      <c r="I27" s="226"/>
      <c r="J27" s="221"/>
      <c r="K27" s="217"/>
      <c r="L27" s="219"/>
      <c r="M27" s="221"/>
      <c r="N27" s="215"/>
    </row>
    <row r="28" spans="1:14" s="110" customFormat="1" x14ac:dyDescent="0.2">
      <c r="A28" s="131" t="s">
        <v>47</v>
      </c>
      <c r="B28" s="108">
        <f>7004657.94+4280967.32</f>
        <v>11285625.260000002</v>
      </c>
      <c r="C28" s="106">
        <f>C40/12</f>
        <v>12165250</v>
      </c>
      <c r="D28" s="109">
        <f>B28-C28</f>
        <v>-879624.73999999836</v>
      </c>
      <c r="E28" s="132">
        <f>33355435.75+5104038.98</f>
        <v>38459474.730000004</v>
      </c>
      <c r="F28" s="106">
        <f>F40/12</f>
        <v>129002083.33333333</v>
      </c>
      <c r="G28" s="109">
        <f>E28-F28</f>
        <v>-90542608.603333324</v>
      </c>
      <c r="H28" s="133">
        <f>261766552.27+13265576.51</f>
        <v>275032128.78000003</v>
      </c>
      <c r="I28" s="134">
        <f>I40/12</f>
        <v>265130750</v>
      </c>
      <c r="J28" s="135">
        <f>H28-I28</f>
        <v>9901378.780000031</v>
      </c>
      <c r="K28" s="136">
        <f>SUM($B8+$E8+$H8+$K8+$B28+$E28+$H28)</f>
        <v>483306453.15000004</v>
      </c>
      <c r="L28" s="134">
        <f>L40/12</f>
        <v>544448333.33333337</v>
      </c>
      <c r="M28" s="137">
        <f>K28-L28</f>
        <v>-61141880.183333337</v>
      </c>
      <c r="N28" s="138">
        <f>M28/L40</f>
        <v>-9.3583842028679386E-3</v>
      </c>
    </row>
    <row r="29" spans="1:14" s="110" customFormat="1" x14ac:dyDescent="0.2">
      <c r="A29" s="139" t="s">
        <v>48</v>
      </c>
      <c r="B29" s="112">
        <f>11221810.48+3275198.7+B28</f>
        <v>25782634.440000001</v>
      </c>
      <c r="C29" s="113">
        <f>C28*2</f>
        <v>24330500</v>
      </c>
      <c r="D29" s="107">
        <f>B29-C29</f>
        <v>1452134.4400000013</v>
      </c>
      <c r="E29" s="140">
        <f>6100605.31+7652883.35+E28</f>
        <v>52212963.390000001</v>
      </c>
      <c r="F29" s="113">
        <f>F28*2</f>
        <v>258004166.66666666</v>
      </c>
      <c r="G29" s="107">
        <f>E29-F29</f>
        <v>-205791203.27666664</v>
      </c>
      <c r="H29" s="141">
        <f>334500131.58+12730461.2+H28</f>
        <v>622262721.55999994</v>
      </c>
      <c r="I29" s="114">
        <f>I28*2</f>
        <v>530261500</v>
      </c>
      <c r="J29" s="107">
        <f>H29-I29</f>
        <v>92001221.559999943</v>
      </c>
      <c r="K29" s="142">
        <f t="shared" ref="K29:K40" si="8">SUM($B9+$E9+$H9+$K9+$B29+$E29+$H29)</f>
        <v>1002528056.6199999</v>
      </c>
      <c r="L29" s="114">
        <f>L28*2</f>
        <v>1088896666.6666667</v>
      </c>
      <c r="M29" s="107">
        <f>K29-L29</f>
        <v>-86368610.046666861</v>
      </c>
      <c r="N29" s="143">
        <f>M29/L40</f>
        <v>-1.3219590785576052E-2</v>
      </c>
    </row>
    <row r="30" spans="1:14" s="110" customFormat="1" x14ac:dyDescent="0.2">
      <c r="A30" s="139" t="s">
        <v>49</v>
      </c>
      <c r="B30" s="112">
        <f>4160334.62+3591217.82+B29</f>
        <v>33534186.880000003</v>
      </c>
      <c r="C30" s="114">
        <f>C28*3</f>
        <v>36495750</v>
      </c>
      <c r="D30" s="107">
        <f t="shared" ref="D30:D39" si="9">B30-C30</f>
        <v>-2961563.1199999973</v>
      </c>
      <c r="E30" s="144">
        <f>9230068.15+263500665.01+E29</f>
        <v>324943696.54999995</v>
      </c>
      <c r="F30" s="114">
        <f>F28*3</f>
        <v>387006250</v>
      </c>
      <c r="G30" s="107">
        <f t="shared" ref="G30:G39" si="10">E30-F30</f>
        <v>-62062553.450000048</v>
      </c>
      <c r="H30" s="141">
        <f>129275983.97+22436225.46+H29</f>
        <v>773974930.99000001</v>
      </c>
      <c r="I30" s="114">
        <f>I28*3</f>
        <v>795392250</v>
      </c>
      <c r="J30" s="107">
        <f t="shared" ref="J30:J39" si="11">H30-I30</f>
        <v>-21417319.00999999</v>
      </c>
      <c r="K30" s="145">
        <f t="shared" si="8"/>
        <v>1553782846.71</v>
      </c>
      <c r="L30" s="114">
        <f>L28*3</f>
        <v>1633345000</v>
      </c>
      <c r="M30" s="107">
        <f t="shared" ref="M30:M39" si="12">K30-L30</f>
        <v>-79562153.289999962</v>
      </c>
      <c r="N30" s="143">
        <f>M30/L40</f>
        <v>-1.2177793621372087E-2</v>
      </c>
    </row>
    <row r="31" spans="1:14" s="110" customFormat="1" x14ac:dyDescent="0.2">
      <c r="A31" s="139" t="s">
        <v>50</v>
      </c>
      <c r="B31" s="112">
        <f>4714701+4257486.26+B30</f>
        <v>42506374.140000001</v>
      </c>
      <c r="C31" s="113">
        <f>C28*4</f>
        <v>48661000</v>
      </c>
      <c r="D31" s="107">
        <f t="shared" si="9"/>
        <v>-6154625.8599999994</v>
      </c>
      <c r="E31" s="140">
        <f>66107191.36+20191663.35+E30</f>
        <v>411242551.25999999</v>
      </c>
      <c r="F31" s="113">
        <f>F28*4</f>
        <v>516008333.33333331</v>
      </c>
      <c r="G31" s="107">
        <f t="shared" si="10"/>
        <v>-104765782.07333332</v>
      </c>
      <c r="H31" s="146">
        <f>176026879.96+9793059.54+H30</f>
        <v>959794870.49000001</v>
      </c>
      <c r="I31" s="113">
        <f>I28*4</f>
        <v>1060523000</v>
      </c>
      <c r="J31" s="107">
        <f t="shared" si="11"/>
        <v>-100728129.50999999</v>
      </c>
      <c r="K31" s="145">
        <f t="shared" si="8"/>
        <v>1936074029.9099998</v>
      </c>
      <c r="L31" s="113">
        <f>L28*4</f>
        <v>2177793333.3333335</v>
      </c>
      <c r="M31" s="107">
        <f t="shared" si="12"/>
        <v>-241719303.42333364</v>
      </c>
      <c r="N31" s="143">
        <f>M31/L40</f>
        <v>-3.6997588296308136E-2</v>
      </c>
    </row>
    <row r="32" spans="1:14" s="110" customFormat="1" x14ac:dyDescent="0.2">
      <c r="A32" s="139" t="s">
        <v>51</v>
      </c>
      <c r="B32" s="112">
        <f>5793435.12+4558000.19+B31</f>
        <v>52857809.450000003</v>
      </c>
      <c r="C32" s="113">
        <f>C28*5</f>
        <v>60826250</v>
      </c>
      <c r="D32" s="107">
        <f t="shared" si="9"/>
        <v>-7968440.549999997</v>
      </c>
      <c r="E32" s="144">
        <f>935805.04+E31</f>
        <v>412178356.30000001</v>
      </c>
      <c r="F32" s="113">
        <f>F28*5</f>
        <v>645010416.66666663</v>
      </c>
      <c r="G32" s="107">
        <f t="shared" si="10"/>
        <v>-232832060.36666662</v>
      </c>
      <c r="H32" s="146">
        <f>327906228.91+22734568.05+H31</f>
        <v>1310435667.45</v>
      </c>
      <c r="I32" s="113">
        <f>I28*5</f>
        <v>1325653750</v>
      </c>
      <c r="J32" s="107">
        <f t="shared" si="11"/>
        <v>-15218082.549999952</v>
      </c>
      <c r="K32" s="145">
        <f t="shared" si="8"/>
        <v>2423064256.8699999</v>
      </c>
      <c r="L32" s="113">
        <f>L28*5</f>
        <v>2722241666.666667</v>
      </c>
      <c r="M32" s="107">
        <f t="shared" si="12"/>
        <v>-299177409.7966671</v>
      </c>
      <c r="N32" s="143">
        <f>M32/L40</f>
        <v>-4.5792133596494783E-2</v>
      </c>
    </row>
    <row r="33" spans="1:14" x14ac:dyDescent="0.2">
      <c r="A33" s="139" t="s">
        <v>52</v>
      </c>
      <c r="B33" s="112">
        <f>7263683.28+5602984.58+B32</f>
        <v>65724477.310000002</v>
      </c>
      <c r="C33" s="113">
        <f>C28*6</f>
        <v>72991500</v>
      </c>
      <c r="D33" s="107">
        <f t="shared" si="9"/>
        <v>-7267022.6899999976</v>
      </c>
      <c r="E33" s="140">
        <f>7313323.08+278454869.13+E32</f>
        <v>697946548.50999999</v>
      </c>
      <c r="F33" s="113">
        <f>F28*6</f>
        <v>774012500</v>
      </c>
      <c r="G33" s="107">
        <f t="shared" si="10"/>
        <v>-76065951.49000001</v>
      </c>
      <c r="H33" s="146">
        <f>191744215.39+13518337.07+H32</f>
        <v>1515698219.9100001</v>
      </c>
      <c r="I33" s="113">
        <f>I28*6</f>
        <v>1590784500</v>
      </c>
      <c r="J33" s="107">
        <f t="shared" si="11"/>
        <v>-75086280.089999914</v>
      </c>
      <c r="K33" s="145">
        <f t="shared" si="8"/>
        <v>3075352681.8699999</v>
      </c>
      <c r="L33" s="113">
        <f>L28*6</f>
        <v>3266690000</v>
      </c>
      <c r="M33" s="107">
        <f t="shared" si="12"/>
        <v>-191337318.13000011</v>
      </c>
      <c r="N33" s="143">
        <f>M33/L40</f>
        <v>-2.928611501703561E-2</v>
      </c>
    </row>
    <row r="34" spans="1:14" x14ac:dyDescent="0.2">
      <c r="A34" s="139" t="s">
        <v>53</v>
      </c>
      <c r="B34" s="112">
        <f>9127660.59+5360558.05+B33</f>
        <v>80212695.950000003</v>
      </c>
      <c r="C34" s="113">
        <f>C28*7</f>
        <v>85156750</v>
      </c>
      <c r="D34" s="107">
        <f t="shared" si="9"/>
        <v>-4944054.049999997</v>
      </c>
      <c r="E34" s="144">
        <f>199272126.63+90312389.36+E33</f>
        <v>987531064.5</v>
      </c>
      <c r="F34" s="113">
        <f>F28*7</f>
        <v>903014583.33333325</v>
      </c>
      <c r="G34" s="107">
        <f t="shared" si="10"/>
        <v>84516481.166666746</v>
      </c>
      <c r="H34" s="146">
        <f>256447589.6+14575652.63+H33</f>
        <v>1786721462.1400001</v>
      </c>
      <c r="I34" s="113">
        <f>I28*7</f>
        <v>1855915250</v>
      </c>
      <c r="J34" s="107">
        <f t="shared" si="11"/>
        <v>-69193787.859999895</v>
      </c>
      <c r="K34" s="145">
        <f t="shared" si="8"/>
        <v>3801867048.6400003</v>
      </c>
      <c r="L34" s="113">
        <f>L28*7</f>
        <v>3811138333.3333335</v>
      </c>
      <c r="M34" s="107">
        <f t="shared" si="12"/>
        <v>-9271284.693333149</v>
      </c>
      <c r="N34" s="143">
        <f>M34/L40</f>
        <v>-1.4190640515832768E-3</v>
      </c>
    </row>
    <row r="35" spans="1:14" x14ac:dyDescent="0.2">
      <c r="A35" s="139" t="s">
        <v>54</v>
      </c>
      <c r="B35" s="112">
        <f>9757581.25+5116818.83+B34</f>
        <v>95087096.030000001</v>
      </c>
      <c r="C35" s="113">
        <f>C28*8</f>
        <v>97322000</v>
      </c>
      <c r="D35" s="107">
        <f t="shared" si="9"/>
        <v>-2234903.9699999988</v>
      </c>
      <c r="E35" s="140">
        <f t="shared" ref="E35:E40" si="13">E34</f>
        <v>987531064.5</v>
      </c>
      <c r="F35" s="113">
        <f>F28*8</f>
        <v>1032016666.6666666</v>
      </c>
      <c r="G35" s="107">
        <f t="shared" si="10"/>
        <v>-44485602.166666627</v>
      </c>
      <c r="H35" s="146">
        <f>322566134.35+17993679.19+H34</f>
        <v>2127281275.6800001</v>
      </c>
      <c r="I35" s="113">
        <f>I28*8</f>
        <v>2121046000</v>
      </c>
      <c r="J35" s="107">
        <f t="shared" si="11"/>
        <v>6235275.6800000668</v>
      </c>
      <c r="K35" s="145">
        <f t="shared" si="8"/>
        <v>4304185797.7799997</v>
      </c>
      <c r="L35" s="113">
        <f>L28*8</f>
        <v>4355586666.666667</v>
      </c>
      <c r="M35" s="107">
        <f t="shared" si="12"/>
        <v>-51400868.886667252</v>
      </c>
      <c r="N35" s="143">
        <f>M35/L40</f>
        <v>-7.867423735748915E-3</v>
      </c>
    </row>
    <row r="36" spans="1:14" x14ac:dyDescent="0.2">
      <c r="A36" s="139" t="s">
        <v>55</v>
      </c>
      <c r="B36" s="112">
        <f>11083771.46+4773542.66+B35</f>
        <v>110944410.15000001</v>
      </c>
      <c r="C36" s="113">
        <f>C28*9</f>
        <v>109487250</v>
      </c>
      <c r="D36" s="107">
        <f t="shared" si="9"/>
        <v>1457160.150000006</v>
      </c>
      <c r="E36" s="144">
        <f>204785616.62+E35</f>
        <v>1192316681.1199999</v>
      </c>
      <c r="F36" s="113">
        <f>F28*9</f>
        <v>1161018750</v>
      </c>
      <c r="G36" s="107">
        <f t="shared" si="10"/>
        <v>31297931.119999886</v>
      </c>
      <c r="H36" s="146">
        <f>163038523.61+H35</f>
        <v>2290319799.29</v>
      </c>
      <c r="I36" s="113">
        <f>I28*9</f>
        <v>2386176750</v>
      </c>
      <c r="J36" s="107">
        <f t="shared" si="11"/>
        <v>-95856950.710000038</v>
      </c>
      <c r="K36" s="145">
        <f t="shared" si="8"/>
        <v>4830508997.1599998</v>
      </c>
      <c r="L36" s="113">
        <f>L28*9</f>
        <v>4900035000</v>
      </c>
      <c r="M36" s="107">
        <f t="shared" si="12"/>
        <v>-69526002.840000153</v>
      </c>
      <c r="N36" s="143">
        <f>M36/L40</f>
        <v>-1.0641659116720619E-2</v>
      </c>
    </row>
    <row r="37" spans="1:14" s="110" customFormat="1" x14ac:dyDescent="0.2">
      <c r="A37" s="139" t="s">
        <v>56</v>
      </c>
      <c r="B37" s="112">
        <f>7883727.56+5273887.46+B36</f>
        <v>124102025.17</v>
      </c>
      <c r="C37" s="113">
        <f>C28*10</f>
        <v>121652500</v>
      </c>
      <c r="D37" s="107">
        <f t="shared" si="9"/>
        <v>2449525.1700000018</v>
      </c>
      <c r="E37" s="140">
        <f>39098160.24+39539865.61+E36</f>
        <v>1270954706.9699998</v>
      </c>
      <c r="F37" s="113">
        <f>F28*10</f>
        <v>1290020833.3333333</v>
      </c>
      <c r="G37" s="107">
        <f t="shared" si="10"/>
        <v>-19066126.363333464</v>
      </c>
      <c r="H37" s="146">
        <f>246333627.85+19021183.96+H36</f>
        <v>2555674611.0999999</v>
      </c>
      <c r="I37" s="113">
        <f>I28*10</f>
        <v>2651307500</v>
      </c>
      <c r="J37" s="107">
        <f t="shared" si="11"/>
        <v>-95632888.900000095</v>
      </c>
      <c r="K37" s="145">
        <f t="shared" si="8"/>
        <v>5321058017.9799995</v>
      </c>
      <c r="L37" s="113">
        <f>L28*10</f>
        <v>5444483333.333334</v>
      </c>
      <c r="M37" s="107">
        <f t="shared" si="12"/>
        <v>-123425315.35333443</v>
      </c>
      <c r="N37" s="143">
        <f>M37/L40</f>
        <v>-1.8891494961770849E-2</v>
      </c>
    </row>
    <row r="38" spans="1:14" x14ac:dyDescent="0.2">
      <c r="A38" s="139" t="s">
        <v>57</v>
      </c>
      <c r="B38" s="112">
        <f>7270108.23+4931611.98+B37</f>
        <v>136303745.38</v>
      </c>
      <c r="C38" s="113">
        <f>C28*11</f>
        <v>133817750</v>
      </c>
      <c r="D38" s="107">
        <f t="shared" si="9"/>
        <v>2485995.3799999952</v>
      </c>
      <c r="E38" s="140">
        <f>12297531.27+3926894.73+E37</f>
        <v>1287179132.9699998</v>
      </c>
      <c r="F38" s="113">
        <f>F28*11</f>
        <v>1419022916.6666665</v>
      </c>
      <c r="G38" s="107">
        <f t="shared" si="10"/>
        <v>-131843783.69666672</v>
      </c>
      <c r="H38" s="146">
        <f>327901389.77+15028994.89+H37</f>
        <v>2898604995.7599998</v>
      </c>
      <c r="I38" s="113">
        <f>I28*11</f>
        <v>2916438250</v>
      </c>
      <c r="J38" s="107">
        <f t="shared" si="11"/>
        <v>-17833254.240000248</v>
      </c>
      <c r="K38" s="145">
        <f t="shared" si="8"/>
        <v>5849476718.0999994</v>
      </c>
      <c r="L38" s="113">
        <f>L28*11</f>
        <v>5988931666.666667</v>
      </c>
      <c r="M38" s="107">
        <f t="shared" si="12"/>
        <v>-139454948.56666756</v>
      </c>
      <c r="N38" s="143">
        <f>M38/L40</f>
        <v>-2.1344992724541899E-2</v>
      </c>
    </row>
    <row r="39" spans="1:14" ht="13.5" thickBot="1" x14ac:dyDescent="0.25">
      <c r="A39" s="147" t="s">
        <v>58</v>
      </c>
      <c r="B39" s="148">
        <f>5015387.3+5831332+B38</f>
        <v>147150464.68000001</v>
      </c>
      <c r="C39" s="117">
        <f>C28*12</f>
        <v>145983000</v>
      </c>
      <c r="D39" s="107">
        <f t="shared" si="9"/>
        <v>1167464.6800000072</v>
      </c>
      <c r="E39" s="149">
        <f>279558303.85+E38</f>
        <v>1566737436.8199997</v>
      </c>
      <c r="F39" s="117">
        <f>F28*12</f>
        <v>1548025000</v>
      </c>
      <c r="G39" s="150">
        <f t="shared" si="10"/>
        <v>18712436.819999695</v>
      </c>
      <c r="H39" s="151">
        <f>251114810.26+27684278.8+H38</f>
        <v>3177404084.8199997</v>
      </c>
      <c r="I39" s="117">
        <f>I28*12</f>
        <v>3181569000</v>
      </c>
      <c r="J39" s="107">
        <f t="shared" si="11"/>
        <v>-4164915.1800003052</v>
      </c>
      <c r="K39" s="152">
        <f t="shared" si="8"/>
        <v>6603908970.8599997</v>
      </c>
      <c r="L39" s="153">
        <f>L28*12</f>
        <v>6533380000</v>
      </c>
      <c r="M39" s="107">
        <f t="shared" si="12"/>
        <v>70528970.859999657</v>
      </c>
      <c r="N39" s="143">
        <f>M39/L40</f>
        <v>1.07951735334543E-2</v>
      </c>
    </row>
    <row r="40" spans="1:14" ht="13.5" thickBot="1" x14ac:dyDescent="0.25">
      <c r="A40" s="119" t="s">
        <v>3</v>
      </c>
      <c r="B40" s="120">
        <f t="shared" ref="B40" si="14">B39</f>
        <v>147150464.68000001</v>
      </c>
      <c r="C40" s="121">
        <f>152689000-6706000</f>
        <v>145983000</v>
      </c>
      <c r="D40" s="123"/>
      <c r="E40" s="154">
        <f t="shared" si="13"/>
        <v>1566737436.8199997</v>
      </c>
      <c r="F40" s="155">
        <f>1519014000+29011000</f>
        <v>1548025000</v>
      </c>
      <c r="G40" s="156"/>
      <c r="H40" s="120">
        <f t="shared" ref="H40" si="15">H39</f>
        <v>3177404084.8199997</v>
      </c>
      <c r="I40" s="121">
        <f>2896575000+284994000</f>
        <v>3181569000</v>
      </c>
      <c r="J40" s="157"/>
      <c r="K40" s="158">
        <f t="shared" si="8"/>
        <v>6603908970.8599997</v>
      </c>
      <c r="L40" s="159">
        <f>SUM(F20+I20+L20+O20+F40+I40+C20+C40)</f>
        <v>6533380000</v>
      </c>
      <c r="M40" s="160"/>
      <c r="N40" s="161"/>
    </row>
    <row r="41" spans="1:14" x14ac:dyDescent="0.2">
      <c r="A41" s="128"/>
      <c r="B41" s="101"/>
      <c r="C41" s="101"/>
      <c r="D41" s="101"/>
      <c r="E41" s="101"/>
      <c r="F41" s="101"/>
      <c r="G41" s="101"/>
      <c r="H41" s="102"/>
      <c r="I41" s="101"/>
      <c r="J41" s="101"/>
      <c r="K41" s="101"/>
      <c r="L41" s="101"/>
      <c r="M41" s="101"/>
    </row>
    <row r="42" spans="1:14" x14ac:dyDescent="0.2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</row>
    <row r="43" spans="1:14" x14ac:dyDescent="0.2">
      <c r="K43" s="162"/>
      <c r="L43" s="163"/>
    </row>
    <row r="44" spans="1:14" x14ac:dyDescent="0.2">
      <c r="K44" s="162"/>
    </row>
    <row r="45" spans="1:14" x14ac:dyDescent="0.2">
      <c r="K45" s="162"/>
    </row>
    <row r="46" spans="1:14" x14ac:dyDescent="0.2">
      <c r="K46" s="162"/>
    </row>
    <row r="48" spans="1:14" x14ac:dyDescent="0.2">
      <c r="K48" s="164"/>
    </row>
  </sheetData>
  <mergeCells count="38">
    <mergeCell ref="A1:M1"/>
    <mergeCell ref="A2:M2"/>
    <mergeCell ref="A4:A7"/>
    <mergeCell ref="B4:D5"/>
    <mergeCell ref="E4:G5"/>
    <mergeCell ref="H4:J5"/>
    <mergeCell ref="K4:M5"/>
    <mergeCell ref="B6:B7"/>
    <mergeCell ref="C6:C7"/>
    <mergeCell ref="D6:D7"/>
    <mergeCell ref="K6:K7"/>
    <mergeCell ref="L6:L7"/>
    <mergeCell ref="M6:M7"/>
    <mergeCell ref="E6:E7"/>
    <mergeCell ref="F6:F7"/>
    <mergeCell ref="G6:G7"/>
    <mergeCell ref="B24:D25"/>
    <mergeCell ref="E24:G25"/>
    <mergeCell ref="H24:J25"/>
    <mergeCell ref="K24:M25"/>
    <mergeCell ref="B26:B27"/>
    <mergeCell ref="C26:C27"/>
    <mergeCell ref="N26:N27"/>
    <mergeCell ref="H6:H7"/>
    <mergeCell ref="I6:I7"/>
    <mergeCell ref="J6:J7"/>
    <mergeCell ref="A42:M42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A24:A2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8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showGridLines="0" tabSelected="1" view="pageBreakPreview" zoomScaleNormal="100" zoomScaleSheetLayoutView="100" workbookViewId="0">
      <selection activeCell="B1" sqref="B1:S1"/>
    </sheetView>
  </sheetViews>
  <sheetFormatPr defaultRowHeight="12.75" x14ac:dyDescent="0.2"/>
  <cols>
    <col min="1" max="1" width="3.7109375" style="87" customWidth="1"/>
    <col min="2" max="2" width="9.28515625" style="87" bestFit="1" customWidth="1"/>
    <col min="3" max="3" width="11" style="87" bestFit="1" customWidth="1"/>
    <col min="4" max="4" width="9.140625" style="87"/>
    <col min="5" max="6" width="9.28515625" style="87" bestFit="1" customWidth="1"/>
    <col min="7" max="7" width="9.140625" style="87"/>
    <col min="8" max="8" width="9.28515625" style="87" bestFit="1" customWidth="1"/>
    <col min="9" max="9" width="9.140625" style="87" customWidth="1"/>
    <col min="10" max="10" width="9.140625" style="87"/>
    <col min="11" max="12" width="9.28515625" style="87" bestFit="1" customWidth="1"/>
    <col min="13" max="19" width="9.140625" style="87"/>
    <col min="20" max="20" width="3.7109375" style="87" customWidth="1"/>
    <col min="21" max="16384" width="9.140625" style="87"/>
  </cols>
  <sheetData>
    <row r="1" spans="1:19" ht="26.25" x14ac:dyDescent="0.4">
      <c r="A1" s="86"/>
      <c r="B1" s="210" t="s">
        <v>72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1"/>
      <c r="S1" s="211"/>
    </row>
    <row r="2" spans="1:19" ht="12.75" customHeight="1" x14ac:dyDescent="0.25">
      <c r="A2" s="88"/>
    </row>
    <row r="3" spans="1:19" ht="12.75" customHeight="1" x14ac:dyDescent="0.2"/>
    <row r="7" spans="1:19" x14ac:dyDescent="0.2">
      <c r="B7" s="87">
        <v>0</v>
      </c>
      <c r="E7" s="87">
        <v>0</v>
      </c>
      <c r="H7" s="87">
        <f>0</f>
        <v>0</v>
      </c>
      <c r="K7" s="87">
        <v>0</v>
      </c>
    </row>
    <row r="8" spans="1:19" x14ac:dyDescent="0.2">
      <c r="B8" s="87">
        <f t="shared" ref="B8:B18" si="0">B7</f>
        <v>0</v>
      </c>
      <c r="E8" s="87">
        <f t="shared" ref="E8:E18" si="1">E7</f>
        <v>0</v>
      </c>
      <c r="H8" s="87">
        <f t="shared" ref="H8:H18" si="2">H7</f>
        <v>0</v>
      </c>
      <c r="K8" s="87">
        <f>K7</f>
        <v>0</v>
      </c>
    </row>
    <row r="9" spans="1:19" x14ac:dyDescent="0.2">
      <c r="B9" s="87">
        <f t="shared" si="0"/>
        <v>0</v>
      </c>
      <c r="E9" s="87">
        <f t="shared" si="1"/>
        <v>0</v>
      </c>
      <c r="H9" s="87">
        <f t="shared" si="2"/>
        <v>0</v>
      </c>
      <c r="K9" s="87">
        <f>K8</f>
        <v>0</v>
      </c>
    </row>
    <row r="10" spans="1:19" x14ac:dyDescent="0.2">
      <c r="B10" s="87">
        <f t="shared" si="0"/>
        <v>0</v>
      </c>
      <c r="E10" s="87">
        <f t="shared" si="1"/>
        <v>0</v>
      </c>
      <c r="H10" s="87">
        <f t="shared" si="2"/>
        <v>0</v>
      </c>
    </row>
    <row r="11" spans="1:19" x14ac:dyDescent="0.2">
      <c r="B11" s="87">
        <f t="shared" si="0"/>
        <v>0</v>
      </c>
      <c r="E11" s="87">
        <f t="shared" si="1"/>
        <v>0</v>
      </c>
      <c r="H11" s="87">
        <f t="shared" si="2"/>
        <v>0</v>
      </c>
    </row>
    <row r="12" spans="1:19" x14ac:dyDescent="0.2">
      <c r="B12" s="87">
        <f t="shared" si="0"/>
        <v>0</v>
      </c>
      <c r="E12" s="87">
        <f t="shared" si="1"/>
        <v>0</v>
      </c>
      <c r="H12" s="87">
        <f t="shared" si="2"/>
        <v>0</v>
      </c>
    </row>
    <row r="13" spans="1:19" x14ac:dyDescent="0.2">
      <c r="B13" s="87">
        <f t="shared" si="0"/>
        <v>0</v>
      </c>
      <c r="E13" s="87">
        <f t="shared" si="1"/>
        <v>0</v>
      </c>
      <c r="H13" s="87">
        <f t="shared" si="2"/>
        <v>0</v>
      </c>
      <c r="K13" s="87">
        <f>K12</f>
        <v>0</v>
      </c>
    </row>
    <row r="14" spans="1:19" x14ac:dyDescent="0.2">
      <c r="B14" s="87">
        <f t="shared" si="0"/>
        <v>0</v>
      </c>
      <c r="E14" s="87">
        <f t="shared" si="1"/>
        <v>0</v>
      </c>
      <c r="H14" s="87">
        <f t="shared" si="2"/>
        <v>0</v>
      </c>
    </row>
    <row r="15" spans="1:19" x14ac:dyDescent="0.2">
      <c r="B15" s="87">
        <f t="shared" si="0"/>
        <v>0</v>
      </c>
      <c r="E15" s="87">
        <f t="shared" si="1"/>
        <v>0</v>
      </c>
      <c r="H15" s="87">
        <f t="shared" si="2"/>
        <v>0</v>
      </c>
      <c r="K15" s="87">
        <f>K14</f>
        <v>0</v>
      </c>
    </row>
    <row r="16" spans="1:19" x14ac:dyDescent="0.2">
      <c r="B16" s="87">
        <f t="shared" si="0"/>
        <v>0</v>
      </c>
      <c r="E16" s="87">
        <f t="shared" si="1"/>
        <v>0</v>
      </c>
      <c r="H16" s="87">
        <f t="shared" si="2"/>
        <v>0</v>
      </c>
      <c r="K16" s="87">
        <f>K15</f>
        <v>0</v>
      </c>
    </row>
    <row r="17" spans="2:12" x14ac:dyDescent="0.2">
      <c r="B17" s="87">
        <f t="shared" si="0"/>
        <v>0</v>
      </c>
      <c r="E17" s="87">
        <f t="shared" si="1"/>
        <v>0</v>
      </c>
      <c r="H17" s="87">
        <f t="shared" si="2"/>
        <v>0</v>
      </c>
      <c r="K17" s="87">
        <f>K16</f>
        <v>0</v>
      </c>
    </row>
    <row r="18" spans="2:12" x14ac:dyDescent="0.2">
      <c r="B18" s="87">
        <f t="shared" si="0"/>
        <v>0</v>
      </c>
      <c r="E18" s="87">
        <f t="shared" si="1"/>
        <v>0</v>
      </c>
      <c r="H18" s="87">
        <f t="shared" si="2"/>
        <v>0</v>
      </c>
      <c r="K18" s="87">
        <f>K17</f>
        <v>0</v>
      </c>
    </row>
    <row r="19" spans="2:12" x14ac:dyDescent="0.2">
      <c r="C19" s="87">
        <v>1400297000</v>
      </c>
      <c r="F19" s="87">
        <v>94726000</v>
      </c>
      <c r="I19" s="87">
        <v>0</v>
      </c>
      <c r="L19" s="87">
        <v>36322000</v>
      </c>
    </row>
    <row r="38" spans="1:19" x14ac:dyDescent="0.2">
      <c r="K38" s="89"/>
      <c r="L38" s="90"/>
      <c r="M38" s="90"/>
      <c r="N38" s="90"/>
      <c r="O38" s="90"/>
      <c r="P38" s="90"/>
    </row>
    <row r="39" spans="1:19" x14ac:dyDescent="0.2">
      <c r="K39" s="89"/>
      <c r="L39" s="90"/>
      <c r="M39" s="90"/>
      <c r="N39" s="90"/>
      <c r="O39" s="90"/>
      <c r="P39" s="90"/>
    </row>
    <row r="44" spans="1:19" x14ac:dyDescent="0.2">
      <c r="K44" s="91"/>
      <c r="L44" s="92"/>
      <c r="M44" s="92"/>
      <c r="N44" s="92"/>
      <c r="O44" s="92"/>
      <c r="P44" s="92"/>
      <c r="Q44" s="92"/>
      <c r="R44" s="92"/>
      <c r="S44" s="92"/>
    </row>
    <row r="45" spans="1:19" x14ac:dyDescent="0.2">
      <c r="K45" s="91" t="s">
        <v>68</v>
      </c>
      <c r="L45" s="92"/>
      <c r="M45" s="92"/>
      <c r="N45" s="92"/>
      <c r="O45" s="92"/>
      <c r="P45" s="92"/>
      <c r="Q45" s="92"/>
      <c r="R45" s="92"/>
      <c r="S45" s="92"/>
    </row>
    <row r="46" spans="1:19" x14ac:dyDescent="0.2">
      <c r="L46" s="92"/>
      <c r="M46" s="92"/>
      <c r="N46" s="92"/>
      <c r="O46" s="92"/>
      <c r="P46" s="92"/>
      <c r="Q46" s="92"/>
      <c r="R46" s="92"/>
      <c r="S46" s="92"/>
    </row>
    <row r="47" spans="1:19" ht="26.25" x14ac:dyDescent="0.4">
      <c r="A47" s="86"/>
      <c r="B47" s="210" t="s">
        <v>73</v>
      </c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</row>
    <row r="48" spans="1:19" ht="12.75" customHeight="1" x14ac:dyDescent="0.2"/>
    <row r="69" spans="11:19" x14ac:dyDescent="0.2">
      <c r="K69" s="212" t="s">
        <v>74</v>
      </c>
      <c r="L69" s="213"/>
      <c r="M69" s="213"/>
      <c r="N69" s="213"/>
      <c r="O69" s="213"/>
      <c r="P69" s="213"/>
      <c r="Q69" s="213"/>
      <c r="R69" s="213"/>
      <c r="S69" s="213"/>
    </row>
  </sheetData>
  <mergeCells count="3">
    <mergeCell ref="B1:S1"/>
    <mergeCell ref="B47:S47"/>
    <mergeCell ref="K69:S69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75" fitToHeight="2" orientation="landscape" r:id="rId1"/>
  <headerFooter alignWithMargins="0"/>
  <rowBreaks count="1" manualBreakCount="1">
    <brk id="4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3</vt:i4>
      </vt:variant>
    </vt:vector>
  </HeadingPairs>
  <TitlesOfParts>
    <vt:vector size="9" baseType="lpstr">
      <vt:lpstr>Tabulky ke grafům</vt:lpstr>
      <vt:lpstr>Grafy</vt:lpstr>
      <vt:lpstr>2017 (měs)</vt:lpstr>
      <vt:lpstr>Grafy2017 (měs)</vt:lpstr>
      <vt:lpstr>2017 (kum)</vt:lpstr>
      <vt:lpstr>Grafy2017 (kum)</vt:lpstr>
      <vt:lpstr>Grafy!Oblast_tisku</vt:lpstr>
      <vt:lpstr>'Grafy2017 (kum)'!Oblast_tisku</vt:lpstr>
      <vt:lpstr>'Grafy2017 (měs)'!Oblast_tisku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Lindovská Jana</dc:creator>
  <cp:lastModifiedBy>dannhoferovair</cp:lastModifiedBy>
  <cp:lastPrinted>2018-05-29T09:45:00Z</cp:lastPrinted>
  <dcterms:created xsi:type="dcterms:W3CDTF">2013-03-12T09:46:30Z</dcterms:created>
  <dcterms:modified xsi:type="dcterms:W3CDTF">2018-05-29T09:45:14Z</dcterms:modified>
</cp:coreProperties>
</file>