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60" windowHeight="9285" activeTab="1"/>
  </bookViews>
  <sheets>
    <sheet name="List3" sheetId="1" r:id="rId1"/>
    <sheet name="List1" sheetId="2" r:id="rId2"/>
  </sheets>
  <definedNames>
    <definedName name="_xlnm.Print_Titles" localSheetId="1">'List1'!$1:$6</definedName>
    <definedName name="_xlnm.Print_Titles" localSheetId="0">'List3'!$1:$6</definedName>
    <definedName name="_xlnm.Print_Area" localSheetId="1">'List1'!$A$1:$U$54</definedName>
    <definedName name="_xlnm.Print_Area" localSheetId="0">'List3'!$A$1:$T$54</definedName>
  </definedNames>
  <calcPr fullCalcOnLoad="1"/>
</workbook>
</file>

<file path=xl/sharedStrings.xml><?xml version="1.0" encoding="utf-8"?>
<sst xmlns="http://schemas.openxmlformats.org/spreadsheetml/2006/main" count="345" uniqueCount="56">
  <si>
    <t xml:space="preserve"> </t>
  </si>
  <si>
    <t>(v tis.Kč)</t>
  </si>
  <si>
    <t>v tom:</t>
  </si>
  <si>
    <t>Městský obvod</t>
  </si>
  <si>
    <t>Ukazatel</t>
  </si>
  <si>
    <t>Financování</t>
  </si>
  <si>
    <t>SR</t>
  </si>
  <si>
    <t>skut.</t>
  </si>
  <si>
    <t>UR</t>
  </si>
  <si>
    <t>x</t>
  </si>
  <si>
    <t>Ostrava-Jih</t>
  </si>
  <si>
    <t>Poruba</t>
  </si>
  <si>
    <t>Nová Bělá</t>
  </si>
  <si>
    <t>x/</t>
  </si>
  <si>
    <t>Vítkovice</t>
  </si>
  <si>
    <t>Stará Bělá</t>
  </si>
  <si>
    <t>Pustkovec</t>
  </si>
  <si>
    <t>Hulváky</t>
  </si>
  <si>
    <t>Petřkovice</t>
  </si>
  <si>
    <t>Lhotka</t>
  </si>
  <si>
    <t>Hošťálkovice</t>
  </si>
  <si>
    <t>Nová Ves</t>
  </si>
  <si>
    <t>Proskovice</t>
  </si>
  <si>
    <t>Michálkovice</t>
  </si>
  <si>
    <t>Bartovice</t>
  </si>
  <si>
    <t>Krásné Pole</t>
  </si>
  <si>
    <t>Martinov</t>
  </si>
  <si>
    <t>nad Odrou</t>
  </si>
  <si>
    <t>Hrabová</t>
  </si>
  <si>
    <t>Svinov</t>
  </si>
  <si>
    <t>Třebovice</t>
  </si>
  <si>
    <t>Plesná</t>
  </si>
  <si>
    <t>CELKEM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</si>
  <si>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</si>
  <si>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</si>
  <si>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kultura+tělovýchova
</t>
    </r>
    <r>
      <rPr>
        <sz val="9"/>
        <rFont val="Arial CE"/>
        <family val="0"/>
      </rPr>
      <t>§ 33xx, § 34xx</t>
    </r>
  </si>
  <si>
    <r>
      <t xml:space="preserve">bytové hospodářství
</t>
    </r>
    <r>
      <rPr>
        <sz val="9"/>
        <rFont val="Arial CE"/>
        <family val="0"/>
      </rPr>
      <t>§ 3612, § 3613</t>
    </r>
  </si>
  <si>
    <r>
      <t xml:space="preserve">ost. kom. služby
</t>
    </r>
    <r>
      <rPr>
        <sz val="9"/>
        <rFont val="Arial CE"/>
        <family val="0"/>
      </rPr>
      <t>§ 36xx, § 37xx</t>
    </r>
  </si>
  <si>
    <r>
      <t xml:space="preserve">ost. soc. péče
</t>
    </r>
    <r>
      <rPr>
        <sz val="9"/>
        <rFont val="Arial CE"/>
        <family val="0"/>
      </rPr>
      <t>§ 431x, § 439x</t>
    </r>
  </si>
  <si>
    <r>
      <t xml:space="preserve"> míst. zast. orgány
</t>
    </r>
    <r>
      <rPr>
        <sz val="9"/>
        <rFont val="Arial CE"/>
        <family val="0"/>
      </rPr>
      <t>§ 6112</t>
    </r>
  </si>
  <si>
    <r>
      <t xml:space="preserve"> činnost místní správy
</t>
    </r>
    <r>
      <rPr>
        <sz val="9"/>
        <rFont val="Arial CE"/>
        <family val="0"/>
      </rPr>
      <t>§ 6171</t>
    </r>
  </si>
  <si>
    <t>Běžné výdaje</t>
  </si>
  <si>
    <t>Kapitálové výdaje</t>
  </si>
  <si>
    <t>Celkem výdaje
po konsolidaci</t>
  </si>
  <si>
    <r>
      <t xml:space="preserve">silnice 
</t>
    </r>
    <r>
      <rPr>
        <sz val="9"/>
        <rFont val="Arial CE"/>
        <family val="0"/>
      </rPr>
      <t>§ 2212 - § 2219</t>
    </r>
  </si>
  <si>
    <r>
      <t xml:space="preserve">školství 
</t>
    </r>
    <r>
      <rPr>
        <sz val="9"/>
        <rFont val="Arial CE"/>
        <family val="0"/>
      </rPr>
      <t>§ 31xx, § 32xx</t>
    </r>
  </si>
  <si>
    <t>% plnění</t>
  </si>
  <si>
    <t>Mar.Hory
a Hulváky</t>
  </si>
  <si>
    <t xml:space="preserve">Radvanice 
a Bartovice </t>
  </si>
  <si>
    <t>ÚHRN</t>
  </si>
  <si>
    <t>Městský 
obvod</t>
  </si>
  <si>
    <t xml:space="preserve">Mor.Ostrava
a Přívoz </t>
  </si>
  <si>
    <t xml:space="preserve">Slezská
Ostrava </t>
  </si>
  <si>
    <t>Polanka
nad Odrou</t>
  </si>
  <si>
    <t>Mor.Ostrava 
a Přívoz</t>
  </si>
  <si>
    <t xml:space="preserve">        Přehled o plnění rozpočtu k 31.12.2020 dle jednotlivých městských obvodů - výdaje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</si>
</sst>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&quot;/&quot;"/>
    <numFmt numFmtId="167" formatCode="0.0"/>
  </numFmts>
  <fonts count="44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3" fontId="0" fillId="33" borderId="20" xfId="0" applyNumberFormat="1" applyFont="1" applyFill="1" applyBorder="1" applyAlignment="1">
      <alignment horizontal="right"/>
    </xf>
    <xf numFmtId="3" fontId="0" fillId="33" borderId="21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0" fillId="33" borderId="22" xfId="0" applyNumberFormat="1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right"/>
    </xf>
    <xf numFmtId="166" fontId="0" fillId="33" borderId="24" xfId="0" applyNumberFormat="1" applyFont="1" applyFill="1" applyBorder="1" applyAlignment="1">
      <alignment horizontal="right"/>
    </xf>
    <xf numFmtId="167" fontId="0" fillId="33" borderId="19" xfId="0" applyNumberFormat="1" applyFont="1" applyFill="1" applyBorder="1" applyAlignment="1">
      <alignment horizontal="left"/>
    </xf>
    <xf numFmtId="3" fontId="0" fillId="33" borderId="13" xfId="0" applyNumberFormat="1" applyFont="1" applyFill="1" applyBorder="1" applyAlignment="1">
      <alignment horizontal="right"/>
    </xf>
    <xf numFmtId="3" fontId="0" fillId="33" borderId="25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3" fontId="0" fillId="33" borderId="27" xfId="0" applyNumberFormat="1" applyFont="1" applyFill="1" applyBorder="1" applyAlignment="1">
      <alignment horizontal="right"/>
    </xf>
    <xf numFmtId="3" fontId="0" fillId="33" borderId="28" xfId="0" applyNumberFormat="1" applyFont="1" applyFill="1" applyBorder="1" applyAlignment="1">
      <alignment horizontal="center"/>
    </xf>
    <xf numFmtId="3" fontId="0" fillId="33" borderId="29" xfId="0" applyNumberFormat="1" applyFont="1" applyFill="1" applyBorder="1" applyAlignment="1">
      <alignment horizontal="right"/>
    </xf>
    <xf numFmtId="3" fontId="0" fillId="33" borderId="30" xfId="0" applyNumberFormat="1" applyFont="1" applyFill="1" applyBorder="1" applyAlignment="1">
      <alignment horizontal="right"/>
    </xf>
    <xf numFmtId="3" fontId="0" fillId="33" borderId="31" xfId="0" applyNumberFormat="1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 horizontal="center"/>
    </xf>
    <xf numFmtId="3" fontId="0" fillId="33" borderId="33" xfId="0" applyNumberFormat="1" applyFont="1" applyFill="1" applyBorder="1" applyAlignment="1">
      <alignment horizontal="right"/>
    </xf>
    <xf numFmtId="166" fontId="0" fillId="33" borderId="34" xfId="0" applyNumberFormat="1" applyFont="1" applyFill="1" applyBorder="1" applyAlignment="1">
      <alignment horizontal="right"/>
    </xf>
    <xf numFmtId="167" fontId="0" fillId="33" borderId="35" xfId="0" applyNumberFormat="1" applyFont="1" applyFill="1" applyBorder="1" applyAlignment="1">
      <alignment horizontal="left"/>
    </xf>
    <xf numFmtId="3" fontId="0" fillId="33" borderId="36" xfId="0" applyNumberFormat="1" applyFont="1" applyFill="1" applyBorder="1" applyAlignment="1">
      <alignment horizontal="right"/>
    </xf>
    <xf numFmtId="3" fontId="0" fillId="33" borderId="37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166" fontId="0" fillId="33" borderId="38" xfId="0" applyNumberFormat="1" applyFont="1" applyFill="1" applyBorder="1" applyAlignment="1">
      <alignment horizontal="right"/>
    </xf>
    <xf numFmtId="3" fontId="0" fillId="33" borderId="39" xfId="0" applyNumberFormat="1" applyFont="1" applyFill="1" applyBorder="1" applyAlignment="1">
      <alignment horizontal="right"/>
    </xf>
    <xf numFmtId="3" fontId="0" fillId="33" borderId="4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 horizontal="right"/>
    </xf>
    <xf numFmtId="166" fontId="0" fillId="33" borderId="24" xfId="0" applyNumberFormat="1" applyFont="1" applyFill="1" applyBorder="1" applyAlignment="1">
      <alignment horizontal="right"/>
    </xf>
    <xf numFmtId="167" fontId="0" fillId="33" borderId="19" xfId="0" applyNumberFormat="1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right"/>
    </xf>
    <xf numFmtId="3" fontId="0" fillId="33" borderId="33" xfId="0" applyNumberFormat="1" applyFont="1" applyFill="1" applyBorder="1" applyAlignment="1">
      <alignment horizontal="right"/>
    </xf>
    <xf numFmtId="166" fontId="0" fillId="33" borderId="34" xfId="0" applyNumberFormat="1" applyFont="1" applyFill="1" applyBorder="1" applyAlignment="1">
      <alignment horizontal="right"/>
    </xf>
    <xf numFmtId="167" fontId="0" fillId="33" borderId="35" xfId="0" applyNumberFormat="1" applyFont="1" applyFill="1" applyBorder="1" applyAlignment="1">
      <alignment horizontal="left"/>
    </xf>
    <xf numFmtId="3" fontId="0" fillId="33" borderId="29" xfId="0" applyNumberFormat="1" applyFont="1" applyFill="1" applyBorder="1" applyAlignment="1">
      <alignment horizontal="right"/>
    </xf>
    <xf numFmtId="3" fontId="0" fillId="33" borderId="40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 horizontal="right"/>
    </xf>
    <xf numFmtId="3" fontId="0" fillId="33" borderId="22" xfId="0" applyNumberFormat="1" applyFont="1" applyFill="1" applyBorder="1" applyAlignment="1">
      <alignment horizontal="right"/>
    </xf>
    <xf numFmtId="3" fontId="0" fillId="33" borderId="25" xfId="0" applyNumberFormat="1" applyFont="1" applyFill="1" applyBorder="1" applyAlignment="1">
      <alignment horizontal="right"/>
    </xf>
    <xf numFmtId="3" fontId="0" fillId="33" borderId="27" xfId="0" applyNumberFormat="1" applyFont="1" applyFill="1" applyBorder="1" applyAlignment="1">
      <alignment horizontal="right"/>
    </xf>
    <xf numFmtId="3" fontId="0" fillId="33" borderId="41" xfId="0" applyNumberFormat="1" applyFont="1" applyFill="1" applyBorder="1" applyAlignment="1">
      <alignment horizontal="right"/>
    </xf>
    <xf numFmtId="3" fontId="0" fillId="33" borderId="30" xfId="0" applyNumberFormat="1" applyFont="1" applyFill="1" applyBorder="1" applyAlignment="1">
      <alignment horizontal="right"/>
    </xf>
    <xf numFmtId="0" fontId="4" fillId="12" borderId="42" xfId="0" applyFont="1" applyFill="1" applyBorder="1" applyAlignment="1">
      <alignment/>
    </xf>
    <xf numFmtId="0" fontId="4" fillId="12" borderId="43" xfId="0" applyFont="1" applyFill="1" applyBorder="1" applyAlignment="1">
      <alignment/>
    </xf>
    <xf numFmtId="0" fontId="0" fillId="12" borderId="43" xfId="0" applyFont="1" applyFill="1" applyBorder="1" applyAlignment="1">
      <alignment/>
    </xf>
    <xf numFmtId="0" fontId="0" fillId="12" borderId="44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4" xfId="0" applyFont="1" applyFill="1" applyBorder="1" applyAlignment="1">
      <alignment/>
    </xf>
    <xf numFmtId="3" fontId="0" fillId="12" borderId="10" xfId="0" applyNumberFormat="1" applyFont="1" applyFill="1" applyBorder="1" applyAlignment="1">
      <alignment horizontal="right"/>
    </xf>
    <xf numFmtId="3" fontId="0" fillId="12" borderId="21" xfId="0" applyNumberFormat="1" applyFont="1" applyFill="1" applyBorder="1" applyAlignment="1">
      <alignment horizontal="right"/>
    </xf>
    <xf numFmtId="3" fontId="0" fillId="12" borderId="20" xfId="0" applyNumberFormat="1" applyFont="1" applyFill="1" applyBorder="1" applyAlignment="1">
      <alignment horizontal="right"/>
    </xf>
    <xf numFmtId="0" fontId="3" fillId="12" borderId="11" xfId="0" applyFont="1" applyFill="1" applyBorder="1" applyAlignment="1">
      <alignment/>
    </xf>
    <xf numFmtId="0" fontId="4" fillId="12" borderId="15" xfId="0" applyFont="1" applyFill="1" applyBorder="1" applyAlignment="1">
      <alignment/>
    </xf>
    <xf numFmtId="3" fontId="0" fillId="12" borderId="13" xfId="0" applyNumberFormat="1" applyFont="1" applyFill="1" applyBorder="1" applyAlignment="1">
      <alignment horizontal="right"/>
    </xf>
    <xf numFmtId="3" fontId="0" fillId="12" borderId="28" xfId="0" applyNumberFormat="1" applyFont="1" applyFill="1" applyBorder="1" applyAlignment="1">
      <alignment horizontal="center"/>
    </xf>
    <xf numFmtId="166" fontId="0" fillId="12" borderId="24" xfId="0" applyNumberFormat="1" applyFont="1" applyFill="1" applyBorder="1" applyAlignment="1">
      <alignment horizontal="right"/>
    </xf>
    <xf numFmtId="167" fontId="0" fillId="12" borderId="19" xfId="0" applyNumberFormat="1" applyFont="1" applyFill="1" applyBorder="1" applyAlignment="1">
      <alignment horizontal="left"/>
    </xf>
    <xf numFmtId="3" fontId="0" fillId="12" borderId="27" xfId="0" applyNumberFormat="1" applyFont="1" applyFill="1" applyBorder="1" applyAlignment="1">
      <alignment horizontal="right"/>
    </xf>
    <xf numFmtId="0" fontId="3" fillId="12" borderId="10" xfId="0" applyFont="1" applyFill="1" applyBorder="1" applyAlignment="1">
      <alignment/>
    </xf>
    <xf numFmtId="0" fontId="4" fillId="12" borderId="14" xfId="0" applyFont="1" applyFill="1" applyBorder="1" applyAlignment="1">
      <alignment/>
    </xf>
    <xf numFmtId="3" fontId="0" fillId="12" borderId="10" xfId="0" applyNumberFormat="1" applyFont="1" applyFill="1" applyBorder="1" applyAlignment="1">
      <alignment horizontal="right"/>
    </xf>
    <xf numFmtId="0" fontId="3" fillId="12" borderId="11" xfId="0" applyFont="1" applyFill="1" applyBorder="1" applyAlignment="1">
      <alignment/>
    </xf>
    <xf numFmtId="0" fontId="4" fillId="12" borderId="15" xfId="0" applyFont="1" applyFill="1" applyBorder="1" applyAlignment="1">
      <alignment/>
    </xf>
    <xf numFmtId="3" fontId="0" fillId="12" borderId="13" xfId="0" applyNumberFormat="1" applyFont="1" applyFill="1" applyBorder="1" applyAlignment="1">
      <alignment horizontal="right"/>
    </xf>
    <xf numFmtId="166" fontId="0" fillId="12" borderId="24" xfId="0" applyNumberFormat="1" applyFont="1" applyFill="1" applyBorder="1" applyAlignment="1">
      <alignment horizontal="right"/>
    </xf>
    <xf numFmtId="167" fontId="0" fillId="12" borderId="19" xfId="0" applyNumberFormat="1" applyFont="1" applyFill="1" applyBorder="1" applyAlignment="1">
      <alignment horizontal="left"/>
    </xf>
    <xf numFmtId="0" fontId="4" fillId="12" borderId="45" xfId="0" applyFont="1" applyFill="1" applyBorder="1" applyAlignment="1">
      <alignment/>
    </xf>
    <xf numFmtId="0" fontId="4" fillId="12" borderId="37" xfId="0" applyFont="1" applyFill="1" applyBorder="1" applyAlignment="1">
      <alignment/>
    </xf>
    <xf numFmtId="0" fontId="0" fillId="12" borderId="37" xfId="0" applyFont="1" applyFill="1" applyBorder="1" applyAlignment="1">
      <alignment/>
    </xf>
    <xf numFmtId="0" fontId="3" fillId="12" borderId="37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3" fillId="12" borderId="48" xfId="0" applyFont="1" applyFill="1" applyBorder="1" applyAlignment="1">
      <alignment horizontal="justify" vertical="center" wrapText="1"/>
    </xf>
    <xf numFmtId="0" fontId="3" fillId="12" borderId="47" xfId="0" applyFont="1" applyFill="1" applyBorder="1" applyAlignment="1">
      <alignment horizontal="justify" vertical="center" wrapText="1"/>
    </xf>
    <xf numFmtId="0" fontId="0" fillId="33" borderId="48" xfId="0" applyFont="1" applyFill="1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1" fillId="33" borderId="0" xfId="0" applyFont="1" applyFill="1" applyAlignment="1">
      <alignment horizontal="center"/>
    </xf>
    <xf numFmtId="0" fontId="4" fillId="12" borderId="42" xfId="0" applyFont="1" applyFill="1" applyBorder="1" applyAlignment="1">
      <alignment horizontal="center" vertical="center" wrapText="1"/>
    </xf>
    <xf numFmtId="0" fontId="4" fillId="12" borderId="43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0" fillId="12" borderId="50" xfId="0" applyFill="1" applyBorder="1" applyAlignment="1">
      <alignment horizontal="center" vertical="center" wrapText="1"/>
    </xf>
    <xf numFmtId="0" fontId="0" fillId="12" borderId="51" xfId="0" applyFill="1" applyBorder="1" applyAlignment="1">
      <alignment horizontal="center" vertical="center" wrapText="1"/>
    </xf>
    <xf numFmtId="0" fontId="0" fillId="12" borderId="52" xfId="0" applyFill="1" applyBorder="1" applyAlignment="1">
      <alignment horizontal="center" vertical="center" wrapText="1"/>
    </xf>
    <xf numFmtId="0" fontId="4" fillId="12" borderId="53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0" fillId="12" borderId="38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3" fontId="0" fillId="33" borderId="54" xfId="0" applyNumberFormat="1" applyFont="1" applyFill="1" applyBorder="1" applyAlignment="1">
      <alignment horizontal="right"/>
    </xf>
    <xf numFmtId="3" fontId="0" fillId="33" borderId="14" xfId="0" applyNumberFormat="1" applyFont="1" applyFill="1" applyBorder="1" applyAlignment="1">
      <alignment horizontal="right"/>
    </xf>
    <xf numFmtId="0" fontId="3" fillId="12" borderId="46" xfId="0" applyFont="1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47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0" fillId="12" borderId="43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3" fontId="0" fillId="33" borderId="57" xfId="0" applyNumberFormat="1" applyFont="1" applyFill="1" applyBorder="1" applyAlignment="1">
      <alignment horizontal="right"/>
    </xf>
    <xf numFmtId="3" fontId="0" fillId="33" borderId="16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0" fillId="12" borderId="54" xfId="0" applyNumberFormat="1" applyFont="1" applyFill="1" applyBorder="1" applyAlignment="1">
      <alignment horizontal="right"/>
    </xf>
    <xf numFmtId="3" fontId="0" fillId="12" borderId="14" xfId="0" applyNumberFormat="1" applyFont="1" applyFill="1" applyBorder="1" applyAlignment="1">
      <alignment horizontal="right"/>
    </xf>
    <xf numFmtId="49" fontId="6" fillId="33" borderId="43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0" fontId="4" fillId="12" borderId="58" xfId="0" applyFont="1" applyFill="1" applyBorder="1" applyAlignment="1">
      <alignment horizontal="center" vertical="center" wrapText="1"/>
    </xf>
    <xf numFmtId="0" fontId="4" fillId="12" borderId="59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6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3" fontId="0" fillId="33" borderId="57" xfId="0" applyNumberFormat="1" applyFont="1" applyFill="1" applyBorder="1" applyAlignment="1">
      <alignment horizontal="right"/>
    </xf>
    <xf numFmtId="3" fontId="0" fillId="33" borderId="16" xfId="0" applyNumberFormat="1" applyFont="1" applyFill="1" applyBorder="1" applyAlignment="1">
      <alignment horizontal="right"/>
    </xf>
    <xf numFmtId="3" fontId="0" fillId="12" borderId="54" xfId="0" applyNumberFormat="1" applyFont="1" applyFill="1" applyBorder="1" applyAlignment="1">
      <alignment horizontal="right"/>
    </xf>
    <xf numFmtId="3" fontId="0" fillId="12" borderId="14" xfId="0" applyNumberFormat="1" applyFont="1" applyFill="1" applyBorder="1" applyAlignment="1">
      <alignment horizontal="right"/>
    </xf>
    <xf numFmtId="3" fontId="0" fillId="33" borderId="54" xfId="0" applyNumberFormat="1" applyFont="1" applyFill="1" applyBorder="1" applyAlignment="1">
      <alignment horizontal="right"/>
    </xf>
    <xf numFmtId="3" fontId="0" fillId="33" borderId="14" xfId="0" applyNumberFormat="1" applyFont="1" applyFill="1" applyBorder="1" applyAlignment="1">
      <alignment horizontal="right"/>
    </xf>
    <xf numFmtId="3" fontId="0" fillId="33" borderId="61" xfId="0" applyNumberFormat="1" applyFont="1" applyFill="1" applyBorder="1" applyAlignment="1">
      <alignment horizontal="right"/>
    </xf>
    <xf numFmtId="3" fontId="0" fillId="33" borderId="56" xfId="0" applyNumberFormat="1" applyFont="1" applyFill="1" applyBorder="1" applyAlignment="1">
      <alignment horizontal="right"/>
    </xf>
    <xf numFmtId="0" fontId="4" fillId="12" borderId="62" xfId="0" applyFont="1" applyFill="1" applyBorder="1" applyAlignment="1">
      <alignment horizontal="center" vertical="center" wrapText="1"/>
    </xf>
    <xf numFmtId="0" fontId="3" fillId="12" borderId="37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workbookViewId="0" topLeftCell="A1">
      <selection activeCell="M14" sqref="M14"/>
    </sheetView>
  </sheetViews>
  <sheetFormatPr defaultColWidth="9.00390625" defaultRowHeight="12.75"/>
  <cols>
    <col min="1" max="1" width="12.625" style="1" customWidth="1"/>
    <col min="2" max="2" width="3.625" style="1" bestFit="1" customWidth="1"/>
    <col min="3" max="3" width="8.125" style="1" bestFit="1" customWidth="1"/>
    <col min="4" max="4" width="11.00390625" style="1" customWidth="1"/>
    <col min="5" max="5" width="8.625" style="1" customWidth="1"/>
    <col min="6" max="6" width="9.75390625" style="1" customWidth="1"/>
    <col min="7" max="7" width="6.75390625" style="1" customWidth="1"/>
    <col min="8" max="8" width="7.875" style="1" customWidth="1"/>
    <col min="9" max="9" width="8.875" style="1" customWidth="1"/>
    <col min="10" max="10" width="6.625" style="1" customWidth="1"/>
    <col min="11" max="11" width="7.125" style="1" customWidth="1"/>
    <col min="12" max="12" width="9.00390625" style="1" customWidth="1"/>
    <col min="13" max="13" width="6.375" style="1" customWidth="1"/>
    <col min="14" max="14" width="7.00390625" style="1" bestFit="1" customWidth="1"/>
    <col min="15" max="15" width="7.75390625" style="1" customWidth="1"/>
    <col min="16" max="16" width="6.125" style="1" customWidth="1"/>
    <col min="17" max="17" width="5.25390625" style="1" customWidth="1"/>
    <col min="18" max="18" width="8.375" style="1" customWidth="1"/>
    <col min="19" max="19" width="8.125" style="1" customWidth="1"/>
    <col min="20" max="20" width="6.125" style="1" customWidth="1"/>
    <col min="21" max="21" width="11.75390625" style="1" hidden="1" customWidth="1"/>
    <col min="22" max="22" width="11.625" style="1" customWidth="1"/>
    <col min="23" max="23" width="3.625" style="1" customWidth="1"/>
    <col min="24" max="24" width="7.75390625" style="1" customWidth="1"/>
    <col min="25" max="25" width="7.00390625" style="1" customWidth="1"/>
    <col min="26" max="26" width="6.25390625" style="1" customWidth="1"/>
    <col min="27" max="27" width="4.875" style="1" customWidth="1"/>
    <col min="28" max="28" width="7.125" style="1" customWidth="1"/>
    <col min="29" max="29" width="5.875" style="1" customWidth="1"/>
    <col min="30" max="30" width="5.125" style="1" customWidth="1"/>
    <col min="31" max="31" width="7.00390625" style="1" customWidth="1"/>
    <col min="32" max="32" width="6.00390625" style="1" customWidth="1"/>
    <col min="33" max="33" width="5.00390625" style="1" customWidth="1"/>
    <col min="34" max="34" width="7.75390625" style="1" customWidth="1"/>
    <col min="35" max="35" width="6.125" style="1" customWidth="1"/>
    <col min="36" max="36" width="5.25390625" style="1" customWidth="1"/>
    <col min="37" max="37" width="6.125" style="1" customWidth="1"/>
    <col min="38" max="38" width="5.75390625" style="1" customWidth="1"/>
    <col min="39" max="39" width="5.25390625" style="1" customWidth="1"/>
    <col min="40" max="40" width="7.375" style="1" customWidth="1"/>
    <col min="41" max="41" width="5.25390625" style="1" customWidth="1"/>
    <col min="42" max="42" width="4.875" style="1" customWidth="1"/>
    <col min="43" max="43" width="2.75390625" style="1" customWidth="1"/>
    <col min="44" max="51" width="9.125" style="1" hidden="1" customWidth="1"/>
    <col min="52" max="16384" width="9.125" style="1" customWidth="1"/>
  </cols>
  <sheetData>
    <row r="1" ht="15" customHeight="1">
      <c r="T1" s="2"/>
    </row>
    <row r="2" spans="1:20" ht="1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6:13" ht="15" customHeight="1" thickBot="1">
      <c r="F3" s="1" t="s">
        <v>0</v>
      </c>
      <c r="H3" s="1" t="s">
        <v>0</v>
      </c>
      <c r="K3" s="1" t="s">
        <v>33</v>
      </c>
      <c r="M3" s="1" t="s">
        <v>34</v>
      </c>
    </row>
    <row r="4" spans="1:21" ht="15" customHeight="1" thickBot="1">
      <c r="A4" s="122" t="s">
        <v>3</v>
      </c>
      <c r="B4" s="110" t="s">
        <v>4</v>
      </c>
      <c r="C4" s="125"/>
      <c r="D4" s="110" t="s">
        <v>5</v>
      </c>
      <c r="E4" s="125"/>
      <c r="F4" s="110" t="s">
        <v>41</v>
      </c>
      <c r="G4" s="128"/>
      <c r="H4" s="125"/>
      <c r="I4" s="110" t="s">
        <v>42</v>
      </c>
      <c r="J4" s="128"/>
      <c r="K4" s="125"/>
      <c r="L4" s="110" t="s">
        <v>43</v>
      </c>
      <c r="M4" s="128"/>
      <c r="N4" s="125"/>
      <c r="O4" s="74" t="s">
        <v>2</v>
      </c>
      <c r="P4" s="75"/>
      <c r="Q4" s="76"/>
      <c r="R4" s="76"/>
      <c r="S4" s="76"/>
      <c r="T4" s="77"/>
      <c r="U4" s="4"/>
    </row>
    <row r="5" spans="1:21" ht="15" customHeight="1">
      <c r="A5" s="123"/>
      <c r="B5" s="126"/>
      <c r="C5" s="127"/>
      <c r="D5" s="126"/>
      <c r="E5" s="127"/>
      <c r="F5" s="126"/>
      <c r="G5" s="129"/>
      <c r="H5" s="127"/>
      <c r="I5" s="126"/>
      <c r="J5" s="129"/>
      <c r="K5" s="127"/>
      <c r="L5" s="126"/>
      <c r="M5" s="129"/>
      <c r="N5" s="127"/>
      <c r="O5" s="110" t="s">
        <v>44</v>
      </c>
      <c r="P5" s="111"/>
      <c r="Q5" s="112"/>
      <c r="R5" s="116" t="s">
        <v>45</v>
      </c>
      <c r="S5" s="111"/>
      <c r="T5" s="117"/>
      <c r="U5" s="5"/>
    </row>
    <row r="6" spans="1:21" ht="15" customHeight="1" thickBot="1">
      <c r="A6" s="124"/>
      <c r="B6" s="113"/>
      <c r="C6" s="119"/>
      <c r="D6" s="113"/>
      <c r="E6" s="119"/>
      <c r="F6" s="113"/>
      <c r="G6" s="114"/>
      <c r="H6" s="119"/>
      <c r="I6" s="113"/>
      <c r="J6" s="114"/>
      <c r="K6" s="119"/>
      <c r="L6" s="113"/>
      <c r="M6" s="114"/>
      <c r="N6" s="119"/>
      <c r="O6" s="113"/>
      <c r="P6" s="114"/>
      <c r="Q6" s="115"/>
      <c r="R6" s="118"/>
      <c r="S6" s="114"/>
      <c r="T6" s="119"/>
      <c r="U6" s="6"/>
    </row>
    <row r="7" spans="1:21" ht="15" customHeight="1">
      <c r="A7" s="107" t="s">
        <v>51</v>
      </c>
      <c r="B7" s="7" t="s">
        <v>6</v>
      </c>
      <c r="C7" s="25" t="s">
        <v>7</v>
      </c>
      <c r="D7" s="31">
        <v>85321</v>
      </c>
      <c r="E7" s="32">
        <v>7580</v>
      </c>
      <c r="F7" s="33">
        <f>439474-4956</f>
        <v>434518</v>
      </c>
      <c r="G7" s="120">
        <f>1430748-1021833</f>
        <v>408915</v>
      </c>
      <c r="H7" s="121"/>
      <c r="I7" s="33">
        <v>128653</v>
      </c>
      <c r="J7" s="120">
        <v>128904</v>
      </c>
      <c r="K7" s="121"/>
      <c r="L7" s="31">
        <f>SUM(F7+I7)</f>
        <v>563171</v>
      </c>
      <c r="M7" s="120">
        <f>SUM(G7+J7)</f>
        <v>537819</v>
      </c>
      <c r="N7" s="121"/>
      <c r="O7" s="33">
        <v>26231</v>
      </c>
      <c r="P7" s="120">
        <v>17090</v>
      </c>
      <c r="Q7" s="121"/>
      <c r="R7" s="33">
        <v>103903</v>
      </c>
      <c r="S7" s="120">
        <v>125429</v>
      </c>
      <c r="T7" s="121"/>
      <c r="U7" s="8"/>
    </row>
    <row r="8" spans="1:21" ht="15" customHeight="1" thickBot="1">
      <c r="A8" s="104"/>
      <c r="B8" s="9" t="s">
        <v>8</v>
      </c>
      <c r="C8" s="26" t="s">
        <v>46</v>
      </c>
      <c r="D8" s="34">
        <v>46592</v>
      </c>
      <c r="E8" s="35" t="s">
        <v>9</v>
      </c>
      <c r="F8" s="36">
        <f>445957-4956</f>
        <v>441001</v>
      </c>
      <c r="G8" s="37">
        <f>G7/F7*100</f>
        <v>94.10772396080255</v>
      </c>
      <c r="H8" s="38">
        <f>G7/F8*100</f>
        <v>92.7242795367811</v>
      </c>
      <c r="I8" s="39">
        <v>136029</v>
      </c>
      <c r="J8" s="37">
        <f>J7/I7*100</f>
        <v>100.19509844309889</v>
      </c>
      <c r="K8" s="38">
        <f>J7/I8*100</f>
        <v>94.76214630703747</v>
      </c>
      <c r="L8" s="34">
        <f aca="true" t="shared" si="0" ref="L8:L30">SUM(F8+I8)</f>
        <v>577030</v>
      </c>
      <c r="M8" s="37">
        <f>M7/L7*100</f>
        <v>95.49834774872996</v>
      </c>
      <c r="N8" s="38">
        <f>M7/L8*100</f>
        <v>93.20468606484931</v>
      </c>
      <c r="O8" s="39">
        <v>18824</v>
      </c>
      <c r="P8" s="37">
        <f>P7/O7*100</f>
        <v>65.15191948457931</v>
      </c>
      <c r="Q8" s="38">
        <f>P7/O8*100</f>
        <v>90.78835529111771</v>
      </c>
      <c r="R8" s="36">
        <v>131270</v>
      </c>
      <c r="S8" s="37">
        <f>S7/R7*100</f>
        <v>120.71739988258278</v>
      </c>
      <c r="T8" s="38">
        <f>S7/R8*100</f>
        <v>95.55039232117011</v>
      </c>
      <c r="U8" s="10"/>
    </row>
    <row r="9" spans="1:21" ht="15" customHeight="1">
      <c r="A9" s="103" t="s">
        <v>52</v>
      </c>
      <c r="B9" s="7" t="s">
        <v>6</v>
      </c>
      <c r="C9" s="25" t="s">
        <v>7</v>
      </c>
      <c r="D9" s="40">
        <v>60000</v>
      </c>
      <c r="E9" s="41">
        <v>55038</v>
      </c>
      <c r="F9" s="42">
        <f>327954-5087</f>
        <v>322867</v>
      </c>
      <c r="G9" s="130">
        <f>777646-448882</f>
        <v>328764</v>
      </c>
      <c r="H9" s="131"/>
      <c r="I9" s="42">
        <v>47570</v>
      </c>
      <c r="J9" s="130">
        <v>75726</v>
      </c>
      <c r="K9" s="131"/>
      <c r="L9" s="42">
        <f t="shared" si="0"/>
        <v>370437</v>
      </c>
      <c r="M9" s="130">
        <f>SUM(G9+J9)</f>
        <v>404490</v>
      </c>
      <c r="N9" s="131"/>
      <c r="O9" s="42">
        <v>23346</v>
      </c>
      <c r="P9" s="130">
        <v>40523</v>
      </c>
      <c r="Q9" s="131"/>
      <c r="R9" s="42">
        <v>32261</v>
      </c>
      <c r="S9" s="130">
        <v>68300</v>
      </c>
      <c r="T9" s="131"/>
      <c r="U9" s="8"/>
    </row>
    <row r="10" spans="1:21" ht="15" customHeight="1" thickBot="1">
      <c r="A10" s="104"/>
      <c r="B10" s="9" t="s">
        <v>8</v>
      </c>
      <c r="C10" s="26" t="s">
        <v>46</v>
      </c>
      <c r="D10" s="43">
        <v>123908</v>
      </c>
      <c r="E10" s="44" t="s">
        <v>9</v>
      </c>
      <c r="F10" s="39">
        <f>375297-8787</f>
        <v>366510</v>
      </c>
      <c r="G10" s="37">
        <f>G9/F9*100</f>
        <v>101.82644866152317</v>
      </c>
      <c r="H10" s="38">
        <f>G9/F10*100</f>
        <v>89.70123598264713</v>
      </c>
      <c r="I10" s="39">
        <v>97395</v>
      </c>
      <c r="J10" s="37">
        <f>J9/I9*100</f>
        <v>159.18856422114777</v>
      </c>
      <c r="K10" s="38">
        <f>J9/I10*100</f>
        <v>77.75142461111967</v>
      </c>
      <c r="L10" s="39">
        <f t="shared" si="0"/>
        <v>463905</v>
      </c>
      <c r="M10" s="37">
        <f>M9/L9*100</f>
        <v>109.19265624114223</v>
      </c>
      <c r="N10" s="38">
        <f>M9/L10*100</f>
        <v>87.19242086202993</v>
      </c>
      <c r="O10" s="39">
        <v>45207</v>
      </c>
      <c r="P10" s="37">
        <f>P9/O9*100</f>
        <v>173.57577315171764</v>
      </c>
      <c r="Q10" s="38">
        <f>P9/O10*100</f>
        <v>89.63877275643154</v>
      </c>
      <c r="R10" s="39">
        <v>70233</v>
      </c>
      <c r="S10" s="37">
        <f>S9/R9*100</f>
        <v>211.7107343231766</v>
      </c>
      <c r="T10" s="38">
        <f>S9/R10*100</f>
        <v>97.24773254737802</v>
      </c>
      <c r="U10" s="10"/>
    </row>
    <row r="11" spans="1:21" ht="15" customHeight="1">
      <c r="A11" s="103" t="s">
        <v>10</v>
      </c>
      <c r="B11" s="7" t="s">
        <v>6</v>
      </c>
      <c r="C11" s="25" t="s">
        <v>7</v>
      </c>
      <c r="D11" s="31">
        <v>309874</v>
      </c>
      <c r="E11" s="32">
        <v>110289</v>
      </c>
      <c r="F11" s="42">
        <f>980166-0</f>
        <v>980166</v>
      </c>
      <c r="G11" s="130">
        <f>2450090-1564171</f>
        <v>885919</v>
      </c>
      <c r="H11" s="131"/>
      <c r="I11" s="33">
        <v>309749</v>
      </c>
      <c r="J11" s="130">
        <v>254263</v>
      </c>
      <c r="K11" s="131"/>
      <c r="L11" s="42">
        <f t="shared" si="0"/>
        <v>1289915</v>
      </c>
      <c r="M11" s="130">
        <f>SUM(G11+J11)</f>
        <v>1140182</v>
      </c>
      <c r="N11" s="131"/>
      <c r="O11" s="42">
        <v>164261</v>
      </c>
      <c r="P11" s="130">
        <v>159781</v>
      </c>
      <c r="Q11" s="131"/>
      <c r="R11" s="42">
        <v>227619</v>
      </c>
      <c r="S11" s="130">
        <v>204450</v>
      </c>
      <c r="T11" s="131"/>
      <c r="U11" s="8"/>
    </row>
    <row r="12" spans="1:21" ht="15" customHeight="1" thickBot="1">
      <c r="A12" s="104"/>
      <c r="B12" s="9" t="s">
        <v>8</v>
      </c>
      <c r="C12" s="26" t="s">
        <v>46</v>
      </c>
      <c r="D12" s="31">
        <v>378860</v>
      </c>
      <c r="E12" s="35" t="s">
        <v>9</v>
      </c>
      <c r="F12" s="36">
        <f>1022259-0</f>
        <v>1022259</v>
      </c>
      <c r="G12" s="37">
        <f>G11/F11*100</f>
        <v>90.38458791674063</v>
      </c>
      <c r="H12" s="38">
        <f>G11/F12*100</f>
        <v>86.6628711510488</v>
      </c>
      <c r="I12" s="45">
        <v>378235</v>
      </c>
      <c r="J12" s="37">
        <f>J11/I11*100</f>
        <v>82.08678639801904</v>
      </c>
      <c r="K12" s="38">
        <f>J11/I12*100</f>
        <v>67.22355149576322</v>
      </c>
      <c r="L12" s="39">
        <f t="shared" si="0"/>
        <v>1400494</v>
      </c>
      <c r="M12" s="37">
        <f>M11/L11*100</f>
        <v>88.39202583115942</v>
      </c>
      <c r="N12" s="38">
        <f>M11/L12*100</f>
        <v>81.41284432493106</v>
      </c>
      <c r="O12" s="39">
        <v>180154</v>
      </c>
      <c r="P12" s="37">
        <f>P11/O11*100</f>
        <v>97.27263318742733</v>
      </c>
      <c r="Q12" s="38">
        <f>P11/O12*100</f>
        <v>88.69134185197109</v>
      </c>
      <c r="R12" s="39">
        <v>263413</v>
      </c>
      <c r="S12" s="37">
        <f>S11/R11*100</f>
        <v>89.82114849814822</v>
      </c>
      <c r="T12" s="38">
        <f>S11/R12*100</f>
        <v>77.6157592829511</v>
      </c>
      <c r="U12" s="10"/>
    </row>
    <row r="13" spans="1:21" ht="15" customHeight="1">
      <c r="A13" s="103" t="s">
        <v>11</v>
      </c>
      <c r="B13" s="7" t="s">
        <v>6</v>
      </c>
      <c r="C13" s="25" t="s">
        <v>7</v>
      </c>
      <c r="D13" s="40">
        <v>34101</v>
      </c>
      <c r="E13" s="41">
        <v>-6037</v>
      </c>
      <c r="F13" s="42">
        <f>430619-5741</f>
        <v>424878</v>
      </c>
      <c r="G13" s="130">
        <f>687893-239678</f>
        <v>448215</v>
      </c>
      <c r="H13" s="131"/>
      <c r="I13" s="42">
        <v>78220</v>
      </c>
      <c r="J13" s="130">
        <v>113992</v>
      </c>
      <c r="K13" s="131"/>
      <c r="L13" s="42">
        <f t="shared" si="0"/>
        <v>503098</v>
      </c>
      <c r="M13" s="130">
        <f>SUM(G13+J13)</f>
        <v>562207</v>
      </c>
      <c r="N13" s="131"/>
      <c r="O13" s="42">
        <v>32344</v>
      </c>
      <c r="P13" s="130">
        <v>57286</v>
      </c>
      <c r="Q13" s="131"/>
      <c r="R13" s="42">
        <v>84472</v>
      </c>
      <c r="S13" s="130">
        <v>93837</v>
      </c>
      <c r="T13" s="131"/>
      <c r="U13" s="8"/>
    </row>
    <row r="14" spans="1:21" ht="15" customHeight="1" thickBot="1">
      <c r="A14" s="104"/>
      <c r="B14" s="9" t="s">
        <v>8</v>
      </c>
      <c r="C14" s="26" t="s">
        <v>46</v>
      </c>
      <c r="D14" s="43">
        <v>99855</v>
      </c>
      <c r="E14" s="44" t="s">
        <v>9</v>
      </c>
      <c r="F14" s="39">
        <f>516129-6505</f>
        <v>509624</v>
      </c>
      <c r="G14" s="37">
        <f>G13/F13*100</f>
        <v>105.49263553302359</v>
      </c>
      <c r="H14" s="38">
        <f>G13/F14*100</f>
        <v>87.95013578638368</v>
      </c>
      <c r="I14" s="39">
        <v>140137</v>
      </c>
      <c r="J14" s="37">
        <f>J13/I13*100</f>
        <v>145.7325492201483</v>
      </c>
      <c r="K14" s="38">
        <f>J13/I14*100</f>
        <v>81.34325695569335</v>
      </c>
      <c r="L14" s="39">
        <f t="shared" si="0"/>
        <v>649761</v>
      </c>
      <c r="M14" s="37">
        <f>M13/L13*100</f>
        <v>111.74900317631953</v>
      </c>
      <c r="N14" s="38">
        <f>M13/L14*100</f>
        <v>86.52519926557612</v>
      </c>
      <c r="O14" s="39">
        <v>68289</v>
      </c>
      <c r="P14" s="37">
        <f>P13/O13*100</f>
        <v>177.11476626267623</v>
      </c>
      <c r="Q14" s="38">
        <f>P13/O14*100</f>
        <v>83.88759536675013</v>
      </c>
      <c r="R14" s="39">
        <v>100108</v>
      </c>
      <c r="S14" s="37">
        <f>S13/R13*100</f>
        <v>111.08651387441992</v>
      </c>
      <c r="T14" s="38">
        <f>S13/R14*100</f>
        <v>93.73576537339673</v>
      </c>
      <c r="U14" s="8"/>
    </row>
    <row r="15" spans="1:21" ht="15" customHeight="1">
      <c r="A15" s="103" t="s">
        <v>12</v>
      </c>
      <c r="B15" s="7" t="s">
        <v>6</v>
      </c>
      <c r="C15" s="25" t="s">
        <v>7</v>
      </c>
      <c r="D15" s="31">
        <v>13900</v>
      </c>
      <c r="E15" s="32">
        <v>-4681</v>
      </c>
      <c r="F15" s="42">
        <f>14045-276</f>
        <v>13769</v>
      </c>
      <c r="G15" s="130">
        <f>19456-8739</f>
        <v>10717</v>
      </c>
      <c r="H15" s="131"/>
      <c r="I15" s="33">
        <v>22955</v>
      </c>
      <c r="J15" s="130">
        <v>11705</v>
      </c>
      <c r="K15" s="131"/>
      <c r="L15" s="42">
        <f t="shared" si="0"/>
        <v>36724</v>
      </c>
      <c r="M15" s="130">
        <f>SUM(G15+J15)</f>
        <v>22422</v>
      </c>
      <c r="N15" s="131"/>
      <c r="O15" s="42">
        <v>1840</v>
      </c>
      <c r="P15" s="130">
        <v>450</v>
      </c>
      <c r="Q15" s="131"/>
      <c r="R15" s="42">
        <v>2214</v>
      </c>
      <c r="S15" s="130">
        <v>2437</v>
      </c>
      <c r="T15" s="131"/>
      <c r="U15" s="8"/>
    </row>
    <row r="16" spans="1:21" ht="15" customHeight="1" thickBot="1">
      <c r="A16" s="104" t="s">
        <v>12</v>
      </c>
      <c r="B16" s="9" t="s">
        <v>8</v>
      </c>
      <c r="C16" s="26" t="s">
        <v>46</v>
      </c>
      <c r="D16" s="39">
        <v>0</v>
      </c>
      <c r="E16" s="35" t="s">
        <v>9</v>
      </c>
      <c r="F16" s="39">
        <f>15606-276</f>
        <v>15330</v>
      </c>
      <c r="G16" s="37">
        <f>G15/F15*100</f>
        <v>77.83426537874936</v>
      </c>
      <c r="H16" s="38">
        <f>G15/F16*100</f>
        <v>69.90867579908677</v>
      </c>
      <c r="I16" s="45">
        <v>11928</v>
      </c>
      <c r="J16" s="37">
        <f>J15/I15*100</f>
        <v>50.9910694837726</v>
      </c>
      <c r="K16" s="38">
        <f>J15/I16*100</f>
        <v>98.13044936284373</v>
      </c>
      <c r="L16" s="39">
        <f t="shared" si="0"/>
        <v>27258</v>
      </c>
      <c r="M16" s="37">
        <f>M15/L15*100</f>
        <v>61.0554405838144</v>
      </c>
      <c r="N16" s="38">
        <f>M15/L16*100</f>
        <v>82.25841954655515</v>
      </c>
      <c r="O16" s="39">
        <v>670</v>
      </c>
      <c r="P16" s="37">
        <f>P15/O15*100</f>
        <v>24.456521739130434</v>
      </c>
      <c r="Q16" s="38">
        <f>P15/O16*100</f>
        <v>67.16417910447761</v>
      </c>
      <c r="R16" s="39">
        <v>2516</v>
      </c>
      <c r="S16" s="37">
        <f>S15/R15*100</f>
        <v>110.07226738934055</v>
      </c>
      <c r="T16" s="38">
        <f>S15/R16*100</f>
        <v>96.86009538950715</v>
      </c>
      <c r="U16" s="10"/>
    </row>
    <row r="17" spans="1:21" ht="15" customHeight="1">
      <c r="A17" s="103" t="s">
        <v>14</v>
      </c>
      <c r="B17" s="7" t="s">
        <v>6</v>
      </c>
      <c r="C17" s="25" t="s">
        <v>7</v>
      </c>
      <c r="D17" s="46">
        <v>3771</v>
      </c>
      <c r="E17" s="41">
        <v>-953</v>
      </c>
      <c r="F17" s="42">
        <f>125744-1086</f>
        <v>124658</v>
      </c>
      <c r="G17" s="130">
        <f>292360-178065</f>
        <v>114295</v>
      </c>
      <c r="H17" s="131"/>
      <c r="I17" s="42">
        <v>5714</v>
      </c>
      <c r="J17" s="130">
        <v>12976</v>
      </c>
      <c r="K17" s="131"/>
      <c r="L17" s="42">
        <f t="shared" si="0"/>
        <v>130372</v>
      </c>
      <c r="M17" s="130">
        <f>SUM(G17+J17)</f>
        <v>127271</v>
      </c>
      <c r="N17" s="131"/>
      <c r="O17" s="42">
        <v>4720</v>
      </c>
      <c r="P17" s="130">
        <v>7850</v>
      </c>
      <c r="Q17" s="131"/>
      <c r="R17" s="42">
        <v>6052</v>
      </c>
      <c r="S17" s="130">
        <v>6149</v>
      </c>
      <c r="T17" s="131"/>
      <c r="U17" s="8"/>
    </row>
    <row r="18" spans="1:21" ht="15" customHeight="1" thickBot="1">
      <c r="A18" s="104" t="s">
        <v>14</v>
      </c>
      <c r="B18" s="9" t="s">
        <v>8</v>
      </c>
      <c r="C18" s="26" t="s">
        <v>46</v>
      </c>
      <c r="D18" s="39">
        <v>24160</v>
      </c>
      <c r="E18" s="44" t="s">
        <v>9</v>
      </c>
      <c r="F18" s="39">
        <f>135920-1086</f>
        <v>134834</v>
      </c>
      <c r="G18" s="37">
        <f>G17/F17*100</f>
        <v>91.68685523592549</v>
      </c>
      <c r="H18" s="38">
        <f>G17/F18*100</f>
        <v>84.7671952178234</v>
      </c>
      <c r="I18" s="39">
        <v>13091</v>
      </c>
      <c r="J18" s="37">
        <f>J17/I17*100</f>
        <v>227.0913545677284</v>
      </c>
      <c r="K18" s="38">
        <f>J17/I18*100</f>
        <v>99.12153387823696</v>
      </c>
      <c r="L18" s="39">
        <f t="shared" si="0"/>
        <v>147925</v>
      </c>
      <c r="M18" s="37">
        <f>M17/L17*100</f>
        <v>97.62142177768233</v>
      </c>
      <c r="N18" s="38">
        <f>M17/L18*100</f>
        <v>86.03751901301335</v>
      </c>
      <c r="O18" s="39">
        <v>10602</v>
      </c>
      <c r="P18" s="37">
        <f>P17/O17*100</f>
        <v>166.31355932203388</v>
      </c>
      <c r="Q18" s="38">
        <f>P17/O18*100</f>
        <v>74.04263346538389</v>
      </c>
      <c r="R18" s="39">
        <v>6239</v>
      </c>
      <c r="S18" s="37">
        <f>S17/R17*100</f>
        <v>101.60277594183742</v>
      </c>
      <c r="T18" s="38">
        <f>S17/R18*100</f>
        <v>98.55746113159161</v>
      </c>
      <c r="U18" s="10"/>
    </row>
    <row r="19" spans="1:21" ht="15" customHeight="1">
      <c r="A19" s="103" t="s">
        <v>15</v>
      </c>
      <c r="B19" s="7" t="s">
        <v>6</v>
      </c>
      <c r="C19" s="25" t="s">
        <v>7</v>
      </c>
      <c r="D19" s="31">
        <v>10000</v>
      </c>
      <c r="E19" s="32">
        <v>-4754</v>
      </c>
      <c r="F19" s="42">
        <f>32683-600</f>
        <v>32083</v>
      </c>
      <c r="G19" s="130">
        <f>59774-35143</f>
        <v>24631</v>
      </c>
      <c r="H19" s="131"/>
      <c r="I19" s="33">
        <v>20372</v>
      </c>
      <c r="J19" s="130">
        <v>13835</v>
      </c>
      <c r="K19" s="131"/>
      <c r="L19" s="42">
        <f t="shared" si="0"/>
        <v>52455</v>
      </c>
      <c r="M19" s="130">
        <f>SUM(G19+J19)</f>
        <v>38466</v>
      </c>
      <c r="N19" s="131"/>
      <c r="O19" s="42">
        <v>6010</v>
      </c>
      <c r="P19" s="130">
        <v>9580</v>
      </c>
      <c r="Q19" s="131"/>
      <c r="R19" s="42">
        <v>10608</v>
      </c>
      <c r="S19" s="130">
        <v>8210</v>
      </c>
      <c r="T19" s="131"/>
      <c r="U19" s="8"/>
    </row>
    <row r="20" spans="1:21" ht="15" customHeight="1" thickBot="1">
      <c r="A20" s="104" t="s">
        <v>15</v>
      </c>
      <c r="B20" s="9" t="s">
        <v>8</v>
      </c>
      <c r="C20" s="26" t="s">
        <v>46</v>
      </c>
      <c r="D20" s="34">
        <v>11576</v>
      </c>
      <c r="E20" s="35" t="s">
        <v>9</v>
      </c>
      <c r="F20" s="39">
        <f>29448-600</f>
        <v>28848</v>
      </c>
      <c r="G20" s="37">
        <f>G19/F19*100</f>
        <v>76.77274569086433</v>
      </c>
      <c r="H20" s="38">
        <f>G19/F20*100</f>
        <v>85.38200221852468</v>
      </c>
      <c r="I20" s="45">
        <v>26610</v>
      </c>
      <c r="J20" s="37">
        <f>J19/I19*100</f>
        <v>67.91183978009032</v>
      </c>
      <c r="K20" s="38">
        <f>J19/I20*100</f>
        <v>51.99173243141676</v>
      </c>
      <c r="L20" s="39">
        <f t="shared" si="0"/>
        <v>55458</v>
      </c>
      <c r="M20" s="37">
        <f>M19/L19*100</f>
        <v>73.33142693737489</v>
      </c>
      <c r="N20" s="38">
        <f>M19/L20*100</f>
        <v>69.36059720869847</v>
      </c>
      <c r="O20" s="39">
        <v>9816</v>
      </c>
      <c r="P20" s="37">
        <f>P19/O19*100</f>
        <v>159.40099833610648</v>
      </c>
      <c r="Q20" s="38">
        <f>P19/O20*100</f>
        <v>97.5957620211899</v>
      </c>
      <c r="R20" s="39">
        <v>12478</v>
      </c>
      <c r="S20" s="37">
        <f>S19/R19*100</f>
        <v>77.39441930618402</v>
      </c>
      <c r="T20" s="38">
        <f>S19/R20*100</f>
        <v>65.79580060907196</v>
      </c>
      <c r="U20" s="10"/>
    </row>
    <row r="21" spans="1:21" ht="15" customHeight="1">
      <c r="A21" s="103" t="s">
        <v>16</v>
      </c>
      <c r="B21" s="7" t="s">
        <v>6</v>
      </c>
      <c r="C21" s="25" t="s">
        <v>7</v>
      </c>
      <c r="D21" s="40">
        <v>624</v>
      </c>
      <c r="E21" s="41">
        <v>-164</v>
      </c>
      <c r="F21" s="42">
        <f>8701-150</f>
        <v>8551</v>
      </c>
      <c r="G21" s="130">
        <f>16850-8814</f>
        <v>8036</v>
      </c>
      <c r="H21" s="131"/>
      <c r="I21" s="42">
        <v>2952</v>
      </c>
      <c r="J21" s="130">
        <v>831</v>
      </c>
      <c r="K21" s="131"/>
      <c r="L21" s="42">
        <f t="shared" si="0"/>
        <v>11503</v>
      </c>
      <c r="M21" s="130">
        <f>SUM(G21+J21)</f>
        <v>8867</v>
      </c>
      <c r="N21" s="131"/>
      <c r="O21" s="42">
        <v>1739</v>
      </c>
      <c r="P21" s="130">
        <v>493</v>
      </c>
      <c r="Q21" s="131"/>
      <c r="R21" s="42">
        <v>2</v>
      </c>
      <c r="S21" s="130">
        <v>25</v>
      </c>
      <c r="T21" s="131"/>
      <c r="U21" s="8"/>
    </row>
    <row r="22" spans="1:21" ht="15" customHeight="1" thickBot="1">
      <c r="A22" s="104" t="s">
        <v>16</v>
      </c>
      <c r="B22" s="9" t="s">
        <v>8</v>
      </c>
      <c r="C22" s="26" t="s">
        <v>46</v>
      </c>
      <c r="D22" s="43">
        <v>997</v>
      </c>
      <c r="E22" s="44" t="s">
        <v>9</v>
      </c>
      <c r="F22" s="39">
        <f>9135-152</f>
        <v>8983</v>
      </c>
      <c r="G22" s="37">
        <f>G21/F21*100</f>
        <v>93.97731259501812</v>
      </c>
      <c r="H22" s="38">
        <f>G21/F22*100</f>
        <v>89.4578648558388</v>
      </c>
      <c r="I22" s="39">
        <v>832</v>
      </c>
      <c r="J22" s="37">
        <f>J21/I21*100</f>
        <v>28.15040650406504</v>
      </c>
      <c r="K22" s="38">
        <f>J21/I22*100</f>
        <v>99.8798076923077</v>
      </c>
      <c r="L22" s="39">
        <f t="shared" si="0"/>
        <v>9815</v>
      </c>
      <c r="M22" s="37">
        <f>M21/L21*100</f>
        <v>77.08423889420152</v>
      </c>
      <c r="N22" s="38">
        <f>M21/L22*100</f>
        <v>90.34131431482425</v>
      </c>
      <c r="O22" s="39">
        <v>685</v>
      </c>
      <c r="P22" s="37">
        <f>P21/O21*100</f>
        <v>28.349626221966645</v>
      </c>
      <c r="Q22" s="38">
        <f>P21/O22*100</f>
        <v>71.97080291970804</v>
      </c>
      <c r="R22" s="39">
        <v>25</v>
      </c>
      <c r="S22" s="37">
        <f>S21/R21*100</f>
        <v>1250</v>
      </c>
      <c r="T22" s="38">
        <f>S21/R22*100</f>
        <v>100</v>
      </c>
      <c r="U22" s="10"/>
    </row>
    <row r="23" spans="1:21" ht="15" customHeight="1">
      <c r="A23" s="103" t="s">
        <v>47</v>
      </c>
      <c r="B23" s="7" t="s">
        <v>6</v>
      </c>
      <c r="C23" s="25" t="s">
        <v>7</v>
      </c>
      <c r="D23" s="31">
        <v>2265</v>
      </c>
      <c r="E23" s="32">
        <v>-24024</v>
      </c>
      <c r="F23" s="42">
        <f>197283-1879</f>
        <v>195404</v>
      </c>
      <c r="G23" s="130">
        <f>467276-286960</f>
        <v>180316</v>
      </c>
      <c r="H23" s="131"/>
      <c r="I23" s="33">
        <v>32581</v>
      </c>
      <c r="J23" s="130">
        <v>44508</v>
      </c>
      <c r="K23" s="131"/>
      <c r="L23" s="42">
        <f t="shared" si="0"/>
        <v>227985</v>
      </c>
      <c r="M23" s="130">
        <f>SUM(G23+J23)</f>
        <v>224824</v>
      </c>
      <c r="N23" s="131"/>
      <c r="O23" s="42">
        <v>13694</v>
      </c>
      <c r="P23" s="130">
        <v>15312</v>
      </c>
      <c r="Q23" s="131"/>
      <c r="R23" s="42">
        <v>22202</v>
      </c>
      <c r="S23" s="130">
        <v>19214</v>
      </c>
      <c r="T23" s="131"/>
      <c r="U23" s="8"/>
    </row>
    <row r="24" spans="1:21" ht="15" customHeight="1" thickBot="1">
      <c r="A24" s="104" t="s">
        <v>17</v>
      </c>
      <c r="B24" s="9" t="s">
        <v>8</v>
      </c>
      <c r="C24" s="26" t="s">
        <v>46</v>
      </c>
      <c r="D24" s="31">
        <v>11281</v>
      </c>
      <c r="E24" s="35" t="s">
        <v>9</v>
      </c>
      <c r="F24" s="39">
        <f>214014-1879</f>
        <v>212135</v>
      </c>
      <c r="G24" s="37">
        <f>G23/F23*100</f>
        <v>92.27856133958363</v>
      </c>
      <c r="H24" s="38">
        <f>G23/F24*100</f>
        <v>85.0005892474132</v>
      </c>
      <c r="I24" s="45">
        <v>54807</v>
      </c>
      <c r="J24" s="37">
        <f>J23/I23*100</f>
        <v>136.60722506982597</v>
      </c>
      <c r="K24" s="38">
        <f>J23/I24*100</f>
        <v>81.2086047402704</v>
      </c>
      <c r="L24" s="39">
        <f t="shared" si="0"/>
        <v>266942</v>
      </c>
      <c r="M24" s="37" t="s">
        <v>0</v>
      </c>
      <c r="N24" s="38">
        <f>M23/L24*100</f>
        <v>84.22204074293292</v>
      </c>
      <c r="O24" s="39">
        <v>20046</v>
      </c>
      <c r="P24" s="37">
        <f>P23/O23*100</f>
        <v>111.81539360303783</v>
      </c>
      <c r="Q24" s="38">
        <f>P23/O24*100</f>
        <v>76.38431607303202</v>
      </c>
      <c r="R24" s="39">
        <v>22791</v>
      </c>
      <c r="S24" s="37">
        <f>S23/R23*100</f>
        <v>86.54175299522565</v>
      </c>
      <c r="T24" s="38">
        <f>S23/R24*100</f>
        <v>84.3052081962178</v>
      </c>
      <c r="U24" s="10"/>
    </row>
    <row r="25" spans="1:21" ht="15" customHeight="1">
      <c r="A25" s="103" t="s">
        <v>18</v>
      </c>
      <c r="B25" s="7" t="s">
        <v>6</v>
      </c>
      <c r="C25" s="25" t="s">
        <v>7</v>
      </c>
      <c r="D25" s="40">
        <v>0</v>
      </c>
      <c r="E25" s="41">
        <v>-1669</v>
      </c>
      <c r="F25" s="42">
        <f>43060-225</f>
        <v>42835</v>
      </c>
      <c r="G25" s="130">
        <f>56209-963</f>
        <v>55246</v>
      </c>
      <c r="H25" s="131"/>
      <c r="I25" s="42">
        <v>9970</v>
      </c>
      <c r="J25" s="130">
        <v>15853</v>
      </c>
      <c r="K25" s="131"/>
      <c r="L25" s="42">
        <f>SUM(F25+I25)</f>
        <v>52805</v>
      </c>
      <c r="M25" s="130">
        <f>SUM(G25+J25)</f>
        <v>71099</v>
      </c>
      <c r="N25" s="131"/>
      <c r="O25" s="42">
        <v>3700</v>
      </c>
      <c r="P25" s="130">
        <v>3089</v>
      </c>
      <c r="Q25" s="131"/>
      <c r="R25" s="42">
        <v>6141</v>
      </c>
      <c r="S25" s="130">
        <v>5748</v>
      </c>
      <c r="T25" s="131"/>
      <c r="U25" s="8"/>
    </row>
    <row r="26" spans="1:21" ht="15" customHeight="1" thickBot="1">
      <c r="A26" s="104" t="s">
        <v>18</v>
      </c>
      <c r="B26" s="9" t="s">
        <v>8</v>
      </c>
      <c r="C26" s="26" t="s">
        <v>46</v>
      </c>
      <c r="D26" s="43">
        <v>1779</v>
      </c>
      <c r="E26" s="44" t="s">
        <v>9</v>
      </c>
      <c r="F26" s="39">
        <f>58615-225</f>
        <v>58390</v>
      </c>
      <c r="G26" s="37">
        <f>G25/F25*100</f>
        <v>128.9739698844403</v>
      </c>
      <c r="H26" s="38">
        <f>G25/F26*100</f>
        <v>94.61551635554034</v>
      </c>
      <c r="I26" s="39">
        <v>15944</v>
      </c>
      <c r="J26" s="37">
        <f>J25/I25*100</f>
        <v>159.00702106318957</v>
      </c>
      <c r="K26" s="38">
        <f>J25/I26*100</f>
        <v>99.42925238334169</v>
      </c>
      <c r="L26" s="39">
        <f t="shared" si="0"/>
        <v>74334</v>
      </c>
      <c r="M26" s="37">
        <f>M25/L25*100</f>
        <v>134.64444654862228</v>
      </c>
      <c r="N26" s="38">
        <f>M25/L26*100</f>
        <v>95.64802109398121</v>
      </c>
      <c r="O26" s="39">
        <v>3465</v>
      </c>
      <c r="P26" s="37">
        <f>P25/O25*100</f>
        <v>83.48648648648648</v>
      </c>
      <c r="Q26" s="38">
        <f>P25/O26*100</f>
        <v>89.14862914862914</v>
      </c>
      <c r="R26" s="39">
        <v>5798</v>
      </c>
      <c r="S26" s="37">
        <f>S25/R25*100</f>
        <v>93.60039081582804</v>
      </c>
      <c r="T26" s="38">
        <f>S25/R26*100</f>
        <v>99.13763366678164</v>
      </c>
      <c r="U26" s="10"/>
    </row>
    <row r="27" spans="1:21" ht="15" customHeight="1">
      <c r="A27" s="103" t="s">
        <v>19</v>
      </c>
      <c r="B27" s="7" t="s">
        <v>6</v>
      </c>
      <c r="C27" s="25" t="s">
        <v>7</v>
      </c>
      <c r="D27" s="31">
        <v>0</v>
      </c>
      <c r="E27" s="32">
        <v>249</v>
      </c>
      <c r="F27" s="42">
        <f>9302-376</f>
        <v>8926</v>
      </c>
      <c r="G27" s="130">
        <f>29131-17763</f>
        <v>11368</v>
      </c>
      <c r="H27" s="131"/>
      <c r="I27" s="33">
        <v>5781</v>
      </c>
      <c r="J27" s="130">
        <v>6373</v>
      </c>
      <c r="K27" s="131"/>
      <c r="L27" s="42">
        <f t="shared" si="0"/>
        <v>14707</v>
      </c>
      <c r="M27" s="130">
        <f>SUM(G27+J27)</f>
        <v>17741</v>
      </c>
      <c r="N27" s="131"/>
      <c r="O27" s="42">
        <v>3212</v>
      </c>
      <c r="P27" s="130">
        <v>2595</v>
      </c>
      <c r="Q27" s="131"/>
      <c r="R27" s="42">
        <v>1491</v>
      </c>
      <c r="S27" s="130">
        <v>1994</v>
      </c>
      <c r="T27" s="131"/>
      <c r="U27" s="8"/>
    </row>
    <row r="28" spans="1:21" ht="15" customHeight="1" thickBot="1">
      <c r="A28" s="104" t="s">
        <v>19</v>
      </c>
      <c r="B28" s="9" t="s">
        <v>8</v>
      </c>
      <c r="C28" s="26" t="s">
        <v>46</v>
      </c>
      <c r="D28" s="34">
        <v>576</v>
      </c>
      <c r="E28" s="35" t="s">
        <v>9</v>
      </c>
      <c r="F28" s="45">
        <f>12600-376</f>
        <v>12224</v>
      </c>
      <c r="G28" s="37">
        <f>G27/F27*100</f>
        <v>127.35827918440509</v>
      </c>
      <c r="H28" s="38">
        <f>G27/F28*100</f>
        <v>92.99738219895288</v>
      </c>
      <c r="I28" s="45">
        <v>6576</v>
      </c>
      <c r="J28" s="37">
        <f>J27/I27*100</f>
        <v>110.24044282996022</v>
      </c>
      <c r="K28" s="38">
        <f>J27/I28*100</f>
        <v>96.91301703163016</v>
      </c>
      <c r="L28" s="39">
        <f t="shared" si="0"/>
        <v>18800</v>
      </c>
      <c r="M28" s="37">
        <f>M27/L27*100</f>
        <v>120.62963214795674</v>
      </c>
      <c r="N28" s="38">
        <f>M27/L28*100</f>
        <v>94.36702127659574</v>
      </c>
      <c r="O28" s="39">
        <v>2810</v>
      </c>
      <c r="P28" s="37">
        <f>P27/O27*100</f>
        <v>80.79078455790784</v>
      </c>
      <c r="Q28" s="38">
        <f>P27/O28*100</f>
        <v>92.34875444839858</v>
      </c>
      <c r="R28" s="39">
        <v>1996</v>
      </c>
      <c r="S28" s="37">
        <f>S27/R27*100</f>
        <v>133.73574782025486</v>
      </c>
      <c r="T28" s="38">
        <f>S27/R28*100</f>
        <v>99.8997995991984</v>
      </c>
      <c r="U28" s="10"/>
    </row>
    <row r="29" spans="1:21" ht="15" customHeight="1">
      <c r="A29" s="103" t="s">
        <v>20</v>
      </c>
      <c r="B29" s="11" t="s">
        <v>6</v>
      </c>
      <c r="C29" s="27" t="s">
        <v>7</v>
      </c>
      <c r="D29" s="40">
        <v>2000</v>
      </c>
      <c r="E29" s="41">
        <v>-1360</v>
      </c>
      <c r="F29" s="42">
        <f>16393-250</f>
        <v>16143</v>
      </c>
      <c r="G29" s="130">
        <f>17287-1611</f>
        <v>15676</v>
      </c>
      <c r="H29" s="131"/>
      <c r="I29" s="42">
        <v>6194</v>
      </c>
      <c r="J29" s="130">
        <v>7547</v>
      </c>
      <c r="K29" s="131"/>
      <c r="L29" s="42">
        <f t="shared" si="0"/>
        <v>22337</v>
      </c>
      <c r="M29" s="130">
        <f>SUM(G29+J29)</f>
        <v>23223</v>
      </c>
      <c r="N29" s="131"/>
      <c r="O29" s="42">
        <v>5034</v>
      </c>
      <c r="P29" s="130">
        <v>5027</v>
      </c>
      <c r="Q29" s="131"/>
      <c r="R29" s="42">
        <v>2655</v>
      </c>
      <c r="S29" s="130">
        <v>3324</v>
      </c>
      <c r="T29" s="131"/>
      <c r="U29" s="8"/>
    </row>
    <row r="30" spans="1:21" ht="15" customHeight="1" thickBot="1">
      <c r="A30" s="104" t="s">
        <v>20</v>
      </c>
      <c r="B30" s="9" t="s">
        <v>8</v>
      </c>
      <c r="C30" s="26" t="s">
        <v>46</v>
      </c>
      <c r="D30" s="43">
        <v>1001</v>
      </c>
      <c r="E30" s="44" t="s">
        <v>9</v>
      </c>
      <c r="F30" s="39">
        <f>17322-250</f>
        <v>17072</v>
      </c>
      <c r="G30" s="37">
        <f>G29/F29*100</f>
        <v>97.10710524685622</v>
      </c>
      <c r="H30" s="38">
        <f>G29/F30*100</f>
        <v>91.82286785379569</v>
      </c>
      <c r="I30" s="39">
        <v>8261</v>
      </c>
      <c r="J30" s="37">
        <f>J29/I30*100</f>
        <v>91.35697857402252</v>
      </c>
      <c r="K30" s="38">
        <f>J29/I29*100</f>
        <v>121.84371972876977</v>
      </c>
      <c r="L30" s="39">
        <f t="shared" si="0"/>
        <v>25333</v>
      </c>
      <c r="M30" s="37">
        <f>M29/L29*100</f>
        <v>103.96651296055872</v>
      </c>
      <c r="N30" s="38">
        <f>M29/L30*100</f>
        <v>91.67094303872419</v>
      </c>
      <c r="O30" s="39">
        <v>5875</v>
      </c>
      <c r="P30" s="37">
        <f>P29/O29*100</f>
        <v>99.86094557012316</v>
      </c>
      <c r="Q30" s="38">
        <f>P29/O30*100</f>
        <v>85.56595744680851</v>
      </c>
      <c r="R30" s="39">
        <v>3352</v>
      </c>
      <c r="S30" s="37">
        <f>S29/R29*100</f>
        <v>125.19774011299435</v>
      </c>
      <c r="T30" s="38">
        <f>S29/R30*100</f>
        <v>99.16467780429595</v>
      </c>
      <c r="U30" s="10"/>
    </row>
    <row r="31" spans="1:21" ht="15" customHeight="1">
      <c r="A31" s="107" t="s">
        <v>21</v>
      </c>
      <c r="B31" s="7" t="s">
        <v>6</v>
      </c>
      <c r="C31" s="25" t="s">
        <v>7</v>
      </c>
      <c r="D31" s="33">
        <v>2000</v>
      </c>
      <c r="E31" s="32">
        <v>-476</v>
      </c>
      <c r="F31" s="33">
        <f>15983-600</f>
        <v>15383</v>
      </c>
      <c r="G31" s="120">
        <f>42573-29556</f>
        <v>13017</v>
      </c>
      <c r="H31" s="121"/>
      <c r="I31" s="33">
        <v>18761</v>
      </c>
      <c r="J31" s="120">
        <v>12725</v>
      </c>
      <c r="K31" s="121"/>
      <c r="L31" s="33">
        <f>SUM(F31+I31)</f>
        <v>34144</v>
      </c>
      <c r="M31" s="120">
        <f>SUM(G31+J31)</f>
        <v>25742</v>
      </c>
      <c r="N31" s="121"/>
      <c r="O31" s="33">
        <v>382</v>
      </c>
      <c r="P31" s="120">
        <v>167</v>
      </c>
      <c r="Q31" s="121"/>
      <c r="R31" s="33">
        <v>0</v>
      </c>
      <c r="S31" s="120">
        <v>0</v>
      </c>
      <c r="T31" s="121"/>
      <c r="U31" s="8"/>
    </row>
    <row r="32" spans="1:21" ht="15" customHeight="1" thickBot="1">
      <c r="A32" s="104" t="s">
        <v>21</v>
      </c>
      <c r="B32" s="9" t="s">
        <v>8</v>
      </c>
      <c r="C32" s="26" t="s">
        <v>46</v>
      </c>
      <c r="D32" s="39">
        <v>2606</v>
      </c>
      <c r="E32" s="44" t="s">
        <v>9</v>
      </c>
      <c r="F32" s="39">
        <f>17621-600</f>
        <v>17021</v>
      </c>
      <c r="G32" s="37">
        <f>G31/F31*100</f>
        <v>84.61938503542872</v>
      </c>
      <c r="H32" s="38">
        <f>G31/F32*100</f>
        <v>76.47611773691322</v>
      </c>
      <c r="I32" s="39">
        <v>12992</v>
      </c>
      <c r="J32" s="37">
        <f>J31/I31*100</f>
        <v>67.82687490005863</v>
      </c>
      <c r="K32" s="38">
        <f>J31/I32*100</f>
        <v>97.94488916256158</v>
      </c>
      <c r="L32" s="39">
        <f aca="true" t="shared" si="1" ref="L32:L52">SUM(F32+I32)</f>
        <v>30013</v>
      </c>
      <c r="M32" s="37">
        <f>M31/L31*100</f>
        <v>75.39245548266167</v>
      </c>
      <c r="N32" s="38">
        <f>M31/L32*100</f>
        <v>85.76949988338387</v>
      </c>
      <c r="O32" s="39">
        <v>302</v>
      </c>
      <c r="P32" s="37">
        <f>P31/O31*100</f>
        <v>43.717277486910994</v>
      </c>
      <c r="Q32" s="38">
        <f>P31/O32*100</f>
        <v>55.29801324503312</v>
      </c>
      <c r="R32" s="39">
        <v>0</v>
      </c>
      <c r="S32" s="37" t="s">
        <v>13</v>
      </c>
      <c r="T32" s="38" t="s">
        <v>9</v>
      </c>
      <c r="U32" s="10"/>
    </row>
    <row r="33" spans="1:21" ht="15" customHeight="1">
      <c r="A33" s="103" t="s">
        <v>22</v>
      </c>
      <c r="B33" s="11" t="s">
        <v>6</v>
      </c>
      <c r="C33" s="27" t="s">
        <v>7</v>
      </c>
      <c r="D33" s="40">
        <v>624</v>
      </c>
      <c r="E33" s="41">
        <v>-1117</v>
      </c>
      <c r="F33" s="42">
        <f>13023-163</f>
        <v>12860</v>
      </c>
      <c r="G33" s="130">
        <f>23687-14215</f>
        <v>9472</v>
      </c>
      <c r="H33" s="131"/>
      <c r="I33" s="42">
        <v>5636</v>
      </c>
      <c r="J33" s="130">
        <v>2012</v>
      </c>
      <c r="K33" s="131"/>
      <c r="L33" s="42">
        <f t="shared" si="1"/>
        <v>18496</v>
      </c>
      <c r="M33" s="130">
        <f>SUM(G33+J33)</f>
        <v>11484</v>
      </c>
      <c r="N33" s="131"/>
      <c r="O33" s="42">
        <v>2860</v>
      </c>
      <c r="P33" s="130">
        <v>435</v>
      </c>
      <c r="Q33" s="131"/>
      <c r="R33" s="42">
        <v>1163</v>
      </c>
      <c r="S33" s="130">
        <v>942</v>
      </c>
      <c r="T33" s="131"/>
      <c r="U33" s="8"/>
    </row>
    <row r="34" spans="1:21" ht="15" customHeight="1" thickBot="1">
      <c r="A34" s="108" t="s">
        <v>22</v>
      </c>
      <c r="B34" s="28" t="s">
        <v>8</v>
      </c>
      <c r="C34" s="29" t="s">
        <v>46</v>
      </c>
      <c r="D34" s="47">
        <v>8297</v>
      </c>
      <c r="E34" s="48" t="s">
        <v>9</v>
      </c>
      <c r="F34" s="49">
        <f>14633-163</f>
        <v>14470</v>
      </c>
      <c r="G34" s="50">
        <f>G33/F33*100</f>
        <v>73.65474339035771</v>
      </c>
      <c r="H34" s="51">
        <f>G33/F34*100</f>
        <v>65.45957152729785</v>
      </c>
      <c r="I34" s="49">
        <v>6975</v>
      </c>
      <c r="J34" s="50">
        <f>J33/I33*100</f>
        <v>35.699077359829666</v>
      </c>
      <c r="K34" s="51">
        <f>J33/I34*100</f>
        <v>28.845878136200714</v>
      </c>
      <c r="L34" s="49">
        <f t="shared" si="1"/>
        <v>21445</v>
      </c>
      <c r="M34" s="50">
        <f>M33/L33*100</f>
        <v>62.089100346020764</v>
      </c>
      <c r="N34" s="51">
        <f>M33/L34*100</f>
        <v>53.55094427605502</v>
      </c>
      <c r="O34" s="49">
        <v>3038</v>
      </c>
      <c r="P34" s="50">
        <f>P33/O33*100</f>
        <v>15.209790209790212</v>
      </c>
      <c r="Q34" s="51">
        <f>P33/O34*100</f>
        <v>14.318630678077682</v>
      </c>
      <c r="R34" s="49">
        <v>1012</v>
      </c>
      <c r="S34" s="50">
        <f>S33/R33*100</f>
        <v>80.99742046431643</v>
      </c>
      <c r="T34" s="51">
        <f>S33/R34*100</f>
        <v>93.08300395256917</v>
      </c>
      <c r="U34" s="10"/>
    </row>
    <row r="35" spans="1:21" ht="15" customHeight="1" thickTop="1">
      <c r="A35" s="107" t="s">
        <v>23</v>
      </c>
      <c r="B35" s="7" t="s">
        <v>6</v>
      </c>
      <c r="C35" s="25" t="s">
        <v>7</v>
      </c>
      <c r="D35" s="52">
        <v>4412</v>
      </c>
      <c r="E35" s="32">
        <v>-2997</v>
      </c>
      <c r="F35" s="33">
        <f>31717-380</f>
        <v>31337</v>
      </c>
      <c r="G35" s="120">
        <f>52684-26969</f>
        <v>25715</v>
      </c>
      <c r="H35" s="121"/>
      <c r="I35" s="33">
        <v>5210</v>
      </c>
      <c r="J35" s="120">
        <v>2143</v>
      </c>
      <c r="K35" s="121"/>
      <c r="L35" s="33">
        <f t="shared" si="1"/>
        <v>36547</v>
      </c>
      <c r="M35" s="120">
        <f>SUM(G35+J35)</f>
        <v>27858</v>
      </c>
      <c r="N35" s="121"/>
      <c r="O35" s="33">
        <v>1065</v>
      </c>
      <c r="P35" s="120">
        <v>665</v>
      </c>
      <c r="Q35" s="121"/>
      <c r="R35" s="33">
        <v>5726</v>
      </c>
      <c r="S35" s="120">
        <v>6336</v>
      </c>
      <c r="T35" s="121"/>
      <c r="U35" s="8"/>
    </row>
    <row r="36" spans="1:21" ht="15" customHeight="1" thickBot="1">
      <c r="A36" s="104" t="s">
        <v>23</v>
      </c>
      <c r="B36" s="9" t="s">
        <v>8</v>
      </c>
      <c r="C36" s="26" t="s">
        <v>46</v>
      </c>
      <c r="D36" s="39">
        <v>4388</v>
      </c>
      <c r="E36" s="44" t="s">
        <v>9</v>
      </c>
      <c r="F36" s="39">
        <f>33271-380</f>
        <v>32891</v>
      </c>
      <c r="G36" s="37">
        <f>G35/F35*100</f>
        <v>82.0595462233143</v>
      </c>
      <c r="H36" s="38">
        <f>G35/F36*100</f>
        <v>78.18248152990179</v>
      </c>
      <c r="I36" s="39">
        <v>2843</v>
      </c>
      <c r="J36" s="37">
        <f>J35/I35*100</f>
        <v>41.132437619961614</v>
      </c>
      <c r="K36" s="38">
        <f>J35/I36*100</f>
        <v>75.37812170242701</v>
      </c>
      <c r="L36" s="39">
        <f t="shared" si="1"/>
        <v>35734</v>
      </c>
      <c r="M36" s="37">
        <f>M35/L35*100</f>
        <v>76.22513475798287</v>
      </c>
      <c r="N36" s="38">
        <f>M35/L36*100</f>
        <v>77.95936642973079</v>
      </c>
      <c r="O36" s="39">
        <v>1005</v>
      </c>
      <c r="P36" s="37">
        <f>P35/O35*100</f>
        <v>62.441314553990615</v>
      </c>
      <c r="Q36" s="38">
        <f>P35/O36*100</f>
        <v>66.16915422885572</v>
      </c>
      <c r="R36" s="39">
        <v>6913</v>
      </c>
      <c r="S36" s="37">
        <f>S35/R35*100</f>
        <v>110.65316101990919</v>
      </c>
      <c r="T36" s="38">
        <f>S35/R36*100</f>
        <v>91.6534066251989</v>
      </c>
      <c r="U36" s="10"/>
    </row>
    <row r="37" spans="1:21" ht="15" customHeight="1">
      <c r="A37" s="103" t="s">
        <v>48</v>
      </c>
      <c r="B37" s="7" t="s">
        <v>6</v>
      </c>
      <c r="C37" s="25" t="s">
        <v>7</v>
      </c>
      <c r="D37" s="31">
        <v>13194</v>
      </c>
      <c r="E37" s="32">
        <v>3822</v>
      </c>
      <c r="F37" s="33">
        <f>66733-974</f>
        <v>65759</v>
      </c>
      <c r="G37" s="130">
        <f>209776-123378</f>
        <v>86398</v>
      </c>
      <c r="H37" s="131"/>
      <c r="I37" s="33">
        <v>26096</v>
      </c>
      <c r="J37" s="130">
        <v>35805</v>
      </c>
      <c r="K37" s="131"/>
      <c r="L37" s="42">
        <f t="shared" si="1"/>
        <v>91855</v>
      </c>
      <c r="M37" s="130">
        <f>SUM(G37+J37)</f>
        <v>122203</v>
      </c>
      <c r="N37" s="131"/>
      <c r="O37" s="42">
        <v>14303</v>
      </c>
      <c r="P37" s="130">
        <v>10705</v>
      </c>
      <c r="Q37" s="131"/>
      <c r="R37" s="33">
        <v>11737</v>
      </c>
      <c r="S37" s="130">
        <v>11710</v>
      </c>
      <c r="T37" s="131"/>
      <c r="U37" s="8"/>
    </row>
    <row r="38" spans="1:21" ht="15" customHeight="1" thickBot="1">
      <c r="A38" s="104" t="s">
        <v>24</v>
      </c>
      <c r="B38" s="9" t="s">
        <v>8</v>
      </c>
      <c r="C38" s="26" t="s">
        <v>46</v>
      </c>
      <c r="D38" s="34">
        <v>8586</v>
      </c>
      <c r="E38" s="35" t="s">
        <v>9</v>
      </c>
      <c r="F38" s="45">
        <f>93181-1512</f>
        <v>91669</v>
      </c>
      <c r="G38" s="37">
        <f>G37/F37*100</f>
        <v>131.3858179108563</v>
      </c>
      <c r="H38" s="38">
        <f>G37/F38*100</f>
        <v>94.249964546357</v>
      </c>
      <c r="I38" s="45">
        <v>36942</v>
      </c>
      <c r="J38" s="37">
        <f>J37/I37*100</f>
        <v>137.20493562231758</v>
      </c>
      <c r="K38" s="38">
        <f>J37/I38*100</f>
        <v>96.92220237128471</v>
      </c>
      <c r="L38" s="39">
        <f t="shared" si="1"/>
        <v>128611</v>
      </c>
      <c r="M38" s="37">
        <f>M37/L37*100</f>
        <v>133.03902890425127</v>
      </c>
      <c r="N38" s="38">
        <f>M37/L38*100</f>
        <v>95.01753349246954</v>
      </c>
      <c r="O38" s="39">
        <v>11950</v>
      </c>
      <c r="P38" s="37">
        <f>P37/O37*100</f>
        <v>74.84443822974201</v>
      </c>
      <c r="Q38" s="38">
        <f>P37/O38*100</f>
        <v>89.58158995815899</v>
      </c>
      <c r="R38" s="45">
        <v>11993</v>
      </c>
      <c r="S38" s="37">
        <f>S37/R37*100</f>
        <v>99.76995825168271</v>
      </c>
      <c r="T38" s="38">
        <f>S37/R38*100</f>
        <v>97.64029016926541</v>
      </c>
      <c r="U38" s="10"/>
    </row>
    <row r="39" spans="1:21" ht="15" customHeight="1">
      <c r="A39" s="103" t="s">
        <v>25</v>
      </c>
      <c r="B39" s="7" t="s">
        <v>6</v>
      </c>
      <c r="C39" s="25" t="s">
        <v>7</v>
      </c>
      <c r="D39" s="40">
        <v>686</v>
      </c>
      <c r="E39" s="41">
        <v>12</v>
      </c>
      <c r="F39" s="42">
        <f>18591-279</f>
        <v>18312</v>
      </c>
      <c r="G39" s="130">
        <f>43949-25730</f>
        <v>18219</v>
      </c>
      <c r="H39" s="131"/>
      <c r="I39" s="42">
        <v>7607</v>
      </c>
      <c r="J39" s="130">
        <v>9193</v>
      </c>
      <c r="K39" s="131"/>
      <c r="L39" s="42">
        <f t="shared" si="1"/>
        <v>25919</v>
      </c>
      <c r="M39" s="53"/>
      <c r="N39" s="54">
        <f>SUM(G39+J39)</f>
        <v>27412</v>
      </c>
      <c r="O39" s="42">
        <v>964</v>
      </c>
      <c r="P39" s="130">
        <v>649</v>
      </c>
      <c r="Q39" s="131"/>
      <c r="R39" s="42">
        <v>2903</v>
      </c>
      <c r="S39" s="130">
        <v>3208</v>
      </c>
      <c r="T39" s="131"/>
      <c r="U39" s="8"/>
    </row>
    <row r="40" spans="1:21" ht="15" customHeight="1" thickBot="1">
      <c r="A40" s="104" t="s">
        <v>25</v>
      </c>
      <c r="B40" s="9" t="s">
        <v>8</v>
      </c>
      <c r="C40" s="26" t="s">
        <v>46</v>
      </c>
      <c r="D40" s="43">
        <v>3118</v>
      </c>
      <c r="E40" s="44" t="s">
        <v>9</v>
      </c>
      <c r="F40" s="39">
        <f>20564-279</f>
        <v>20285</v>
      </c>
      <c r="G40" s="37">
        <f>G39/F39*100</f>
        <v>99.49213630406291</v>
      </c>
      <c r="H40" s="38">
        <f>G39/F40*100</f>
        <v>89.81513433571605</v>
      </c>
      <c r="I40" s="39">
        <v>9862</v>
      </c>
      <c r="J40" s="37">
        <f>J39/I39*100</f>
        <v>120.84921782568688</v>
      </c>
      <c r="K40" s="38">
        <f>J39/I40*100</f>
        <v>93.21638612857433</v>
      </c>
      <c r="L40" s="39">
        <f t="shared" si="1"/>
        <v>30147</v>
      </c>
      <c r="M40" s="55">
        <f>N39/L39*100</f>
        <v>105.76025309618427</v>
      </c>
      <c r="N40" s="38">
        <f>N39/L40*100</f>
        <v>90.9277871761701</v>
      </c>
      <c r="O40" s="39">
        <v>1295</v>
      </c>
      <c r="P40" s="37">
        <f>P39/O39*100</f>
        <v>67.32365145228216</v>
      </c>
      <c r="Q40" s="38">
        <f>P39/O40*100</f>
        <v>50.11583011583012</v>
      </c>
      <c r="R40" s="39">
        <v>3317</v>
      </c>
      <c r="S40" s="37">
        <f>S39/R39*100</f>
        <v>110.50637271787807</v>
      </c>
      <c r="T40" s="38">
        <f>S39/R40*100</f>
        <v>96.7138981006934</v>
      </c>
      <c r="U40" s="10"/>
    </row>
    <row r="41" spans="1:21" ht="15" customHeight="1">
      <c r="A41" s="103" t="s">
        <v>26</v>
      </c>
      <c r="B41" s="7" t="s">
        <v>6</v>
      </c>
      <c r="C41" s="25" t="s">
        <v>7</v>
      </c>
      <c r="D41" s="31">
        <v>2559</v>
      </c>
      <c r="E41" s="32">
        <v>-6119</v>
      </c>
      <c r="F41" s="33">
        <f>16912-199</f>
        <v>16713</v>
      </c>
      <c r="G41" s="130">
        <f>22790-10835</f>
        <v>11955</v>
      </c>
      <c r="H41" s="131"/>
      <c r="I41" s="33">
        <v>5061</v>
      </c>
      <c r="J41" s="130">
        <v>815</v>
      </c>
      <c r="K41" s="131"/>
      <c r="L41" s="42">
        <f t="shared" si="1"/>
        <v>21774</v>
      </c>
      <c r="M41" s="130">
        <f>SUM(G41+J41)</f>
        <v>12770</v>
      </c>
      <c r="N41" s="131"/>
      <c r="O41" s="42">
        <v>1613</v>
      </c>
      <c r="P41" s="130">
        <v>214</v>
      </c>
      <c r="Q41" s="131"/>
      <c r="R41" s="33">
        <v>523</v>
      </c>
      <c r="S41" s="130">
        <v>483</v>
      </c>
      <c r="T41" s="131"/>
      <c r="U41" s="8"/>
    </row>
    <row r="42" spans="1:21" ht="15" customHeight="1" thickBot="1">
      <c r="A42" s="104" t="s">
        <v>26</v>
      </c>
      <c r="B42" s="9" t="s">
        <v>8</v>
      </c>
      <c r="C42" s="26" t="s">
        <v>46</v>
      </c>
      <c r="D42" s="34">
        <v>2499</v>
      </c>
      <c r="E42" s="35" t="s">
        <v>9</v>
      </c>
      <c r="F42" s="45">
        <f>21235-199</f>
        <v>21036</v>
      </c>
      <c r="G42" s="37">
        <f>G41/F41*100</f>
        <v>71.53114342128882</v>
      </c>
      <c r="H42" s="38">
        <f>G41/F42*100</f>
        <v>56.831146605818596</v>
      </c>
      <c r="I42" s="45">
        <v>817</v>
      </c>
      <c r="J42" s="37">
        <f>J41/I41*100</f>
        <v>16.103536850424817</v>
      </c>
      <c r="K42" s="38">
        <f>J41/I42*100</f>
        <v>99.75520195838433</v>
      </c>
      <c r="L42" s="39">
        <f t="shared" si="1"/>
        <v>21853</v>
      </c>
      <c r="M42" s="37">
        <f>M41/L41*100</f>
        <v>58.64792872232938</v>
      </c>
      <c r="N42" s="38">
        <f>M41/L42*100</f>
        <v>58.43591268933327</v>
      </c>
      <c r="O42" s="39">
        <v>1513</v>
      </c>
      <c r="P42" s="37">
        <f>P41/O41*100</f>
        <v>13.267203967761935</v>
      </c>
      <c r="Q42" s="38">
        <f>P41/O42*100</f>
        <v>14.144084600132187</v>
      </c>
      <c r="R42" s="45">
        <v>523</v>
      </c>
      <c r="S42" s="37">
        <f>S41/R41*100</f>
        <v>92.35181644359464</v>
      </c>
      <c r="T42" s="38">
        <f>S41/R42*100</f>
        <v>92.35181644359464</v>
      </c>
      <c r="U42" s="10"/>
    </row>
    <row r="43" spans="1:21" ht="15" customHeight="1">
      <c r="A43" s="103" t="s">
        <v>53</v>
      </c>
      <c r="B43" s="7" t="s">
        <v>6</v>
      </c>
      <c r="C43" s="25" t="s">
        <v>7</v>
      </c>
      <c r="D43" s="40">
        <v>17000</v>
      </c>
      <c r="E43" s="41">
        <v>-1311</v>
      </c>
      <c r="F43" s="42">
        <f>34451-350</f>
        <v>34101</v>
      </c>
      <c r="G43" s="130">
        <f>28618-1372</f>
        <v>27246</v>
      </c>
      <c r="H43" s="131"/>
      <c r="I43" s="42">
        <v>40650</v>
      </c>
      <c r="J43" s="130">
        <v>52443</v>
      </c>
      <c r="K43" s="131"/>
      <c r="L43" s="42">
        <f t="shared" si="1"/>
        <v>74751</v>
      </c>
      <c r="M43" s="130">
        <f>SUM(G43+J43)</f>
        <v>79689</v>
      </c>
      <c r="N43" s="131"/>
      <c r="O43" s="42">
        <v>21115</v>
      </c>
      <c r="P43" s="130">
        <v>9778</v>
      </c>
      <c r="Q43" s="131"/>
      <c r="R43" s="42">
        <v>6218</v>
      </c>
      <c r="S43" s="130">
        <v>5911</v>
      </c>
      <c r="T43" s="131"/>
      <c r="U43" s="8"/>
    </row>
    <row r="44" spans="1:45" ht="15" customHeight="1" thickBot="1">
      <c r="A44" s="104" t="s">
        <v>27</v>
      </c>
      <c r="B44" s="9" t="s">
        <v>8</v>
      </c>
      <c r="C44" s="26" t="s">
        <v>46</v>
      </c>
      <c r="D44" s="43">
        <v>26079</v>
      </c>
      <c r="E44" s="44" t="s">
        <v>9</v>
      </c>
      <c r="F44" s="39">
        <f>36761-350</f>
        <v>36411</v>
      </c>
      <c r="G44" s="37">
        <f>G43/F43*100</f>
        <v>79.89795020673881</v>
      </c>
      <c r="H44" s="38">
        <f>G43/F44*100</f>
        <v>74.82903518167586</v>
      </c>
      <c r="I44" s="39">
        <v>70662</v>
      </c>
      <c r="J44" s="37">
        <f>J43/I43*100</f>
        <v>129.0110701107011</v>
      </c>
      <c r="K44" s="38">
        <f>J43/I44*100</f>
        <v>74.21669355523478</v>
      </c>
      <c r="L44" s="39">
        <f t="shared" si="1"/>
        <v>107073</v>
      </c>
      <c r="M44" s="37">
        <f>M43/L43*100</f>
        <v>106.6059316932215</v>
      </c>
      <c r="N44" s="38">
        <f>M43/L44*100</f>
        <v>74.42492505113334</v>
      </c>
      <c r="O44" s="39">
        <v>20956</v>
      </c>
      <c r="P44" s="37">
        <f>P43/O43*100</f>
        <v>46.30831162680559</v>
      </c>
      <c r="Q44" s="38">
        <f>P43/O44*100</f>
        <v>46.65966787554877</v>
      </c>
      <c r="R44" s="39">
        <v>6818</v>
      </c>
      <c r="S44" s="37">
        <f>S43/R43*100</f>
        <v>95.06272113219684</v>
      </c>
      <c r="T44" s="38">
        <f>S43/R44*100</f>
        <v>86.69697858609563</v>
      </c>
      <c r="U44" s="10"/>
      <c r="AS44" s="1" t="s">
        <v>0</v>
      </c>
    </row>
    <row r="45" spans="1:21" ht="15" customHeight="1">
      <c r="A45" s="103" t="s">
        <v>28</v>
      </c>
      <c r="B45" s="7" t="s">
        <v>6</v>
      </c>
      <c r="C45" s="25" t="s">
        <v>7</v>
      </c>
      <c r="D45" s="31">
        <v>45657</v>
      </c>
      <c r="E45" s="32">
        <v>4095</v>
      </c>
      <c r="F45" s="42">
        <f>40781-768</f>
        <v>40013</v>
      </c>
      <c r="G45" s="130">
        <f>120017-82916</f>
        <v>37101</v>
      </c>
      <c r="H45" s="131"/>
      <c r="I45" s="42">
        <v>68478</v>
      </c>
      <c r="J45" s="130">
        <v>50251</v>
      </c>
      <c r="K45" s="131"/>
      <c r="L45" s="42">
        <f t="shared" si="1"/>
        <v>108491</v>
      </c>
      <c r="M45" s="130">
        <f>SUM(G45+J45)</f>
        <v>87352</v>
      </c>
      <c r="N45" s="131"/>
      <c r="O45" s="42">
        <v>1420</v>
      </c>
      <c r="P45" s="130">
        <v>853</v>
      </c>
      <c r="Q45" s="131"/>
      <c r="R45" s="33">
        <v>58379</v>
      </c>
      <c r="S45" s="130">
        <v>49603</v>
      </c>
      <c r="T45" s="131"/>
      <c r="U45" s="8"/>
    </row>
    <row r="46" spans="1:21" ht="15" customHeight="1" thickBot="1">
      <c r="A46" s="104" t="s">
        <v>28</v>
      </c>
      <c r="B46" s="9" t="s">
        <v>8</v>
      </c>
      <c r="C46" s="26" t="s">
        <v>46</v>
      </c>
      <c r="D46" s="34">
        <v>47021</v>
      </c>
      <c r="E46" s="35" t="s">
        <v>9</v>
      </c>
      <c r="F46" s="39">
        <f>44169-768</f>
        <v>43401</v>
      </c>
      <c r="G46" s="37">
        <f>G45/F45*100</f>
        <v>92.72236523129983</v>
      </c>
      <c r="H46" s="38">
        <f>G45/F46*100</f>
        <v>85.48420543305454</v>
      </c>
      <c r="I46" s="39">
        <v>85037</v>
      </c>
      <c r="J46" s="37">
        <f>J45/I45*100</f>
        <v>73.38269225152604</v>
      </c>
      <c r="K46" s="38">
        <f>J45/I46*100</f>
        <v>59.09310065030516</v>
      </c>
      <c r="L46" s="39">
        <f t="shared" si="1"/>
        <v>128438</v>
      </c>
      <c r="M46" s="37">
        <f>M45/L45*100</f>
        <v>80.51543446000129</v>
      </c>
      <c r="N46" s="38">
        <f>M45/L46*100</f>
        <v>68.01102477459942</v>
      </c>
      <c r="O46" s="39">
        <v>1050</v>
      </c>
      <c r="P46" s="37">
        <f>P45/O45*100</f>
        <v>60.070422535211264</v>
      </c>
      <c r="Q46" s="38">
        <f>P45/O46*100</f>
        <v>81.23809523809524</v>
      </c>
      <c r="R46" s="45">
        <v>73700</v>
      </c>
      <c r="S46" s="37">
        <f>S45/R45*100</f>
        <v>84.96719710854931</v>
      </c>
      <c r="T46" s="38">
        <f>S45/R46*100</f>
        <v>67.30393487109905</v>
      </c>
      <c r="U46" s="10"/>
    </row>
    <row r="47" spans="1:21" ht="15" customHeight="1">
      <c r="A47" s="103" t="s">
        <v>29</v>
      </c>
      <c r="B47" s="7" t="s">
        <v>6</v>
      </c>
      <c r="C47" s="25" t="s">
        <v>7</v>
      </c>
      <c r="D47" s="46">
        <v>5410</v>
      </c>
      <c r="E47" s="56">
        <v>-682</v>
      </c>
      <c r="F47" s="42">
        <f>53999-1223</f>
        <v>52776</v>
      </c>
      <c r="G47" s="130">
        <f>51723-1968</f>
        <v>49755</v>
      </c>
      <c r="H47" s="131"/>
      <c r="I47" s="57">
        <v>21885</v>
      </c>
      <c r="J47" s="130">
        <v>8965</v>
      </c>
      <c r="K47" s="131"/>
      <c r="L47" s="42">
        <f t="shared" si="1"/>
        <v>74661</v>
      </c>
      <c r="M47" s="130">
        <f>SUM(G47+J47)</f>
        <v>58720</v>
      </c>
      <c r="N47" s="131"/>
      <c r="O47" s="42">
        <v>7215</v>
      </c>
      <c r="P47" s="130">
        <v>7664</v>
      </c>
      <c r="Q47" s="131"/>
      <c r="R47" s="42">
        <v>10890</v>
      </c>
      <c r="S47" s="130">
        <v>11034</v>
      </c>
      <c r="T47" s="131"/>
      <c r="U47" s="8"/>
    </row>
    <row r="48" spans="1:21" ht="15" customHeight="1" thickBot="1">
      <c r="A48" s="104" t="s">
        <v>29</v>
      </c>
      <c r="B48" s="9" t="s">
        <v>8</v>
      </c>
      <c r="C48" s="26" t="s">
        <v>46</v>
      </c>
      <c r="D48" s="43">
        <v>13939</v>
      </c>
      <c r="E48" s="44" t="s">
        <v>9</v>
      </c>
      <c r="F48" s="39">
        <f>56043-1227</f>
        <v>54816</v>
      </c>
      <c r="G48" s="37">
        <f>G47/F47*100</f>
        <v>94.27580718508412</v>
      </c>
      <c r="H48" s="38">
        <f>G47/F48*100</f>
        <v>90.76729422066549</v>
      </c>
      <c r="I48" s="39">
        <v>16868</v>
      </c>
      <c r="J48" s="37">
        <f>J47/I47*100</f>
        <v>40.96413068311629</v>
      </c>
      <c r="K48" s="38">
        <f>J47/I48*100</f>
        <v>53.14797249229309</v>
      </c>
      <c r="L48" s="39">
        <f t="shared" si="1"/>
        <v>71684</v>
      </c>
      <c r="M48" s="37">
        <f>M47/L47*100</f>
        <v>78.64882602697526</v>
      </c>
      <c r="N48" s="38">
        <f>M47/L48*100</f>
        <v>81.91507170358797</v>
      </c>
      <c r="O48" s="39">
        <v>7892</v>
      </c>
      <c r="P48" s="37">
        <f>P47/O47*100</f>
        <v>106.22314622314622</v>
      </c>
      <c r="Q48" s="38">
        <f>P47/O48*100</f>
        <v>97.11099847947288</v>
      </c>
      <c r="R48" s="39">
        <v>11127</v>
      </c>
      <c r="S48" s="37">
        <f>S47/R47*100</f>
        <v>101.32231404958678</v>
      </c>
      <c r="T48" s="38">
        <f>S47/R48*100</f>
        <v>99.16419520086276</v>
      </c>
      <c r="U48" s="10"/>
    </row>
    <row r="49" spans="1:47" ht="15" customHeight="1">
      <c r="A49" s="103" t="s">
        <v>30</v>
      </c>
      <c r="B49" s="7" t="s">
        <v>6</v>
      </c>
      <c r="C49" s="25" t="s">
        <v>7</v>
      </c>
      <c r="D49" s="40">
        <v>3594</v>
      </c>
      <c r="E49" s="41">
        <v>-4828</v>
      </c>
      <c r="F49" s="42">
        <f>20078-240</f>
        <v>19838</v>
      </c>
      <c r="G49" s="130">
        <f>35169-23166</f>
        <v>12003</v>
      </c>
      <c r="H49" s="131"/>
      <c r="I49" s="40">
        <v>10472</v>
      </c>
      <c r="J49" s="130">
        <v>6885</v>
      </c>
      <c r="K49" s="131"/>
      <c r="L49" s="42">
        <f t="shared" si="1"/>
        <v>30310</v>
      </c>
      <c r="M49" s="130">
        <f>SUM(G49+J49)</f>
        <v>18888</v>
      </c>
      <c r="N49" s="131"/>
      <c r="O49" s="42">
        <v>5865</v>
      </c>
      <c r="P49" s="130">
        <v>2470</v>
      </c>
      <c r="Q49" s="131"/>
      <c r="R49" s="42">
        <v>0</v>
      </c>
      <c r="S49" s="130">
        <v>0</v>
      </c>
      <c r="T49" s="131"/>
      <c r="U49" s="8"/>
      <c r="AU49" s="1" t="s">
        <v>0</v>
      </c>
    </row>
    <row r="50" spans="1:21" ht="15" customHeight="1" thickBot="1">
      <c r="A50" s="104" t="s">
        <v>30</v>
      </c>
      <c r="B50" s="9" t="s">
        <v>8</v>
      </c>
      <c r="C50" s="26" t="s">
        <v>46</v>
      </c>
      <c r="D50" s="34">
        <v>3583</v>
      </c>
      <c r="E50" s="35" t="s">
        <v>9</v>
      </c>
      <c r="F50" s="39">
        <f>19901-240</f>
        <v>19661</v>
      </c>
      <c r="G50" s="37">
        <f>G49/F49*100</f>
        <v>60.50509123903619</v>
      </c>
      <c r="H50" s="38">
        <f>G49/F50*100</f>
        <v>61.049794008443115</v>
      </c>
      <c r="I50" s="34">
        <v>6937</v>
      </c>
      <c r="J50" s="37">
        <f>J49/I49*100</f>
        <v>65.74675324675324</v>
      </c>
      <c r="K50" s="38">
        <f>J49/I50*100</f>
        <v>99.25039642496756</v>
      </c>
      <c r="L50" s="39">
        <f t="shared" si="1"/>
        <v>26598</v>
      </c>
      <c r="M50" s="37">
        <f>M49/L49*100</f>
        <v>62.31606730451996</v>
      </c>
      <c r="N50" s="38">
        <f>M49/L50*100</f>
        <v>71.0128581096323</v>
      </c>
      <c r="O50" s="39">
        <v>5716</v>
      </c>
      <c r="P50" s="37">
        <f>P49/O49*100</f>
        <v>42.11423699914749</v>
      </c>
      <c r="Q50" s="38">
        <f>P49/O50*100</f>
        <v>43.21203638908327</v>
      </c>
      <c r="R50" s="39">
        <v>0</v>
      </c>
      <c r="S50" s="37" t="s">
        <v>13</v>
      </c>
      <c r="T50" s="38" t="s">
        <v>9</v>
      </c>
      <c r="U50" s="10"/>
    </row>
    <row r="51" spans="1:21" ht="15" customHeight="1">
      <c r="A51" s="103" t="s">
        <v>31</v>
      </c>
      <c r="B51" s="11" t="s">
        <v>6</v>
      </c>
      <c r="C51" s="27" t="s">
        <v>7</v>
      </c>
      <c r="D51" s="46">
        <v>1703</v>
      </c>
      <c r="E51" s="56">
        <v>-514</v>
      </c>
      <c r="F51" s="57">
        <f>11113-185</f>
        <v>10928</v>
      </c>
      <c r="G51" s="130">
        <f>23172-12862</f>
        <v>10310</v>
      </c>
      <c r="H51" s="131"/>
      <c r="I51" s="57">
        <v>19640</v>
      </c>
      <c r="J51" s="130">
        <v>1549</v>
      </c>
      <c r="K51" s="131"/>
      <c r="L51" s="42">
        <f t="shared" si="1"/>
        <v>30568</v>
      </c>
      <c r="M51" s="130">
        <f>SUM(G51+J51)</f>
        <v>11859</v>
      </c>
      <c r="N51" s="131"/>
      <c r="O51" s="42">
        <v>3003</v>
      </c>
      <c r="P51" s="130">
        <v>1420</v>
      </c>
      <c r="Q51" s="131"/>
      <c r="R51" s="57">
        <v>772</v>
      </c>
      <c r="S51" s="130">
        <v>876</v>
      </c>
      <c r="T51" s="131"/>
      <c r="U51" s="8"/>
    </row>
    <row r="52" spans="1:21" ht="15" customHeight="1" thickBot="1">
      <c r="A52" s="104" t="s">
        <v>31</v>
      </c>
      <c r="B52" s="12" t="s">
        <v>8</v>
      </c>
      <c r="C52" s="30" t="s">
        <v>46</v>
      </c>
      <c r="D52" s="43">
        <v>1994</v>
      </c>
      <c r="E52" s="44" t="s">
        <v>9</v>
      </c>
      <c r="F52" s="39">
        <f>12427-185</f>
        <v>12242</v>
      </c>
      <c r="G52" s="37">
        <f>G51/F51*100</f>
        <v>94.34480234260614</v>
      </c>
      <c r="H52" s="38">
        <f>G51/F52*100</f>
        <v>84.21826498938081</v>
      </c>
      <c r="I52" s="39">
        <v>1551</v>
      </c>
      <c r="J52" s="37">
        <f>J51/I51*100</f>
        <v>7.8869653767820775</v>
      </c>
      <c r="K52" s="38">
        <f>J51/I52*100</f>
        <v>99.87105093488073</v>
      </c>
      <c r="L52" s="39">
        <f t="shared" si="1"/>
        <v>13793</v>
      </c>
      <c r="M52" s="37">
        <f>M51/L51*100</f>
        <v>38.79547238942685</v>
      </c>
      <c r="N52" s="38">
        <f>M51/L52*100</f>
        <v>85.97839483796128</v>
      </c>
      <c r="O52" s="39">
        <v>1697</v>
      </c>
      <c r="P52" s="37">
        <f>P51/O51*100</f>
        <v>47.286047286047285</v>
      </c>
      <c r="Q52" s="38">
        <f>P51/O52*100</f>
        <v>83.67707719505009</v>
      </c>
      <c r="R52" s="39">
        <v>722</v>
      </c>
      <c r="S52" s="37">
        <f>S51/R51*100</f>
        <v>113.47150259067358</v>
      </c>
      <c r="T52" s="38">
        <f>S51/R52*100</f>
        <v>121.32963988919667</v>
      </c>
      <c r="U52" s="10"/>
    </row>
    <row r="53" spans="1:21" ht="15" customHeight="1">
      <c r="A53" s="105" t="s">
        <v>49</v>
      </c>
      <c r="B53" s="78" t="s">
        <v>6</v>
      </c>
      <c r="C53" s="79" t="s">
        <v>7</v>
      </c>
      <c r="D53" s="80">
        <f>SUM(D7+D9+D11+D13+D15+D17+D19+D21+D23+D25+D27+D29+D31+D33+D35+D37+D39+D41+D43+D45+D47+D49+D51)</f>
        <v>618695</v>
      </c>
      <c r="E53" s="81">
        <f>E7+E9+E11+E13+E15+E17+E19+E21+E23+E25+E27+E29+E31+E33+E35+E37+E39+E41+E43+E45+E47+E49+E51</f>
        <v>119399</v>
      </c>
      <c r="F53" s="80">
        <f>SUM(F7+F9+F11+F13+F15+F17+F19+F21+F23+F25+F27+F29+F31+F33+F35+F37+F39+F41+F43+F45+F47+F49+F51)</f>
        <v>2922818</v>
      </c>
      <c r="G53" s="134">
        <f>SUM(G7+G9+G11+G13+G15+G17+G19+G21+G23+G25+G27+G29+G31+G33+G35+G37+G39+G41+G43+G45+G47+G49+G51)</f>
        <v>2793289</v>
      </c>
      <c r="H53" s="135"/>
      <c r="I53" s="82">
        <f>SUM(I7+I9+I11+I13+I15+I17+I19+I21+I23+I25+I27+I29+I31+I33+I35+I37+I39+I41+I43+I45+I47+I49+I51)</f>
        <v>900207</v>
      </c>
      <c r="J53" s="134">
        <f>SUM(J7+J9+J11+J13+J15+J17+J19+J21+J23+J25+J27+J29+J31+J33+J35+J37+J39+J41+J43+J45+J47+J49+J51)</f>
        <v>869299</v>
      </c>
      <c r="K53" s="135"/>
      <c r="L53" s="80">
        <f>SUM(F53+I53)</f>
        <v>3823025</v>
      </c>
      <c r="M53" s="134">
        <f>M7+M9+M11+M13+M15+M17+M19+M21+M23+M25+M27+M29+M31+M33+M35+M37+N39+M41+M43+M45+M47+M49+M51</f>
        <v>3662588</v>
      </c>
      <c r="N53" s="135"/>
      <c r="O53" s="82">
        <f>SUM(O7+O9+O11+O13+O15+O17+O19+O21+O23+O25+O27+O29+O31+O33+O35+O37+O39+O41+O43+O45+O47+O49+O51)</f>
        <v>345936</v>
      </c>
      <c r="P53" s="134">
        <f>SUM(P7+P9+P11+P13+P15+P17+P19+P21+P23+P25+P27+P29+P31+P33+P35+P37+P39+P41+P43+P45+P47+P49+P51)</f>
        <v>354096</v>
      </c>
      <c r="Q53" s="135"/>
      <c r="R53" s="80">
        <f>SUM(R7+R9+R11+R13+R15+R17+R19+R21+R23+R25+R27+R29+R31+R33+R35+R37+R39+R41+R43+R45+R47+R49+R51)</f>
        <v>597931</v>
      </c>
      <c r="S53" s="134">
        <f>SUM(S7+S9+S11+S13+S15+S17+S19+S21+S23+S25+S27+S29+S31+S33+S35+S37+S39+S41+S43+S45+S47+S49+S51)</f>
        <v>629220</v>
      </c>
      <c r="T53" s="135"/>
      <c r="U53" s="8"/>
    </row>
    <row r="54" spans="1:21" ht="15" customHeight="1" thickBot="1">
      <c r="A54" s="106" t="s">
        <v>32</v>
      </c>
      <c r="B54" s="83" t="s">
        <v>8</v>
      </c>
      <c r="C54" s="84" t="s">
        <v>46</v>
      </c>
      <c r="D54" s="85">
        <f>D8+D10+D12+D14+D16+D18+D20+D22+D24+D26+D28+D30+D32+D34+D36+D38+D40+D42+D44+D46+D48+D50+D52</f>
        <v>822695</v>
      </c>
      <c r="E54" s="86" t="s">
        <v>9</v>
      </c>
      <c r="F54" s="85">
        <f>SUM(F8+F10+F12+F14+F16+F18+F20+F22+F24+F26+F28+F30+F32+F34+F36+F38+F40+F42+F44+F46+F48+F50+F52)</f>
        <v>3191113</v>
      </c>
      <c r="G54" s="87">
        <f>G53/F53*100</f>
        <v>95.56835218614364</v>
      </c>
      <c r="H54" s="88">
        <f>G53/F54*100</f>
        <v>87.5333778528056</v>
      </c>
      <c r="I54" s="89">
        <f>SUM(I8+I10+I12+I14+I16+I18+I20+I22+I24+I26+I28+I30+I32+I34+I36+I38+I40+I42+I44+I46+I48+I50+I52)</f>
        <v>1141331</v>
      </c>
      <c r="J54" s="87">
        <f>J53/I53*100</f>
        <v>96.56656746726031</v>
      </c>
      <c r="K54" s="88">
        <f>J53/I54*100</f>
        <v>76.16537183341204</v>
      </c>
      <c r="L54" s="85">
        <f>SUM(F54+I54)</f>
        <v>4332444</v>
      </c>
      <c r="M54" s="87">
        <f>M53/L53*100</f>
        <v>95.80340175646249</v>
      </c>
      <c r="N54" s="88">
        <f>M53/L54*100</f>
        <v>84.53861146272173</v>
      </c>
      <c r="O54" s="89">
        <f>SUM(O8+O10+O12+O14+O16+O18+O20+O22+O24+O26+O28+O30+O32+O34+O36+O38+O40+O42+O44+O46+O48+O50+O52)</f>
        <v>422857</v>
      </c>
      <c r="P54" s="87">
        <f>P53/O53*100</f>
        <v>102.35881781601222</v>
      </c>
      <c r="Q54" s="88">
        <f>P53/O54*100</f>
        <v>83.73894720910378</v>
      </c>
      <c r="R54" s="85">
        <f>SUM(R8+R10+R12+R14+R16+R18+R20+R22+R24+R26+R28+R30+R32+R34+R36+R38+R40+R42+R44+R46+R48+R50+R52)</f>
        <v>736344</v>
      </c>
      <c r="S54" s="87">
        <f>S53/R53*100</f>
        <v>105.23287804111176</v>
      </c>
      <c r="T54" s="88">
        <f>S53/R54*100</f>
        <v>85.45190834718555</v>
      </c>
      <c r="U54" s="10"/>
    </row>
    <row r="55" spans="4:20" s="13" customFormat="1" ht="11.25">
      <c r="D55" s="20"/>
      <c r="E55" s="24"/>
      <c r="F55" s="20"/>
      <c r="G55" s="136"/>
      <c r="H55" s="136"/>
      <c r="I55" s="20"/>
      <c r="J55" s="136"/>
      <c r="K55" s="136"/>
      <c r="L55" s="20"/>
      <c r="M55" s="136"/>
      <c r="N55" s="136"/>
      <c r="R55" s="20"/>
      <c r="S55" s="20"/>
      <c r="T55" s="20"/>
    </row>
    <row r="56" spans="5:42" ht="12.75">
      <c r="E56" s="14"/>
      <c r="F56" s="15"/>
      <c r="G56" s="132"/>
      <c r="H56" s="132"/>
      <c r="I56" s="15"/>
      <c r="J56" s="132"/>
      <c r="K56" s="132"/>
      <c r="L56" s="15"/>
      <c r="M56" s="132"/>
      <c r="N56" s="132"/>
      <c r="O56" s="15"/>
      <c r="R56" s="19"/>
      <c r="S56" s="19"/>
      <c r="T56" s="19"/>
      <c r="Y56" s="14"/>
      <c r="Z56" s="14"/>
      <c r="AE56" s="14"/>
      <c r="AF56" s="133"/>
      <c r="AG56" s="133"/>
      <c r="AH56" s="14"/>
      <c r="AI56" s="14"/>
      <c r="AL56" s="133"/>
      <c r="AM56" s="133"/>
      <c r="AO56" s="133"/>
      <c r="AP56" s="133"/>
    </row>
    <row r="57" spans="6:41" ht="12.75">
      <c r="F57" s="21"/>
      <c r="G57" s="21"/>
      <c r="H57" s="22"/>
      <c r="I57" s="21"/>
      <c r="J57" s="21"/>
      <c r="K57" s="22"/>
      <c r="L57" s="23"/>
      <c r="M57" s="137"/>
      <c r="N57" s="137"/>
      <c r="O57" s="4"/>
      <c r="R57" s="19"/>
      <c r="S57" s="19"/>
      <c r="T57" s="19"/>
      <c r="Y57" s="16"/>
      <c r="Z57" s="14"/>
      <c r="AE57" s="14"/>
      <c r="AF57" s="133"/>
      <c r="AG57" s="133"/>
      <c r="AH57" s="14"/>
      <c r="AI57" s="14"/>
      <c r="AJ57" s="17"/>
      <c r="AL57" s="18"/>
      <c r="AO57" s="18"/>
    </row>
  </sheetData>
  <sheetProtection/>
  <mergeCells count="163">
    <mergeCell ref="S53:T53"/>
    <mergeCell ref="G55:H55"/>
    <mergeCell ref="J55:K55"/>
    <mergeCell ref="M55:N55"/>
    <mergeCell ref="M57:N57"/>
    <mergeCell ref="AO56:AP56"/>
    <mergeCell ref="AF57:AG57"/>
    <mergeCell ref="M56:N56"/>
    <mergeCell ref="AF56:AG56"/>
    <mergeCell ref="M53:N53"/>
    <mergeCell ref="M49:N49"/>
    <mergeCell ref="P49:Q49"/>
    <mergeCell ref="G56:H56"/>
    <mergeCell ref="M51:N51"/>
    <mergeCell ref="P51:Q51"/>
    <mergeCell ref="P53:Q53"/>
    <mergeCell ref="S51:T51"/>
    <mergeCell ref="S49:T49"/>
    <mergeCell ref="J56:K56"/>
    <mergeCell ref="AL56:AM56"/>
    <mergeCell ref="G51:H51"/>
    <mergeCell ref="G49:H49"/>
    <mergeCell ref="J49:K49"/>
    <mergeCell ref="J51:K51"/>
    <mergeCell ref="G53:H53"/>
    <mergeCell ref="J53:K53"/>
    <mergeCell ref="G45:H45"/>
    <mergeCell ref="J45:K45"/>
    <mergeCell ref="M45:N45"/>
    <mergeCell ref="P45:Q45"/>
    <mergeCell ref="S45:T45"/>
    <mergeCell ref="G47:H47"/>
    <mergeCell ref="J47:K47"/>
    <mergeCell ref="M47:N47"/>
    <mergeCell ref="P47:Q47"/>
    <mergeCell ref="S47:T47"/>
    <mergeCell ref="G43:H43"/>
    <mergeCell ref="J43:K43"/>
    <mergeCell ref="M43:N43"/>
    <mergeCell ref="P43:Q43"/>
    <mergeCell ref="S43:T43"/>
    <mergeCell ref="G39:H39"/>
    <mergeCell ref="G41:H41"/>
    <mergeCell ref="J41:K41"/>
    <mergeCell ref="M41:N41"/>
    <mergeCell ref="P41:Q41"/>
    <mergeCell ref="S41:T41"/>
    <mergeCell ref="J39:K39"/>
    <mergeCell ref="P39:Q39"/>
    <mergeCell ref="S39:T39"/>
    <mergeCell ref="S37:T37"/>
    <mergeCell ref="G35:H35"/>
    <mergeCell ref="J35:K35"/>
    <mergeCell ref="M35:N35"/>
    <mergeCell ref="P35:Q35"/>
    <mergeCell ref="S35:T35"/>
    <mergeCell ref="S31:T31"/>
    <mergeCell ref="G37:H37"/>
    <mergeCell ref="J37:K37"/>
    <mergeCell ref="M37:N37"/>
    <mergeCell ref="P37:Q37"/>
    <mergeCell ref="G33:H33"/>
    <mergeCell ref="J33:K33"/>
    <mergeCell ref="M33:N33"/>
    <mergeCell ref="P33:Q33"/>
    <mergeCell ref="G29:H29"/>
    <mergeCell ref="J29:K29"/>
    <mergeCell ref="M29:N29"/>
    <mergeCell ref="P29:Q29"/>
    <mergeCell ref="S29:T29"/>
    <mergeCell ref="S33:T33"/>
    <mergeCell ref="G31:H31"/>
    <mergeCell ref="J31:K31"/>
    <mergeCell ref="M31:N31"/>
    <mergeCell ref="P31:Q31"/>
    <mergeCell ref="G25:H25"/>
    <mergeCell ref="J25:K25"/>
    <mergeCell ref="M25:N25"/>
    <mergeCell ref="P25:Q25"/>
    <mergeCell ref="S25:T25"/>
    <mergeCell ref="G27:H27"/>
    <mergeCell ref="J27:K27"/>
    <mergeCell ref="M27:N27"/>
    <mergeCell ref="P27:Q27"/>
    <mergeCell ref="S27:T27"/>
    <mergeCell ref="G21:H21"/>
    <mergeCell ref="J21:K21"/>
    <mergeCell ref="M21:N21"/>
    <mergeCell ref="P21:Q21"/>
    <mergeCell ref="S21:T21"/>
    <mergeCell ref="G23:H23"/>
    <mergeCell ref="J23:K23"/>
    <mergeCell ref="M23:N23"/>
    <mergeCell ref="P23:Q23"/>
    <mergeCell ref="S23:T23"/>
    <mergeCell ref="G17:H17"/>
    <mergeCell ref="J17:K17"/>
    <mergeCell ref="M17:N17"/>
    <mergeCell ref="P17:Q17"/>
    <mergeCell ref="S17:T17"/>
    <mergeCell ref="G19:H19"/>
    <mergeCell ref="J19:K19"/>
    <mergeCell ref="M19:N19"/>
    <mergeCell ref="P19:Q19"/>
    <mergeCell ref="S19:T19"/>
    <mergeCell ref="G13:H13"/>
    <mergeCell ref="J13:K13"/>
    <mergeCell ref="M13:N13"/>
    <mergeCell ref="P13:Q13"/>
    <mergeCell ref="S13:T13"/>
    <mergeCell ref="G15:H15"/>
    <mergeCell ref="J15:K15"/>
    <mergeCell ref="M15:N15"/>
    <mergeCell ref="P15:Q15"/>
    <mergeCell ref="S15:T15"/>
    <mergeCell ref="G9:H9"/>
    <mergeCell ref="J9:K9"/>
    <mergeCell ref="M9:N9"/>
    <mergeCell ref="P9:Q9"/>
    <mergeCell ref="S9:T9"/>
    <mergeCell ref="G11:H11"/>
    <mergeCell ref="J11:K11"/>
    <mergeCell ref="M11:N11"/>
    <mergeCell ref="P11:Q11"/>
    <mergeCell ref="S11:T11"/>
    <mergeCell ref="A4:A6"/>
    <mergeCell ref="B4:C6"/>
    <mergeCell ref="D4:E6"/>
    <mergeCell ref="F4:H6"/>
    <mergeCell ref="I4:K6"/>
    <mergeCell ref="L4:N6"/>
    <mergeCell ref="A2:T2"/>
    <mergeCell ref="O5:Q6"/>
    <mergeCell ref="R5:T6"/>
    <mergeCell ref="A7:A8"/>
    <mergeCell ref="A9:A10"/>
    <mergeCell ref="G7:H7"/>
    <mergeCell ref="J7:K7"/>
    <mergeCell ref="M7:N7"/>
    <mergeCell ref="P7:Q7"/>
    <mergeCell ref="S7:T7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7:A48"/>
    <mergeCell ref="A49:A50"/>
    <mergeCell ref="A51:A52"/>
    <mergeCell ref="A53:A54"/>
    <mergeCell ref="A35:A36"/>
    <mergeCell ref="A37:A38"/>
    <mergeCell ref="A39:A40"/>
    <mergeCell ref="A41:A42"/>
    <mergeCell ref="A43:A44"/>
    <mergeCell ref="A45:A4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4" r:id="rId1"/>
  <headerFooter differentFirst="1" alignWithMargins="0">
    <oddFooter>&amp;C&amp;P/&amp;N</oddFooter>
    <firstHeader>&amp;RPříloha č. 3</firstHeader>
    <firstFooter>&amp;C&amp;P/&amp;N</firstFooter>
  </headerFooter>
  <rowBreaks count="2" manualBreakCount="2">
    <brk id="34" max="19" man="1"/>
    <brk id="5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workbookViewId="0" topLeftCell="A1">
      <selection activeCell="Q17" sqref="Q17:R17"/>
    </sheetView>
  </sheetViews>
  <sheetFormatPr defaultColWidth="9.00390625" defaultRowHeight="12.75"/>
  <cols>
    <col min="1" max="1" width="14.375" style="0" customWidth="1"/>
    <col min="2" max="2" width="3.625" style="0" customWidth="1"/>
    <col min="3" max="3" width="8.125" style="0" customWidth="1"/>
    <col min="4" max="4" width="7.625" style="0" customWidth="1"/>
    <col min="5" max="5" width="6.375" style="0" customWidth="1"/>
    <col min="6" max="6" width="7.25390625" style="0" customWidth="1"/>
    <col min="7" max="7" width="12.00390625" style="0" customWidth="1"/>
    <col min="8" max="8" width="6.00390625" style="0" customWidth="1"/>
    <col min="9" max="9" width="6.375" style="0" customWidth="1"/>
    <col min="10" max="10" width="8.00390625" style="0" customWidth="1"/>
    <col min="11" max="11" width="6.25390625" style="0" customWidth="1"/>
    <col min="12" max="12" width="7.25390625" style="0" customWidth="1"/>
    <col min="13" max="13" width="7.875" style="0" customWidth="1"/>
    <col min="14" max="14" width="7.00390625" style="0" customWidth="1"/>
    <col min="15" max="15" width="7.375" style="0" customWidth="1"/>
    <col min="16" max="16" width="7.625" style="0" customWidth="1"/>
    <col min="17" max="17" width="6.625" style="0" customWidth="1"/>
    <col min="18" max="18" width="6.875" style="0" customWidth="1"/>
    <col min="19" max="19" width="9.25390625" style="0" customWidth="1"/>
    <col min="20" max="20" width="7.25390625" style="0" customWidth="1"/>
    <col min="21" max="21" width="6.75390625" style="0" customWidth="1"/>
  </cols>
  <sheetData>
    <row r="1" s="1" customFormat="1" ht="15" customHeight="1">
      <c r="U1" s="2"/>
    </row>
    <row r="2" spans="1:21" s="1" customFormat="1" ht="15" customHeight="1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="1" customFormat="1" ht="15" customHeight="1" thickBot="1">
      <c r="U3" s="3" t="s">
        <v>1</v>
      </c>
    </row>
    <row r="4" spans="1:21" s="1" customFormat="1" ht="15" customHeight="1">
      <c r="A4" s="122" t="s">
        <v>50</v>
      </c>
      <c r="B4" s="110" t="s">
        <v>4</v>
      </c>
      <c r="C4" s="125"/>
      <c r="D4" s="98" t="s">
        <v>2</v>
      </c>
      <c r="E4" s="99"/>
      <c r="F4" s="100"/>
      <c r="G4" s="100"/>
      <c r="H4" s="100"/>
      <c r="I4" s="100"/>
      <c r="J4" s="100"/>
      <c r="K4" s="100"/>
      <c r="L4" s="100"/>
      <c r="M4" s="152"/>
      <c r="N4" s="152"/>
      <c r="O4" s="152"/>
      <c r="P4" s="152"/>
      <c r="Q4" s="152"/>
      <c r="R4" s="152"/>
      <c r="S4" s="152"/>
      <c r="T4" s="101"/>
      <c r="U4" s="102"/>
    </row>
    <row r="5" spans="1:21" s="1" customFormat="1" ht="15" customHeight="1">
      <c r="A5" s="123"/>
      <c r="B5" s="126"/>
      <c r="C5" s="127"/>
      <c r="D5" s="138" t="s">
        <v>35</v>
      </c>
      <c r="E5" s="139"/>
      <c r="F5" s="140"/>
      <c r="G5" s="141" t="s">
        <v>36</v>
      </c>
      <c r="H5" s="139"/>
      <c r="I5" s="140"/>
      <c r="J5" s="141" t="s">
        <v>37</v>
      </c>
      <c r="K5" s="139"/>
      <c r="L5" s="140"/>
      <c r="M5" s="141" t="s">
        <v>38</v>
      </c>
      <c r="N5" s="139"/>
      <c r="O5" s="140"/>
      <c r="P5" s="141" t="s">
        <v>39</v>
      </c>
      <c r="Q5" s="139"/>
      <c r="R5" s="140"/>
      <c r="S5" s="141" t="s">
        <v>40</v>
      </c>
      <c r="T5" s="139"/>
      <c r="U5" s="151"/>
    </row>
    <row r="6" spans="1:21" s="1" customFormat="1" ht="15" customHeight="1" thickBot="1">
      <c r="A6" s="124"/>
      <c r="B6" s="113"/>
      <c r="C6" s="119"/>
      <c r="D6" s="113"/>
      <c r="E6" s="114"/>
      <c r="F6" s="115"/>
      <c r="G6" s="118"/>
      <c r="H6" s="114"/>
      <c r="I6" s="115"/>
      <c r="J6" s="118"/>
      <c r="K6" s="114"/>
      <c r="L6" s="115"/>
      <c r="M6" s="118"/>
      <c r="N6" s="114"/>
      <c r="O6" s="115"/>
      <c r="P6" s="118"/>
      <c r="Q6" s="114"/>
      <c r="R6" s="115"/>
      <c r="S6" s="118"/>
      <c r="T6" s="114"/>
      <c r="U6" s="119"/>
    </row>
    <row r="7" spans="1:21" s="1" customFormat="1" ht="15" customHeight="1">
      <c r="A7" s="107" t="s">
        <v>54</v>
      </c>
      <c r="B7" s="7" t="s">
        <v>6</v>
      </c>
      <c r="C7" s="25" t="s">
        <v>7</v>
      </c>
      <c r="D7" s="58">
        <v>27380</v>
      </c>
      <c r="E7" s="147">
        <v>20169</v>
      </c>
      <c r="F7" s="148"/>
      <c r="G7" s="58">
        <v>120840</v>
      </c>
      <c r="H7" s="147">
        <v>120109</v>
      </c>
      <c r="I7" s="148"/>
      <c r="J7" s="58">
        <v>107922</v>
      </c>
      <c r="K7" s="147">
        <v>88598</v>
      </c>
      <c r="L7" s="148"/>
      <c r="M7" s="58">
        <v>12344</v>
      </c>
      <c r="N7" s="147">
        <v>27693</v>
      </c>
      <c r="O7" s="148"/>
      <c r="P7" s="58">
        <v>11856</v>
      </c>
      <c r="Q7" s="147">
        <v>10006</v>
      </c>
      <c r="R7" s="148"/>
      <c r="S7" s="68">
        <v>141058</v>
      </c>
      <c r="T7" s="147">
        <v>119208</v>
      </c>
      <c r="U7" s="148"/>
    </row>
    <row r="8" spans="1:21" s="1" customFormat="1" ht="15" customHeight="1" thickBot="1">
      <c r="A8" s="104"/>
      <c r="B8" s="9" t="s">
        <v>8</v>
      </c>
      <c r="C8" s="26" t="s">
        <v>46</v>
      </c>
      <c r="D8" s="59">
        <v>24198</v>
      </c>
      <c r="E8" s="60">
        <f>E7/D7*100</f>
        <v>73.66325785244705</v>
      </c>
      <c r="F8" s="61">
        <f>E7/D8*100</f>
        <v>83.34986362509298</v>
      </c>
      <c r="G8" s="59">
        <v>129360</v>
      </c>
      <c r="H8" s="60">
        <f>H7/G7*100</f>
        <v>99.39506785832506</v>
      </c>
      <c r="I8" s="61">
        <f>H7/G8*100</f>
        <v>92.8486394557823</v>
      </c>
      <c r="J8" s="59">
        <v>92227</v>
      </c>
      <c r="K8" s="60">
        <f>K7/J7*100</f>
        <v>82.09447563981394</v>
      </c>
      <c r="L8" s="61">
        <f>K7/J8*100</f>
        <v>96.06514361304174</v>
      </c>
      <c r="M8" s="66">
        <v>27976</v>
      </c>
      <c r="N8" s="60">
        <f>N7/M7*100</f>
        <v>224.34381075826312</v>
      </c>
      <c r="O8" s="61">
        <f>N7/M8*100</f>
        <v>98.98841864455248</v>
      </c>
      <c r="P8" s="66">
        <v>11115</v>
      </c>
      <c r="Q8" s="60">
        <f>Q7/P7*100</f>
        <v>84.39608636977059</v>
      </c>
      <c r="R8" s="61">
        <f>Q7/P8*100</f>
        <v>90.02249212775529</v>
      </c>
      <c r="S8" s="69">
        <v>131346</v>
      </c>
      <c r="T8" s="60">
        <f>T7/S7*100</f>
        <v>84.50991790610955</v>
      </c>
      <c r="U8" s="61">
        <f>T7/S8*100</f>
        <v>90.75875930747796</v>
      </c>
    </row>
    <row r="9" spans="1:21" s="1" customFormat="1" ht="15" customHeight="1">
      <c r="A9" s="103" t="s">
        <v>52</v>
      </c>
      <c r="B9" s="7" t="s">
        <v>6</v>
      </c>
      <c r="C9" s="25" t="s">
        <v>7</v>
      </c>
      <c r="D9" s="62">
        <v>10620</v>
      </c>
      <c r="E9" s="143">
        <v>9219</v>
      </c>
      <c r="F9" s="144"/>
      <c r="G9" s="62">
        <v>54219</v>
      </c>
      <c r="H9" s="143">
        <v>45858</v>
      </c>
      <c r="I9" s="144"/>
      <c r="J9" s="62">
        <v>53214</v>
      </c>
      <c r="K9" s="143">
        <v>57802</v>
      </c>
      <c r="L9" s="144"/>
      <c r="M9" s="62">
        <v>39607</v>
      </c>
      <c r="N9" s="143">
        <v>39040</v>
      </c>
      <c r="O9" s="144"/>
      <c r="P9" s="62">
        <v>17324</v>
      </c>
      <c r="Q9" s="143">
        <v>13814</v>
      </c>
      <c r="R9" s="144"/>
      <c r="S9" s="70">
        <v>127532</v>
      </c>
      <c r="T9" s="143">
        <v>120253</v>
      </c>
      <c r="U9" s="144"/>
    </row>
    <row r="10" spans="1:21" s="1" customFormat="1" ht="15" customHeight="1" thickBot="1">
      <c r="A10" s="104"/>
      <c r="B10" s="9" t="s">
        <v>8</v>
      </c>
      <c r="C10" s="26" t="s">
        <v>46</v>
      </c>
      <c r="D10" s="59">
        <v>10617</v>
      </c>
      <c r="E10" s="60">
        <f>E9/D9*100</f>
        <v>86.80790960451978</v>
      </c>
      <c r="F10" s="61">
        <f>E9/D10*100</f>
        <v>86.83243854196101</v>
      </c>
      <c r="G10" s="59">
        <v>62294</v>
      </c>
      <c r="H10" s="60">
        <f>H9/G9*100</f>
        <v>84.57920655120898</v>
      </c>
      <c r="I10" s="61">
        <f>H9/G10*100</f>
        <v>73.61543647863358</v>
      </c>
      <c r="J10" s="59">
        <v>68532</v>
      </c>
      <c r="K10" s="60">
        <f>K9/J9*100</f>
        <v>108.62179125793965</v>
      </c>
      <c r="L10" s="61">
        <f>K9/J10*100</f>
        <v>84.34308060468102</v>
      </c>
      <c r="M10" s="59">
        <v>45383</v>
      </c>
      <c r="N10" s="60">
        <f>N9/M9*100</f>
        <v>98.56843487262353</v>
      </c>
      <c r="O10" s="61">
        <f>N9/M10*100</f>
        <v>86.023400832911</v>
      </c>
      <c r="P10" s="59">
        <v>16392</v>
      </c>
      <c r="Q10" s="60">
        <f>Q9/P9*100</f>
        <v>79.7390902793812</v>
      </c>
      <c r="R10" s="61">
        <f>Q9/P10*100</f>
        <v>84.27281600780869</v>
      </c>
      <c r="S10" s="71">
        <v>131274</v>
      </c>
      <c r="T10" s="60">
        <f>T9/S9*100</f>
        <v>94.29241288460936</v>
      </c>
      <c r="U10" s="61">
        <f>T9/S10*100</f>
        <v>91.60458278105337</v>
      </c>
    </row>
    <row r="11" spans="1:21" s="1" customFormat="1" ht="15" customHeight="1">
      <c r="A11" s="103" t="s">
        <v>10</v>
      </c>
      <c r="B11" s="7" t="s">
        <v>6</v>
      </c>
      <c r="C11" s="25" t="s">
        <v>7</v>
      </c>
      <c r="D11" s="62">
        <v>43070</v>
      </c>
      <c r="E11" s="143">
        <v>44113</v>
      </c>
      <c r="F11" s="144"/>
      <c r="G11" s="62">
        <v>372156</v>
      </c>
      <c r="H11" s="143">
        <v>322949</v>
      </c>
      <c r="I11" s="144"/>
      <c r="J11" s="62">
        <v>153054</v>
      </c>
      <c r="K11" s="143">
        <v>124961</v>
      </c>
      <c r="L11" s="144"/>
      <c r="M11" s="58">
        <v>29893</v>
      </c>
      <c r="N11" s="143">
        <v>53928</v>
      </c>
      <c r="O11" s="144"/>
      <c r="P11" s="58">
        <v>17444</v>
      </c>
      <c r="Q11" s="143">
        <v>17588</v>
      </c>
      <c r="R11" s="144"/>
      <c r="S11" s="68">
        <v>199063</v>
      </c>
      <c r="T11" s="143">
        <v>183249</v>
      </c>
      <c r="U11" s="144"/>
    </row>
    <row r="12" spans="1:21" s="1" customFormat="1" ht="15" customHeight="1" thickBot="1">
      <c r="A12" s="104"/>
      <c r="B12" s="9" t="s">
        <v>8</v>
      </c>
      <c r="C12" s="26" t="s">
        <v>46</v>
      </c>
      <c r="D12" s="59">
        <v>48213</v>
      </c>
      <c r="E12" s="60">
        <f>E11/D11*100</f>
        <v>102.42163919201299</v>
      </c>
      <c r="F12" s="61">
        <f>E11/D12*100</f>
        <v>91.49606952481696</v>
      </c>
      <c r="G12" s="59">
        <v>388831</v>
      </c>
      <c r="H12" s="60">
        <f>H11/G11*100</f>
        <v>86.77785659777084</v>
      </c>
      <c r="I12" s="61">
        <f>H11/G12*100</f>
        <v>83.05639210865388</v>
      </c>
      <c r="J12" s="59">
        <v>148364</v>
      </c>
      <c r="K12" s="60">
        <f>K11/J11*100</f>
        <v>81.64504031256942</v>
      </c>
      <c r="L12" s="61">
        <f>K11/J12*100</f>
        <v>84.22595777951526</v>
      </c>
      <c r="M12" s="66">
        <v>58972</v>
      </c>
      <c r="N12" s="60">
        <f>N11/M11*100</f>
        <v>180.40343893219148</v>
      </c>
      <c r="O12" s="61">
        <f>N11/M12*100</f>
        <v>91.44678830631486</v>
      </c>
      <c r="P12" s="66">
        <v>17759</v>
      </c>
      <c r="Q12" s="60">
        <f>Q11/P11*100</f>
        <v>100.82549873882137</v>
      </c>
      <c r="R12" s="61">
        <f>Q11/P12*100</f>
        <v>99.0371079452672</v>
      </c>
      <c r="S12" s="69">
        <v>201769</v>
      </c>
      <c r="T12" s="60">
        <f>T11/S11*100</f>
        <v>92.05578133555709</v>
      </c>
      <c r="U12" s="61">
        <f>T11/S12*100</f>
        <v>90.82118660448334</v>
      </c>
    </row>
    <row r="13" spans="1:21" s="1" customFormat="1" ht="15" customHeight="1">
      <c r="A13" s="103" t="s">
        <v>11</v>
      </c>
      <c r="B13" s="7" t="s">
        <v>6</v>
      </c>
      <c r="C13" s="25" t="s">
        <v>7</v>
      </c>
      <c r="D13" s="62">
        <v>16610</v>
      </c>
      <c r="E13" s="143">
        <v>15423</v>
      </c>
      <c r="F13" s="144"/>
      <c r="G13" s="62">
        <v>98080</v>
      </c>
      <c r="H13" s="143">
        <v>107966</v>
      </c>
      <c r="I13" s="144"/>
      <c r="J13" s="62">
        <v>73623</v>
      </c>
      <c r="K13" s="143">
        <v>61290</v>
      </c>
      <c r="L13" s="144"/>
      <c r="M13" s="62">
        <v>29646</v>
      </c>
      <c r="N13" s="143">
        <v>45999</v>
      </c>
      <c r="O13" s="144"/>
      <c r="P13" s="62">
        <v>14361</v>
      </c>
      <c r="Q13" s="143">
        <v>12738</v>
      </c>
      <c r="R13" s="144"/>
      <c r="S13" s="70">
        <v>136518</v>
      </c>
      <c r="T13" s="143">
        <v>131184</v>
      </c>
      <c r="U13" s="144"/>
    </row>
    <row r="14" spans="1:21" s="1" customFormat="1" ht="15" customHeight="1" thickBot="1">
      <c r="A14" s="104"/>
      <c r="B14" s="9" t="s">
        <v>8</v>
      </c>
      <c r="C14" s="26" t="s">
        <v>46</v>
      </c>
      <c r="D14" s="59">
        <v>21888</v>
      </c>
      <c r="E14" s="60">
        <f>E13/D13*100</f>
        <v>92.85370258880192</v>
      </c>
      <c r="F14" s="61">
        <f>E13/D14*100</f>
        <v>70.46326754385966</v>
      </c>
      <c r="G14" s="59">
        <v>117626</v>
      </c>
      <c r="H14" s="60">
        <f>H13/G13*100</f>
        <v>110.0795269168026</v>
      </c>
      <c r="I14" s="61">
        <f>H13/G14*100</f>
        <v>91.78752996786424</v>
      </c>
      <c r="J14" s="59">
        <v>77972</v>
      </c>
      <c r="K14" s="60">
        <f>K13/J13*100</f>
        <v>83.24844138380669</v>
      </c>
      <c r="L14" s="61">
        <f>K13/J14*100</f>
        <v>78.60514030677679</v>
      </c>
      <c r="M14" s="59">
        <v>48678</v>
      </c>
      <c r="N14" s="60">
        <f>N13/M13*100</f>
        <v>155.16089860352156</v>
      </c>
      <c r="O14" s="61">
        <f>N13/M14*100</f>
        <v>94.49648711943794</v>
      </c>
      <c r="P14" s="59">
        <v>14341</v>
      </c>
      <c r="Q14" s="60">
        <f>Q13/P13*100</f>
        <v>88.69855859619804</v>
      </c>
      <c r="R14" s="61">
        <f>Q13/P14*100</f>
        <v>88.82225786207377</v>
      </c>
      <c r="S14" s="71">
        <v>163705</v>
      </c>
      <c r="T14" s="60">
        <f>T13/S13*100</f>
        <v>96.09282292444952</v>
      </c>
      <c r="U14" s="61">
        <f>T13/S14*100</f>
        <v>80.13438807611251</v>
      </c>
    </row>
    <row r="15" spans="1:21" s="1" customFormat="1" ht="15" customHeight="1">
      <c r="A15" s="103" t="s">
        <v>12</v>
      </c>
      <c r="B15" s="7" t="s">
        <v>6</v>
      </c>
      <c r="C15" s="25" t="s">
        <v>7</v>
      </c>
      <c r="D15" s="62">
        <v>21032</v>
      </c>
      <c r="E15" s="143">
        <v>384</v>
      </c>
      <c r="F15" s="144"/>
      <c r="G15" s="62">
        <v>135</v>
      </c>
      <c r="H15" s="143">
        <v>2</v>
      </c>
      <c r="I15" s="144"/>
      <c r="J15" s="62">
        <v>2397</v>
      </c>
      <c r="K15" s="143">
        <v>1454</v>
      </c>
      <c r="L15" s="144"/>
      <c r="M15" s="58">
        <v>1506</v>
      </c>
      <c r="N15" s="143">
        <v>1323</v>
      </c>
      <c r="O15" s="144"/>
      <c r="P15" s="58">
        <v>1468</v>
      </c>
      <c r="Q15" s="143">
        <v>1393</v>
      </c>
      <c r="R15" s="144"/>
      <c r="S15" s="68">
        <v>4503</v>
      </c>
      <c r="T15" s="143">
        <v>3287</v>
      </c>
      <c r="U15" s="144"/>
    </row>
    <row r="16" spans="1:21" s="1" customFormat="1" ht="15" customHeight="1" thickBot="1">
      <c r="A16" s="104" t="s">
        <v>12</v>
      </c>
      <c r="B16" s="9" t="s">
        <v>8</v>
      </c>
      <c r="C16" s="26" t="s">
        <v>46</v>
      </c>
      <c r="D16" s="59">
        <v>1044</v>
      </c>
      <c r="E16" s="60">
        <f>E15/D15*100</f>
        <v>1.8257892734880183</v>
      </c>
      <c r="F16" s="61">
        <f>E15/D16*100</f>
        <v>36.7816091954023</v>
      </c>
      <c r="G16" s="59">
        <v>35</v>
      </c>
      <c r="H16" s="60">
        <f>H15/G15*100</f>
        <v>1.4814814814814816</v>
      </c>
      <c r="I16" s="61">
        <f>H15/G16*100</f>
        <v>5.714285714285714</v>
      </c>
      <c r="J16" s="59">
        <v>2009</v>
      </c>
      <c r="K16" s="60">
        <f>K15/J15*100</f>
        <v>60.659157279933254</v>
      </c>
      <c r="L16" s="61">
        <f>K15/J16*100</f>
        <v>72.37431557989049</v>
      </c>
      <c r="M16" s="66">
        <v>1722</v>
      </c>
      <c r="N16" s="60">
        <f>N15/M15*100</f>
        <v>87.84860557768924</v>
      </c>
      <c r="O16" s="61">
        <f>N15/M16*100</f>
        <v>76.82926829268293</v>
      </c>
      <c r="P16" s="66">
        <v>1468</v>
      </c>
      <c r="Q16" s="60">
        <f>Q15/P15*100</f>
        <v>94.89100817438693</v>
      </c>
      <c r="R16" s="61">
        <f>Q15/P16*100</f>
        <v>94.89100817438693</v>
      </c>
      <c r="S16" s="69">
        <v>4527</v>
      </c>
      <c r="T16" s="60">
        <f>T15/S15*100</f>
        <v>72.9957805907173</v>
      </c>
      <c r="U16" s="61">
        <f>T15/S16*100</f>
        <v>72.60879169427878</v>
      </c>
    </row>
    <row r="17" spans="1:21" s="1" customFormat="1" ht="15" customHeight="1">
      <c r="A17" s="103" t="s">
        <v>14</v>
      </c>
      <c r="B17" s="7" t="s">
        <v>6</v>
      </c>
      <c r="C17" s="25" t="s">
        <v>7</v>
      </c>
      <c r="D17" s="62">
        <v>4154</v>
      </c>
      <c r="E17" s="143">
        <v>3153</v>
      </c>
      <c r="F17" s="144"/>
      <c r="G17" s="62">
        <v>37563</v>
      </c>
      <c r="H17" s="143">
        <v>34626</v>
      </c>
      <c r="I17" s="144"/>
      <c r="J17" s="62">
        <v>22865</v>
      </c>
      <c r="K17" s="143">
        <v>19884</v>
      </c>
      <c r="L17" s="144"/>
      <c r="M17" s="62">
        <v>9893</v>
      </c>
      <c r="N17" s="143">
        <v>9682</v>
      </c>
      <c r="O17" s="144"/>
      <c r="P17" s="62">
        <v>5559</v>
      </c>
      <c r="Q17" s="143">
        <v>5163</v>
      </c>
      <c r="R17" s="144"/>
      <c r="S17" s="70">
        <v>33196</v>
      </c>
      <c r="T17" s="143">
        <v>28158</v>
      </c>
      <c r="U17" s="144"/>
    </row>
    <row r="18" spans="1:21" s="1" customFormat="1" ht="15" customHeight="1" thickBot="1">
      <c r="A18" s="104" t="s">
        <v>14</v>
      </c>
      <c r="B18" s="9" t="s">
        <v>8</v>
      </c>
      <c r="C18" s="26" t="s">
        <v>46</v>
      </c>
      <c r="D18" s="59">
        <v>3974</v>
      </c>
      <c r="E18" s="60">
        <f>E17/D17*100</f>
        <v>75.90274434280212</v>
      </c>
      <c r="F18" s="61">
        <f>E17/D18*100</f>
        <v>79.34071464519376</v>
      </c>
      <c r="G18" s="59">
        <v>39721</v>
      </c>
      <c r="H18" s="60">
        <f>H17/G17*100</f>
        <v>92.18113569203737</v>
      </c>
      <c r="I18" s="61">
        <f>H17/G18*100</f>
        <v>87.17303189748495</v>
      </c>
      <c r="J18" s="59">
        <v>23548</v>
      </c>
      <c r="K18" s="60">
        <f>K17/J17*100</f>
        <v>86.96260660397989</v>
      </c>
      <c r="L18" s="61">
        <f>K17/J18*100</f>
        <v>84.44029216918634</v>
      </c>
      <c r="M18" s="59">
        <v>10430</v>
      </c>
      <c r="N18" s="60">
        <f>N17/M17*100</f>
        <v>97.86717881330233</v>
      </c>
      <c r="O18" s="61">
        <f>N17/M18*100</f>
        <v>92.82837967401726</v>
      </c>
      <c r="P18" s="59">
        <v>5596</v>
      </c>
      <c r="Q18" s="60">
        <f>Q17/P17*100</f>
        <v>92.87641662169455</v>
      </c>
      <c r="R18" s="61">
        <f>Q17/P18*100</f>
        <v>92.26233023588277</v>
      </c>
      <c r="S18" s="71">
        <v>33265</v>
      </c>
      <c r="T18" s="60">
        <f>T17/S17*100</f>
        <v>84.82347270755513</v>
      </c>
      <c r="U18" s="61">
        <f>T17/S18*100</f>
        <v>84.64752743123402</v>
      </c>
    </row>
    <row r="19" spans="1:21" s="1" customFormat="1" ht="15" customHeight="1">
      <c r="A19" s="103" t="s">
        <v>15</v>
      </c>
      <c r="B19" s="7" t="s">
        <v>6</v>
      </c>
      <c r="C19" s="25" t="s">
        <v>7</v>
      </c>
      <c r="D19" s="62">
        <v>1953</v>
      </c>
      <c r="E19" s="143">
        <v>1459</v>
      </c>
      <c r="F19" s="144"/>
      <c r="G19" s="62">
        <v>1923</v>
      </c>
      <c r="H19" s="143">
        <v>1907</v>
      </c>
      <c r="I19" s="144"/>
      <c r="J19" s="62">
        <v>7092</v>
      </c>
      <c r="K19" s="143">
        <v>6103</v>
      </c>
      <c r="L19" s="144"/>
      <c r="M19" s="58">
        <v>380</v>
      </c>
      <c r="N19" s="143">
        <v>800</v>
      </c>
      <c r="O19" s="144"/>
      <c r="P19" s="58">
        <v>1350</v>
      </c>
      <c r="Q19" s="143">
        <v>1395</v>
      </c>
      <c r="R19" s="144"/>
      <c r="S19" s="68">
        <v>5300</v>
      </c>
      <c r="T19" s="143">
        <v>5101</v>
      </c>
      <c r="U19" s="144"/>
    </row>
    <row r="20" spans="1:21" s="1" customFormat="1" ht="15" customHeight="1" thickBot="1">
      <c r="A20" s="104" t="s">
        <v>15</v>
      </c>
      <c r="B20" s="9" t="s">
        <v>8</v>
      </c>
      <c r="C20" s="26" t="s">
        <v>46</v>
      </c>
      <c r="D20" s="59">
        <v>2735</v>
      </c>
      <c r="E20" s="60">
        <f>E19/D19*100</f>
        <v>74.70558115719406</v>
      </c>
      <c r="F20" s="61">
        <f>E19/D20*100</f>
        <v>53.345521023766</v>
      </c>
      <c r="G20" s="59">
        <v>2181</v>
      </c>
      <c r="H20" s="60">
        <f>H19/G19*100</f>
        <v>99.16796671866874</v>
      </c>
      <c r="I20" s="61">
        <f>H19/G20*100</f>
        <v>87.43695552498853</v>
      </c>
      <c r="J20" s="59">
        <v>8286</v>
      </c>
      <c r="K20" s="60">
        <f>K19/J19*100</f>
        <v>86.05470953186689</v>
      </c>
      <c r="L20" s="61">
        <f>K19/J20*100</f>
        <v>73.6543567463191</v>
      </c>
      <c r="M20" s="66">
        <v>865</v>
      </c>
      <c r="N20" s="60">
        <f>N19/M19*100</f>
        <v>210.52631578947367</v>
      </c>
      <c r="O20" s="61">
        <f>N19/M20*100</f>
        <v>92.48554913294798</v>
      </c>
      <c r="P20" s="66">
        <v>1401</v>
      </c>
      <c r="Q20" s="60">
        <f>Q19/P19*100</f>
        <v>103.33333333333334</v>
      </c>
      <c r="R20" s="61">
        <f>Q19/P20*100</f>
        <v>99.57173447537473</v>
      </c>
      <c r="S20" s="69">
        <v>5300</v>
      </c>
      <c r="T20" s="60">
        <f>T19/S19*100</f>
        <v>96.24528301886792</v>
      </c>
      <c r="U20" s="61">
        <f>T19/S20*100</f>
        <v>96.24528301886792</v>
      </c>
    </row>
    <row r="21" spans="1:21" s="1" customFormat="1" ht="15" customHeight="1">
      <c r="A21" s="103" t="s">
        <v>16</v>
      </c>
      <c r="B21" s="7" t="s">
        <v>6</v>
      </c>
      <c r="C21" s="25" t="s">
        <v>7</v>
      </c>
      <c r="D21" s="62">
        <v>1572</v>
      </c>
      <c r="E21" s="143">
        <v>1339</v>
      </c>
      <c r="F21" s="144"/>
      <c r="G21" s="62">
        <v>0</v>
      </c>
      <c r="H21" s="143">
        <v>0</v>
      </c>
      <c r="I21" s="144"/>
      <c r="J21" s="62">
        <v>2362</v>
      </c>
      <c r="K21" s="143">
        <v>953</v>
      </c>
      <c r="L21" s="144"/>
      <c r="M21" s="62">
        <v>0</v>
      </c>
      <c r="N21" s="143">
        <v>56</v>
      </c>
      <c r="O21" s="144"/>
      <c r="P21" s="62">
        <v>1381</v>
      </c>
      <c r="Q21" s="143">
        <v>1448</v>
      </c>
      <c r="R21" s="144"/>
      <c r="S21" s="70">
        <v>3771</v>
      </c>
      <c r="T21" s="143">
        <v>3961</v>
      </c>
      <c r="U21" s="144"/>
    </row>
    <row r="22" spans="1:21" s="1" customFormat="1" ht="15" customHeight="1" thickBot="1">
      <c r="A22" s="104" t="s">
        <v>16</v>
      </c>
      <c r="B22" s="9" t="s">
        <v>8</v>
      </c>
      <c r="C22" s="26" t="s">
        <v>46</v>
      </c>
      <c r="D22" s="59">
        <v>1608</v>
      </c>
      <c r="E22" s="60">
        <f>E21/D21*100</f>
        <v>85.17811704834605</v>
      </c>
      <c r="F22" s="61">
        <f>E21/D22*100</f>
        <v>83.27114427860697</v>
      </c>
      <c r="G22" s="59">
        <v>0</v>
      </c>
      <c r="H22" s="60" t="s">
        <v>13</v>
      </c>
      <c r="I22" s="61" t="s">
        <v>9</v>
      </c>
      <c r="J22" s="59">
        <v>1093</v>
      </c>
      <c r="K22" s="60">
        <f>K21/J21*100</f>
        <v>40.34716342082981</v>
      </c>
      <c r="L22" s="61">
        <f>K21/J22*100</f>
        <v>87.19121683440073</v>
      </c>
      <c r="M22" s="59">
        <v>60</v>
      </c>
      <c r="N22" s="60" t="s">
        <v>13</v>
      </c>
      <c r="O22" s="61">
        <f>N21/M22*100</f>
        <v>93.33333333333333</v>
      </c>
      <c r="P22" s="59">
        <v>1457</v>
      </c>
      <c r="Q22" s="60">
        <f>Q21/P21*100</f>
        <v>104.8515568428675</v>
      </c>
      <c r="R22" s="61">
        <f>Q21/P22*100</f>
        <v>99.38229238160604</v>
      </c>
      <c r="S22" s="71">
        <v>4151</v>
      </c>
      <c r="T22" s="60">
        <f>T21/S21*100</f>
        <v>105.03845133916734</v>
      </c>
      <c r="U22" s="61">
        <f>T21/S22*100</f>
        <v>95.42278968923151</v>
      </c>
    </row>
    <row r="23" spans="1:21" s="1" customFormat="1" ht="15" customHeight="1">
      <c r="A23" s="103" t="s">
        <v>47</v>
      </c>
      <c r="B23" s="7" t="s">
        <v>6</v>
      </c>
      <c r="C23" s="25" t="s">
        <v>7</v>
      </c>
      <c r="D23" s="62">
        <v>2405</v>
      </c>
      <c r="E23" s="143">
        <v>2902</v>
      </c>
      <c r="F23" s="144"/>
      <c r="G23" s="62">
        <v>120861</v>
      </c>
      <c r="H23" s="143">
        <v>113857</v>
      </c>
      <c r="I23" s="144"/>
      <c r="J23" s="62">
        <v>9790</v>
      </c>
      <c r="K23" s="143">
        <v>6172</v>
      </c>
      <c r="L23" s="144"/>
      <c r="M23" s="58">
        <v>9288</v>
      </c>
      <c r="N23" s="143">
        <v>12335</v>
      </c>
      <c r="O23" s="144"/>
      <c r="P23" s="58">
        <v>7505</v>
      </c>
      <c r="Q23" s="143">
        <v>6634</v>
      </c>
      <c r="R23" s="144"/>
      <c r="S23" s="68">
        <v>36857</v>
      </c>
      <c r="T23" s="143">
        <v>41442</v>
      </c>
      <c r="U23" s="144"/>
    </row>
    <row r="24" spans="1:21" s="1" customFormat="1" ht="15" customHeight="1" thickBot="1">
      <c r="A24" s="104" t="s">
        <v>17</v>
      </c>
      <c r="B24" s="9" t="s">
        <v>8</v>
      </c>
      <c r="C24" s="26" t="s">
        <v>46</v>
      </c>
      <c r="D24" s="59">
        <v>3637</v>
      </c>
      <c r="E24" s="60">
        <f>E23/D23*100</f>
        <v>120.66528066528066</v>
      </c>
      <c r="F24" s="61">
        <f>E23/D24*100</f>
        <v>79.79103656860049</v>
      </c>
      <c r="G24" s="59">
        <v>135706</v>
      </c>
      <c r="H24" s="60">
        <f>H23/G23*100</f>
        <v>94.2049130819702</v>
      </c>
      <c r="I24" s="61">
        <f>H23/G24*100</f>
        <v>83.89975387971054</v>
      </c>
      <c r="J24" s="59">
        <v>10197</v>
      </c>
      <c r="K24" s="60">
        <f>K23/J23*100</f>
        <v>63.04392236976507</v>
      </c>
      <c r="L24" s="61">
        <f>K23/J24*100</f>
        <v>60.52760615867412</v>
      </c>
      <c r="M24" s="66">
        <v>13809</v>
      </c>
      <c r="N24" s="60">
        <f>N23/M23*100</f>
        <v>132.80577088716623</v>
      </c>
      <c r="O24" s="61">
        <f>N23/M24*100</f>
        <v>89.32580201317981</v>
      </c>
      <c r="P24" s="66">
        <v>7530</v>
      </c>
      <c r="Q24" s="60">
        <f>Q23/P23*100</f>
        <v>88.39440373084611</v>
      </c>
      <c r="R24" s="61">
        <f>Q23/P24*100</f>
        <v>88.10092961487383</v>
      </c>
      <c r="S24" s="69">
        <v>44137</v>
      </c>
      <c r="T24" s="60">
        <f>T23/S23*100</f>
        <v>112.43997069756084</v>
      </c>
      <c r="U24" s="61">
        <f>T23/S24*100</f>
        <v>93.89401182681198</v>
      </c>
    </row>
    <row r="25" spans="1:21" s="1" customFormat="1" ht="15" customHeight="1">
      <c r="A25" s="103" t="s">
        <v>18</v>
      </c>
      <c r="B25" s="7" t="s">
        <v>6</v>
      </c>
      <c r="C25" s="25" t="s">
        <v>7</v>
      </c>
      <c r="D25" s="62">
        <v>11103</v>
      </c>
      <c r="E25" s="143">
        <v>17402</v>
      </c>
      <c r="F25" s="144"/>
      <c r="G25" s="62">
        <v>1830</v>
      </c>
      <c r="H25" s="143">
        <v>1863</v>
      </c>
      <c r="I25" s="144"/>
      <c r="J25" s="62">
        <v>4249</v>
      </c>
      <c r="K25" s="143">
        <v>4649</v>
      </c>
      <c r="L25" s="144"/>
      <c r="M25" s="62">
        <v>200</v>
      </c>
      <c r="N25" s="143">
        <v>193</v>
      </c>
      <c r="O25" s="144"/>
      <c r="P25" s="62">
        <v>1573</v>
      </c>
      <c r="Q25" s="143">
        <v>1534</v>
      </c>
      <c r="R25" s="144"/>
      <c r="S25" s="70">
        <v>6214</v>
      </c>
      <c r="T25" s="143">
        <v>5007</v>
      </c>
      <c r="U25" s="144"/>
    </row>
    <row r="26" spans="1:21" s="1" customFormat="1" ht="15" customHeight="1" thickBot="1">
      <c r="A26" s="104" t="s">
        <v>18</v>
      </c>
      <c r="B26" s="9" t="s">
        <v>8</v>
      </c>
      <c r="C26" s="26" t="s">
        <v>46</v>
      </c>
      <c r="D26" s="59">
        <v>18133</v>
      </c>
      <c r="E26" s="60">
        <f>E25/D25*100</f>
        <v>156.73241466270377</v>
      </c>
      <c r="F26" s="61">
        <f>E25/D26*100</f>
        <v>95.96867589477748</v>
      </c>
      <c r="G26" s="59">
        <v>2027</v>
      </c>
      <c r="H26" s="60">
        <f>H25/G25*100</f>
        <v>101.80327868852459</v>
      </c>
      <c r="I26" s="61">
        <f>H25/G26*100</f>
        <v>91.90922545633941</v>
      </c>
      <c r="J26" s="59">
        <v>5174</v>
      </c>
      <c r="K26" s="60">
        <f>K25/J25*100</f>
        <v>109.41397975994352</v>
      </c>
      <c r="L26" s="61">
        <f>K25/J26*100</f>
        <v>89.8531117124082</v>
      </c>
      <c r="M26" s="59">
        <v>257</v>
      </c>
      <c r="N26" s="60">
        <f>N25/M25*100</f>
        <v>96.5</v>
      </c>
      <c r="O26" s="61">
        <f>N25/M26*100</f>
        <v>75.09727626459144</v>
      </c>
      <c r="P26" s="59">
        <v>1614</v>
      </c>
      <c r="Q26" s="60">
        <f>Q25/P25*100</f>
        <v>97.52066115702479</v>
      </c>
      <c r="R26" s="61">
        <f>Q25/P26*100</f>
        <v>95.04337050805452</v>
      </c>
      <c r="S26" s="71">
        <v>5795</v>
      </c>
      <c r="T26" s="60">
        <f>T25/S25*100</f>
        <v>80.57611844222723</v>
      </c>
      <c r="U26" s="61">
        <f>T25/S26*100</f>
        <v>86.40207075064711</v>
      </c>
    </row>
    <row r="27" spans="1:21" s="1" customFormat="1" ht="15" customHeight="1">
      <c r="A27" s="103" t="s">
        <v>19</v>
      </c>
      <c r="B27" s="7" t="s">
        <v>6</v>
      </c>
      <c r="C27" s="25" t="s">
        <v>7</v>
      </c>
      <c r="D27" s="62">
        <v>2696</v>
      </c>
      <c r="E27" s="143">
        <v>5143</v>
      </c>
      <c r="F27" s="144"/>
      <c r="G27" s="62">
        <v>0</v>
      </c>
      <c r="H27" s="143">
        <v>0</v>
      </c>
      <c r="I27" s="144"/>
      <c r="J27" s="62">
        <v>2392</v>
      </c>
      <c r="K27" s="143">
        <v>3643</v>
      </c>
      <c r="L27" s="144"/>
      <c r="M27" s="58">
        <v>0</v>
      </c>
      <c r="N27" s="143">
        <v>65</v>
      </c>
      <c r="O27" s="144"/>
      <c r="P27" s="58">
        <v>1201</v>
      </c>
      <c r="Q27" s="143">
        <v>1190</v>
      </c>
      <c r="R27" s="144"/>
      <c r="S27" s="68">
        <v>3506</v>
      </c>
      <c r="T27" s="143">
        <v>2704</v>
      </c>
      <c r="U27" s="144"/>
    </row>
    <row r="28" spans="1:21" s="1" customFormat="1" ht="15" customHeight="1" thickBot="1">
      <c r="A28" s="104" t="s">
        <v>19</v>
      </c>
      <c r="B28" s="9" t="s">
        <v>8</v>
      </c>
      <c r="C28" s="26" t="s">
        <v>46</v>
      </c>
      <c r="D28" s="59">
        <v>5390</v>
      </c>
      <c r="E28" s="60">
        <f>E27/D27*100</f>
        <v>190.7640949554896</v>
      </c>
      <c r="F28" s="61">
        <f>E27/D28*100</f>
        <v>95.41743970315399</v>
      </c>
      <c r="G28" s="59">
        <v>0</v>
      </c>
      <c r="H28" s="60" t="s">
        <v>13</v>
      </c>
      <c r="I28" s="61" t="s">
        <v>9</v>
      </c>
      <c r="J28" s="59">
        <v>3873</v>
      </c>
      <c r="K28" s="60">
        <f>K27/J27*100</f>
        <v>152.29933110367892</v>
      </c>
      <c r="L28" s="61">
        <f>K27/J28*100</f>
        <v>94.06145107152078</v>
      </c>
      <c r="M28" s="66">
        <v>74</v>
      </c>
      <c r="N28" s="60" t="s">
        <v>13</v>
      </c>
      <c r="O28" s="61">
        <f>N27/M28*100</f>
        <v>87.83783783783784</v>
      </c>
      <c r="P28" s="66">
        <v>1201</v>
      </c>
      <c r="Q28" s="60">
        <f>Q27/P27*100</f>
        <v>99.08409658617818</v>
      </c>
      <c r="R28" s="61">
        <f>Q27/P28*100</f>
        <v>99.08409658617818</v>
      </c>
      <c r="S28" s="69">
        <v>2980</v>
      </c>
      <c r="T28" s="60">
        <f>T27/S27*100</f>
        <v>77.124928693668</v>
      </c>
      <c r="U28" s="61">
        <f>T27/S28*100</f>
        <v>90.73825503355705</v>
      </c>
    </row>
    <row r="29" spans="1:21" s="1" customFormat="1" ht="15" customHeight="1">
      <c r="A29" s="103" t="s">
        <v>20</v>
      </c>
      <c r="B29" s="11" t="s">
        <v>6</v>
      </c>
      <c r="C29" s="27" t="s">
        <v>7</v>
      </c>
      <c r="D29" s="62">
        <v>3669</v>
      </c>
      <c r="E29" s="143">
        <v>3651</v>
      </c>
      <c r="F29" s="144"/>
      <c r="G29" s="62">
        <v>935</v>
      </c>
      <c r="H29" s="143">
        <v>675</v>
      </c>
      <c r="I29" s="144"/>
      <c r="J29" s="62">
        <v>2946</v>
      </c>
      <c r="K29" s="143">
        <v>3382</v>
      </c>
      <c r="L29" s="144"/>
      <c r="M29" s="62">
        <v>10</v>
      </c>
      <c r="N29" s="143">
        <v>151</v>
      </c>
      <c r="O29" s="144"/>
      <c r="P29" s="62">
        <v>1322</v>
      </c>
      <c r="Q29" s="143">
        <v>1245</v>
      </c>
      <c r="R29" s="144"/>
      <c r="S29" s="70">
        <v>5105</v>
      </c>
      <c r="T29" s="143">
        <v>5208</v>
      </c>
      <c r="U29" s="144"/>
    </row>
    <row r="30" spans="1:21" s="1" customFormat="1" ht="15" customHeight="1" thickBot="1">
      <c r="A30" s="104" t="s">
        <v>20</v>
      </c>
      <c r="B30" s="9" t="s">
        <v>8</v>
      </c>
      <c r="C30" s="26" t="s">
        <v>46</v>
      </c>
      <c r="D30" s="59">
        <v>4172</v>
      </c>
      <c r="E30" s="60">
        <f>E29/D29*100</f>
        <v>99.50940310711366</v>
      </c>
      <c r="F30" s="61">
        <f>E29/D30*100</f>
        <v>87.51198465963567</v>
      </c>
      <c r="G30" s="59">
        <v>936</v>
      </c>
      <c r="H30" s="60">
        <f>H29/G29*100</f>
        <v>72.19251336898395</v>
      </c>
      <c r="I30" s="61">
        <f>H29/G30*100</f>
        <v>72.11538461538461</v>
      </c>
      <c r="J30" s="59">
        <v>3535</v>
      </c>
      <c r="K30" s="60">
        <f>K29/J29*100</f>
        <v>114.79972844534963</v>
      </c>
      <c r="L30" s="61">
        <f>K29/J30*100</f>
        <v>95.67185289957567</v>
      </c>
      <c r="M30" s="59">
        <v>151</v>
      </c>
      <c r="N30" s="60">
        <f>N29/M29*100</f>
        <v>1510</v>
      </c>
      <c r="O30" s="61">
        <f>N29/M30*100</f>
        <v>100</v>
      </c>
      <c r="P30" s="59">
        <v>1322</v>
      </c>
      <c r="Q30" s="60">
        <f>Q29/P29*100</f>
        <v>94.17549167927383</v>
      </c>
      <c r="R30" s="61">
        <f>Q29/P30*100</f>
        <v>94.17549167927383</v>
      </c>
      <c r="S30" s="71">
        <v>5318</v>
      </c>
      <c r="T30" s="60">
        <f>T29/S29*100</f>
        <v>102.01762977473065</v>
      </c>
      <c r="U30" s="61">
        <f>T29/S30*100</f>
        <v>97.93155321549455</v>
      </c>
    </row>
    <row r="31" spans="1:21" s="1" customFormat="1" ht="15" customHeight="1">
      <c r="A31" s="107" t="s">
        <v>21</v>
      </c>
      <c r="B31" s="7" t="s">
        <v>6</v>
      </c>
      <c r="C31" s="25" t="s">
        <v>7</v>
      </c>
      <c r="D31" s="58">
        <v>17450</v>
      </c>
      <c r="E31" s="149">
        <v>8554</v>
      </c>
      <c r="F31" s="150"/>
      <c r="G31" s="58">
        <v>841</v>
      </c>
      <c r="H31" s="147">
        <v>432</v>
      </c>
      <c r="I31" s="148"/>
      <c r="J31" s="58">
        <v>8987</v>
      </c>
      <c r="K31" s="147">
        <v>10770</v>
      </c>
      <c r="L31" s="148"/>
      <c r="M31" s="58">
        <v>0</v>
      </c>
      <c r="N31" s="147">
        <v>30</v>
      </c>
      <c r="O31" s="148"/>
      <c r="P31" s="58">
        <v>1344</v>
      </c>
      <c r="Q31" s="147">
        <v>1398</v>
      </c>
      <c r="R31" s="148"/>
      <c r="S31" s="68">
        <v>4185</v>
      </c>
      <c r="T31" s="147">
        <v>3142</v>
      </c>
      <c r="U31" s="148"/>
    </row>
    <row r="32" spans="1:21" s="1" customFormat="1" ht="15" customHeight="1" thickBot="1">
      <c r="A32" s="104" t="s">
        <v>21</v>
      </c>
      <c r="B32" s="9" t="s">
        <v>8</v>
      </c>
      <c r="C32" s="26" t="s">
        <v>46</v>
      </c>
      <c r="D32" s="59">
        <v>8731</v>
      </c>
      <c r="E32" s="60">
        <f>E31/D31*100</f>
        <v>49.02005730659026</v>
      </c>
      <c r="F32" s="61">
        <f>E31/D32*100</f>
        <v>97.972740808613</v>
      </c>
      <c r="G32" s="59">
        <v>823</v>
      </c>
      <c r="H32" s="60">
        <f>H31/G31*100</f>
        <v>51.36741973840666</v>
      </c>
      <c r="I32" s="61">
        <f>H31/G32*100</f>
        <v>52.49088699878494</v>
      </c>
      <c r="J32" s="59">
        <v>13315</v>
      </c>
      <c r="K32" s="60">
        <f>K31/J31*100</f>
        <v>119.83976855457882</v>
      </c>
      <c r="L32" s="61">
        <f>K31/J32*100</f>
        <v>80.88621855050695</v>
      </c>
      <c r="M32" s="59">
        <v>30</v>
      </c>
      <c r="N32" s="60" t="s">
        <v>13</v>
      </c>
      <c r="O32" s="61">
        <f>N31/M32*100</f>
        <v>100</v>
      </c>
      <c r="P32" s="59">
        <v>1456</v>
      </c>
      <c r="Q32" s="60">
        <f>Q31/P31*100</f>
        <v>104.01785714285714</v>
      </c>
      <c r="R32" s="61">
        <f>Q31/P32*100</f>
        <v>96.01648351648352</v>
      </c>
      <c r="S32" s="71">
        <v>3967</v>
      </c>
      <c r="T32" s="60">
        <f>T31/S31*100</f>
        <v>75.07765830346476</v>
      </c>
      <c r="U32" s="61">
        <f>T31/S32*100</f>
        <v>79.20342828333753</v>
      </c>
    </row>
    <row r="33" spans="1:21" s="1" customFormat="1" ht="15" customHeight="1">
      <c r="A33" s="103" t="s">
        <v>22</v>
      </c>
      <c r="B33" s="11" t="s">
        <v>6</v>
      </c>
      <c r="C33" s="27" t="s">
        <v>7</v>
      </c>
      <c r="D33" s="62">
        <v>659</v>
      </c>
      <c r="E33" s="143">
        <v>445</v>
      </c>
      <c r="F33" s="144"/>
      <c r="G33" s="62">
        <v>1571</v>
      </c>
      <c r="H33" s="143">
        <v>801</v>
      </c>
      <c r="I33" s="144"/>
      <c r="J33" s="62">
        <v>3327</v>
      </c>
      <c r="K33" s="143">
        <v>3765</v>
      </c>
      <c r="L33" s="144"/>
      <c r="M33" s="62">
        <v>0</v>
      </c>
      <c r="N33" s="143">
        <v>0</v>
      </c>
      <c r="O33" s="144"/>
      <c r="P33" s="62">
        <v>1411</v>
      </c>
      <c r="Q33" s="143">
        <v>1240</v>
      </c>
      <c r="R33" s="144"/>
      <c r="S33" s="70">
        <v>5274</v>
      </c>
      <c r="T33" s="143">
        <v>3224</v>
      </c>
      <c r="U33" s="144"/>
    </row>
    <row r="34" spans="1:21" s="1" customFormat="1" ht="15" customHeight="1" thickBot="1">
      <c r="A34" s="108" t="s">
        <v>22</v>
      </c>
      <c r="B34" s="28" t="s">
        <v>8</v>
      </c>
      <c r="C34" s="29" t="s">
        <v>46</v>
      </c>
      <c r="D34" s="63">
        <v>1539</v>
      </c>
      <c r="E34" s="64">
        <f>E33/D33*100</f>
        <v>67.52655538694992</v>
      </c>
      <c r="F34" s="65">
        <f>E33/D34*100</f>
        <v>28.914879792072774</v>
      </c>
      <c r="G34" s="63">
        <v>1585</v>
      </c>
      <c r="H34" s="64">
        <f>H33/G33*100</f>
        <v>50.986632718014</v>
      </c>
      <c r="I34" s="65">
        <f>H33/G34*100</f>
        <v>50.53627760252366</v>
      </c>
      <c r="J34" s="63">
        <v>6198</v>
      </c>
      <c r="K34" s="64">
        <f>K33/J33*100</f>
        <v>113.16501352569884</v>
      </c>
      <c r="L34" s="65">
        <f>K33/J34*100</f>
        <v>60.745401742497585</v>
      </c>
      <c r="M34" s="63">
        <v>0</v>
      </c>
      <c r="N34" s="64" t="s">
        <v>13</v>
      </c>
      <c r="O34" s="65" t="s">
        <v>9</v>
      </c>
      <c r="P34" s="63">
        <v>1596</v>
      </c>
      <c r="Q34" s="64">
        <f>Q33/P33*100</f>
        <v>87.88093550673281</v>
      </c>
      <c r="R34" s="65">
        <f>Q33/P34*100</f>
        <v>77.69423558897243</v>
      </c>
      <c r="S34" s="72">
        <v>4765</v>
      </c>
      <c r="T34" s="64">
        <f>T33/S33*100</f>
        <v>61.130072051573755</v>
      </c>
      <c r="U34" s="65">
        <f>T33/S34*100</f>
        <v>67.66002098635887</v>
      </c>
    </row>
    <row r="35" spans="1:21" s="1" customFormat="1" ht="15" customHeight="1" thickTop="1">
      <c r="A35" s="107" t="s">
        <v>23</v>
      </c>
      <c r="B35" s="7" t="s">
        <v>6</v>
      </c>
      <c r="C35" s="25" t="s">
        <v>7</v>
      </c>
      <c r="D35" s="58">
        <v>10307</v>
      </c>
      <c r="E35" s="147">
        <v>4853</v>
      </c>
      <c r="F35" s="148"/>
      <c r="G35" s="58">
        <v>3095</v>
      </c>
      <c r="H35" s="147">
        <v>2542</v>
      </c>
      <c r="I35" s="148"/>
      <c r="J35" s="58">
        <v>3602</v>
      </c>
      <c r="K35" s="147">
        <v>3171</v>
      </c>
      <c r="L35" s="148"/>
      <c r="M35" s="58">
        <v>840</v>
      </c>
      <c r="N35" s="147">
        <v>376</v>
      </c>
      <c r="O35" s="148"/>
      <c r="P35" s="58">
        <v>2766</v>
      </c>
      <c r="Q35" s="147">
        <v>2686</v>
      </c>
      <c r="R35" s="148"/>
      <c r="S35" s="68">
        <v>6751</v>
      </c>
      <c r="T35" s="147">
        <v>6209</v>
      </c>
      <c r="U35" s="148"/>
    </row>
    <row r="36" spans="1:21" s="1" customFormat="1" ht="15" customHeight="1" thickBot="1">
      <c r="A36" s="104" t="s">
        <v>23</v>
      </c>
      <c r="B36" s="9" t="s">
        <v>8</v>
      </c>
      <c r="C36" s="26" t="s">
        <v>46</v>
      </c>
      <c r="D36" s="59">
        <v>7238</v>
      </c>
      <c r="E36" s="60">
        <f>E35/D35*100</f>
        <v>47.08450567575434</v>
      </c>
      <c r="F36" s="61">
        <f>E35/D36*100</f>
        <v>67.04890853827024</v>
      </c>
      <c r="G36" s="59">
        <v>2945</v>
      </c>
      <c r="H36" s="60">
        <f>H35/G35*100</f>
        <v>82.13247172859451</v>
      </c>
      <c r="I36" s="61">
        <f>H35/G36*100</f>
        <v>86.31578947368422</v>
      </c>
      <c r="J36" s="59">
        <v>3713</v>
      </c>
      <c r="K36" s="60">
        <f>K35/J35*100</f>
        <v>88.03442531926707</v>
      </c>
      <c r="L36" s="61">
        <f>K35/J36*100</f>
        <v>85.40263937516833</v>
      </c>
      <c r="M36" s="59">
        <v>612</v>
      </c>
      <c r="N36" s="60">
        <f>N35/M35*100</f>
        <v>44.761904761904766</v>
      </c>
      <c r="O36" s="61">
        <f>N35/M36*100</f>
        <v>61.43790849673203</v>
      </c>
      <c r="P36" s="59">
        <v>2892</v>
      </c>
      <c r="Q36" s="60">
        <f>Q35/P35*100</f>
        <v>97.10773680404917</v>
      </c>
      <c r="R36" s="61">
        <f>Q35/P36*100</f>
        <v>92.87690179806363</v>
      </c>
      <c r="S36" s="71">
        <v>7090</v>
      </c>
      <c r="T36" s="60">
        <f>T35/S35*100</f>
        <v>91.97155976892313</v>
      </c>
      <c r="U36" s="61">
        <f>T35/S36*100</f>
        <v>87.574047954866</v>
      </c>
    </row>
    <row r="37" spans="1:21" s="1" customFormat="1" ht="15" customHeight="1">
      <c r="A37" s="103" t="s">
        <v>48</v>
      </c>
      <c r="B37" s="7" t="s">
        <v>6</v>
      </c>
      <c r="C37" s="25" t="s">
        <v>7</v>
      </c>
      <c r="D37" s="58">
        <v>1505</v>
      </c>
      <c r="E37" s="143">
        <v>2435</v>
      </c>
      <c r="F37" s="144"/>
      <c r="G37" s="58">
        <v>12645</v>
      </c>
      <c r="H37" s="143">
        <v>20209</v>
      </c>
      <c r="I37" s="144"/>
      <c r="J37" s="58">
        <v>19759</v>
      </c>
      <c r="K37" s="143">
        <v>44612</v>
      </c>
      <c r="L37" s="144"/>
      <c r="M37" s="58">
        <v>547</v>
      </c>
      <c r="N37" s="143">
        <v>904</v>
      </c>
      <c r="O37" s="144"/>
      <c r="P37" s="58">
        <v>2895</v>
      </c>
      <c r="Q37" s="143">
        <v>2904</v>
      </c>
      <c r="R37" s="144"/>
      <c r="S37" s="68">
        <v>17311</v>
      </c>
      <c r="T37" s="143">
        <v>18165</v>
      </c>
      <c r="U37" s="144"/>
    </row>
    <row r="38" spans="1:21" s="1" customFormat="1" ht="15" customHeight="1" thickBot="1">
      <c r="A38" s="104" t="s">
        <v>24</v>
      </c>
      <c r="B38" s="9" t="s">
        <v>8</v>
      </c>
      <c r="C38" s="26" t="s">
        <v>46</v>
      </c>
      <c r="D38" s="59">
        <v>2659</v>
      </c>
      <c r="E38" s="60">
        <f>E37/D37*100</f>
        <v>161.79401993355484</v>
      </c>
      <c r="F38" s="61">
        <f>E37/D38*100</f>
        <v>91.5757803685596</v>
      </c>
      <c r="G38" s="59">
        <v>20828</v>
      </c>
      <c r="H38" s="60">
        <f>H37/G37*100</f>
        <v>159.8181099248715</v>
      </c>
      <c r="I38" s="61">
        <f>H37/G38*100</f>
        <v>97.02803917802957</v>
      </c>
      <c r="J38" s="59">
        <v>46871</v>
      </c>
      <c r="K38" s="60">
        <f>K37/J37*100</f>
        <v>225.78065691583583</v>
      </c>
      <c r="L38" s="61">
        <f>K37/J38*100</f>
        <v>95.18038872650466</v>
      </c>
      <c r="M38" s="59">
        <v>954</v>
      </c>
      <c r="N38" s="60">
        <f>N37/M37*100</f>
        <v>165.2650822669104</v>
      </c>
      <c r="O38" s="61">
        <f>N37/M38*100</f>
        <v>94.75890985324948</v>
      </c>
      <c r="P38" s="59">
        <v>2930</v>
      </c>
      <c r="Q38" s="60">
        <f>Q37/P37*100</f>
        <v>100.31088082901553</v>
      </c>
      <c r="R38" s="61">
        <f>Q37/P38*100</f>
        <v>99.11262798634812</v>
      </c>
      <c r="S38" s="71">
        <v>18757</v>
      </c>
      <c r="T38" s="60">
        <f>T37/S37*100</f>
        <v>104.93327941771129</v>
      </c>
      <c r="U38" s="61">
        <f>T37/S38*100</f>
        <v>96.84384496454656</v>
      </c>
    </row>
    <row r="39" spans="1:21" s="1" customFormat="1" ht="15" customHeight="1">
      <c r="A39" s="103" t="s">
        <v>25</v>
      </c>
      <c r="B39" s="7" t="s">
        <v>6</v>
      </c>
      <c r="C39" s="25" t="s">
        <v>7</v>
      </c>
      <c r="D39" s="62">
        <v>4244</v>
      </c>
      <c r="E39" s="143">
        <v>1957</v>
      </c>
      <c r="F39" s="144"/>
      <c r="G39" s="62">
        <v>55</v>
      </c>
      <c r="H39" s="143">
        <v>70</v>
      </c>
      <c r="I39" s="144"/>
      <c r="J39" s="62">
        <v>4045</v>
      </c>
      <c r="K39" s="143">
        <v>6004</v>
      </c>
      <c r="L39" s="144"/>
      <c r="M39" s="62">
        <v>880</v>
      </c>
      <c r="N39" s="143">
        <v>447</v>
      </c>
      <c r="O39" s="144"/>
      <c r="P39" s="62">
        <v>1638</v>
      </c>
      <c r="Q39" s="143">
        <v>1695</v>
      </c>
      <c r="R39" s="144"/>
      <c r="S39" s="70">
        <v>6586</v>
      </c>
      <c r="T39" s="143">
        <v>6135</v>
      </c>
      <c r="U39" s="144"/>
    </row>
    <row r="40" spans="1:21" s="1" customFormat="1" ht="15" customHeight="1" thickBot="1">
      <c r="A40" s="104" t="s">
        <v>25</v>
      </c>
      <c r="B40" s="9" t="s">
        <v>8</v>
      </c>
      <c r="C40" s="26" t="s">
        <v>46</v>
      </c>
      <c r="D40" s="59">
        <v>2423</v>
      </c>
      <c r="E40" s="60">
        <f>E39/D39*100</f>
        <v>46.11215834118756</v>
      </c>
      <c r="F40" s="61">
        <f>E39/D40*100</f>
        <v>80.76764341725135</v>
      </c>
      <c r="G40" s="59">
        <v>92</v>
      </c>
      <c r="H40" s="60">
        <f>H39/G39*100</f>
        <v>127.27272727272727</v>
      </c>
      <c r="I40" s="61">
        <f>H39/G40*100</f>
        <v>76.08695652173914</v>
      </c>
      <c r="J40" s="59">
        <v>6388</v>
      </c>
      <c r="K40" s="60">
        <f>K39/J39*100</f>
        <v>148.4301606922126</v>
      </c>
      <c r="L40" s="61">
        <f>K39/J40*100</f>
        <v>93.98872886662492</v>
      </c>
      <c r="M40" s="59">
        <v>499</v>
      </c>
      <c r="N40" s="60">
        <f>N39/M39*100</f>
        <v>50.79545454545455</v>
      </c>
      <c r="O40" s="61">
        <f>N39/M40*100</f>
        <v>89.57915831663327</v>
      </c>
      <c r="P40" s="59">
        <v>1722</v>
      </c>
      <c r="Q40" s="60">
        <f>Q39/P39*100</f>
        <v>103.47985347985349</v>
      </c>
      <c r="R40" s="61">
        <f>Q39/P40*100</f>
        <v>98.43205574912892</v>
      </c>
      <c r="S40" s="71">
        <v>6461</v>
      </c>
      <c r="T40" s="60">
        <f>T39/S39*100</f>
        <v>93.1521409049499</v>
      </c>
      <c r="U40" s="61">
        <f>T39/S40*100</f>
        <v>94.95434143321468</v>
      </c>
    </row>
    <row r="41" spans="1:21" s="1" customFormat="1" ht="15" customHeight="1">
      <c r="A41" s="103" t="s">
        <v>26</v>
      </c>
      <c r="B41" s="7" t="s">
        <v>6</v>
      </c>
      <c r="C41" s="25" t="s">
        <v>7</v>
      </c>
      <c r="D41" s="58">
        <v>1041</v>
      </c>
      <c r="E41" s="143">
        <v>1258</v>
      </c>
      <c r="F41" s="144"/>
      <c r="G41" s="58">
        <v>585</v>
      </c>
      <c r="H41" s="143">
        <v>103</v>
      </c>
      <c r="I41" s="144"/>
      <c r="J41" s="58">
        <v>4654</v>
      </c>
      <c r="K41" s="143">
        <v>1893</v>
      </c>
      <c r="L41" s="144"/>
      <c r="M41" s="58">
        <v>3</v>
      </c>
      <c r="N41" s="143">
        <v>91</v>
      </c>
      <c r="O41" s="144"/>
      <c r="P41" s="58">
        <v>1383</v>
      </c>
      <c r="Q41" s="143">
        <v>1341</v>
      </c>
      <c r="R41" s="144"/>
      <c r="S41" s="68">
        <v>8542</v>
      </c>
      <c r="T41" s="143">
        <v>6522</v>
      </c>
      <c r="U41" s="144"/>
    </row>
    <row r="42" spans="1:21" s="1" customFormat="1" ht="15" customHeight="1" thickBot="1">
      <c r="A42" s="104" t="s">
        <v>26</v>
      </c>
      <c r="B42" s="9" t="s">
        <v>8</v>
      </c>
      <c r="C42" s="26" t="s">
        <v>46</v>
      </c>
      <c r="D42" s="66">
        <v>2996</v>
      </c>
      <c r="E42" s="60">
        <f>E41/D41*100</f>
        <v>120.84534101825169</v>
      </c>
      <c r="F42" s="61">
        <f>E41/D42*100</f>
        <v>41.98931909212283</v>
      </c>
      <c r="G42" s="66">
        <v>585</v>
      </c>
      <c r="H42" s="60">
        <f>H41/G41*100</f>
        <v>17.60683760683761</v>
      </c>
      <c r="I42" s="61">
        <f>H41/G42*100</f>
        <v>17.60683760683761</v>
      </c>
      <c r="J42" s="66">
        <v>3279</v>
      </c>
      <c r="K42" s="60">
        <f>K41/J41*100</f>
        <v>40.67468844005157</v>
      </c>
      <c r="L42" s="61">
        <f>K41/J42*100</f>
        <v>57.73101555352241</v>
      </c>
      <c r="M42" s="66">
        <v>98</v>
      </c>
      <c r="N42" s="60">
        <f>N41/M41*100</f>
        <v>3033.333333333333</v>
      </c>
      <c r="O42" s="61">
        <f>N41/M42*100</f>
        <v>92.85714285714286</v>
      </c>
      <c r="P42" s="66">
        <v>1464</v>
      </c>
      <c r="Q42" s="60">
        <f>Q41/P41*100</f>
        <v>96.96312364425162</v>
      </c>
      <c r="R42" s="61">
        <f>Q41/P42*100</f>
        <v>91.59836065573771</v>
      </c>
      <c r="S42" s="69">
        <v>10333</v>
      </c>
      <c r="T42" s="60">
        <f>T41/S41*100</f>
        <v>76.35214235542027</v>
      </c>
      <c r="U42" s="61">
        <f>T41/S42*100</f>
        <v>63.118165102100065</v>
      </c>
    </row>
    <row r="43" spans="1:21" s="1" customFormat="1" ht="15" customHeight="1">
      <c r="A43" s="103" t="s">
        <v>53</v>
      </c>
      <c r="B43" s="7" t="s">
        <v>6</v>
      </c>
      <c r="C43" s="25" t="s">
        <v>7</v>
      </c>
      <c r="D43" s="62">
        <v>9962</v>
      </c>
      <c r="E43" s="143">
        <v>8841</v>
      </c>
      <c r="F43" s="144"/>
      <c r="G43" s="62">
        <v>4271</v>
      </c>
      <c r="H43" s="143">
        <v>14587</v>
      </c>
      <c r="I43" s="144"/>
      <c r="J43" s="62">
        <v>5564</v>
      </c>
      <c r="K43" s="143">
        <v>4262</v>
      </c>
      <c r="L43" s="144"/>
      <c r="M43" s="62">
        <v>14165</v>
      </c>
      <c r="N43" s="143">
        <v>26450</v>
      </c>
      <c r="O43" s="144"/>
      <c r="P43" s="62">
        <v>2227</v>
      </c>
      <c r="Q43" s="143">
        <v>1648</v>
      </c>
      <c r="R43" s="144"/>
      <c r="S43" s="70">
        <v>9559</v>
      </c>
      <c r="T43" s="143">
        <v>7390</v>
      </c>
      <c r="U43" s="144"/>
    </row>
    <row r="44" spans="1:21" s="1" customFormat="1" ht="15" customHeight="1" thickBot="1">
      <c r="A44" s="104" t="s">
        <v>27</v>
      </c>
      <c r="B44" s="9" t="s">
        <v>8</v>
      </c>
      <c r="C44" s="26" t="s">
        <v>46</v>
      </c>
      <c r="D44" s="59">
        <v>10201</v>
      </c>
      <c r="E44" s="60">
        <f>E43/D43*100</f>
        <v>88.74723951013853</v>
      </c>
      <c r="F44" s="61">
        <f>E43/D44*100</f>
        <v>86.66797372806587</v>
      </c>
      <c r="G44" s="59">
        <v>19729</v>
      </c>
      <c r="H44" s="60">
        <f>H43/G43*100</f>
        <v>341.5359400608757</v>
      </c>
      <c r="I44" s="61">
        <f>H43/G44*100</f>
        <v>73.93684423944448</v>
      </c>
      <c r="J44" s="59">
        <v>7106</v>
      </c>
      <c r="K44" s="60">
        <f>K43/J43*100</f>
        <v>76.59956865564342</v>
      </c>
      <c r="L44" s="61">
        <f>K43/J44*100</f>
        <v>59.977483816493105</v>
      </c>
      <c r="M44" s="59">
        <v>27855</v>
      </c>
      <c r="N44" s="60">
        <f>N43/M43*100</f>
        <v>186.72785033533356</v>
      </c>
      <c r="O44" s="61">
        <f>N43/M44*100</f>
        <v>94.95602225812242</v>
      </c>
      <c r="P44" s="59">
        <v>2227</v>
      </c>
      <c r="Q44" s="60">
        <f>Q43/P43*100</f>
        <v>74.00089806915132</v>
      </c>
      <c r="R44" s="61">
        <f>Q43/P44*100</f>
        <v>74.00089806915132</v>
      </c>
      <c r="S44" s="71">
        <v>9538</v>
      </c>
      <c r="T44" s="60">
        <f>T43/S43*100</f>
        <v>77.30934198137881</v>
      </c>
      <c r="U44" s="61">
        <f>T43/S44*100</f>
        <v>77.47955546236108</v>
      </c>
    </row>
    <row r="45" spans="1:21" s="1" customFormat="1" ht="15" customHeight="1">
      <c r="A45" s="103" t="s">
        <v>28</v>
      </c>
      <c r="B45" s="7" t="s">
        <v>6</v>
      </c>
      <c r="C45" s="25" t="s">
        <v>7</v>
      </c>
      <c r="D45" s="58">
        <v>1482</v>
      </c>
      <c r="E45" s="143">
        <v>1181</v>
      </c>
      <c r="F45" s="144"/>
      <c r="G45" s="58">
        <v>12678</v>
      </c>
      <c r="H45" s="143">
        <v>9993</v>
      </c>
      <c r="I45" s="144"/>
      <c r="J45" s="58">
        <v>7873</v>
      </c>
      <c r="K45" s="143">
        <v>8965</v>
      </c>
      <c r="L45" s="144"/>
      <c r="M45" s="58">
        <v>1919</v>
      </c>
      <c r="N45" s="143">
        <v>1978</v>
      </c>
      <c r="O45" s="144"/>
      <c r="P45" s="58">
        <v>1929</v>
      </c>
      <c r="Q45" s="143">
        <v>1917</v>
      </c>
      <c r="R45" s="144"/>
      <c r="S45" s="68">
        <v>21171</v>
      </c>
      <c r="T45" s="143">
        <v>10791</v>
      </c>
      <c r="U45" s="144"/>
    </row>
    <row r="46" spans="1:21" s="1" customFormat="1" ht="15" customHeight="1" thickBot="1">
      <c r="A46" s="104" t="s">
        <v>28</v>
      </c>
      <c r="B46" s="9" t="s">
        <v>8</v>
      </c>
      <c r="C46" s="26" t="s">
        <v>46</v>
      </c>
      <c r="D46" s="66">
        <v>1711</v>
      </c>
      <c r="E46" s="60">
        <f>E45/D45*100</f>
        <v>79.68960863697706</v>
      </c>
      <c r="F46" s="61">
        <f>E45/D46*100</f>
        <v>69.0239625949737</v>
      </c>
      <c r="G46" s="66">
        <v>12800</v>
      </c>
      <c r="H46" s="60">
        <f>H45/G45*100</f>
        <v>78.82158069096073</v>
      </c>
      <c r="I46" s="61">
        <f>H45/G46*100</f>
        <v>78.0703125</v>
      </c>
      <c r="J46" s="66">
        <v>10446</v>
      </c>
      <c r="K46" s="60">
        <f>K45/J45*100</f>
        <v>113.87018925441382</v>
      </c>
      <c r="L46" s="61">
        <f>K45/J46*100</f>
        <v>85.82232433467357</v>
      </c>
      <c r="M46" s="66">
        <v>3457</v>
      </c>
      <c r="N46" s="60">
        <f>N45/M45*100</f>
        <v>103.0745179781136</v>
      </c>
      <c r="O46" s="61">
        <f>N45/M46*100</f>
        <v>57.21724038183395</v>
      </c>
      <c r="P46" s="66">
        <v>1995</v>
      </c>
      <c r="Q46" s="60">
        <f>Q45/P45*100</f>
        <v>99.37791601866252</v>
      </c>
      <c r="R46" s="61">
        <f>Q45/P46*100</f>
        <v>96.09022556390977</v>
      </c>
      <c r="S46" s="69">
        <v>21411</v>
      </c>
      <c r="T46" s="60">
        <f>T45/S45*100</f>
        <v>50.970667422417456</v>
      </c>
      <c r="U46" s="61">
        <f>T45/S46*100</f>
        <v>50.39932744850778</v>
      </c>
    </row>
    <row r="47" spans="1:21" s="1" customFormat="1" ht="15" customHeight="1">
      <c r="A47" s="103" t="s">
        <v>29</v>
      </c>
      <c r="B47" s="7" t="s">
        <v>6</v>
      </c>
      <c r="C47" s="25" t="s">
        <v>7</v>
      </c>
      <c r="D47" s="62">
        <v>2320</v>
      </c>
      <c r="E47" s="143">
        <v>1171</v>
      </c>
      <c r="F47" s="144"/>
      <c r="G47" s="62">
        <v>6455</v>
      </c>
      <c r="H47" s="143">
        <v>5466</v>
      </c>
      <c r="I47" s="144"/>
      <c r="J47" s="62">
        <v>13597</v>
      </c>
      <c r="K47" s="143">
        <v>14685</v>
      </c>
      <c r="L47" s="144"/>
      <c r="M47" s="67">
        <v>420</v>
      </c>
      <c r="N47" s="143">
        <v>683</v>
      </c>
      <c r="O47" s="144"/>
      <c r="P47" s="67">
        <v>1783</v>
      </c>
      <c r="Q47" s="143">
        <v>1712</v>
      </c>
      <c r="R47" s="144"/>
      <c r="S47" s="73">
        <v>15455</v>
      </c>
      <c r="T47" s="143">
        <v>13082</v>
      </c>
      <c r="U47" s="144"/>
    </row>
    <row r="48" spans="1:21" s="1" customFormat="1" ht="15" customHeight="1" thickBot="1">
      <c r="A48" s="104" t="s">
        <v>29</v>
      </c>
      <c r="B48" s="9" t="s">
        <v>8</v>
      </c>
      <c r="C48" s="26" t="s">
        <v>46</v>
      </c>
      <c r="D48" s="59">
        <v>2411</v>
      </c>
      <c r="E48" s="60">
        <f>E47/D47*100</f>
        <v>50.47413793103448</v>
      </c>
      <c r="F48" s="61">
        <f>E47/D48*100</f>
        <v>48.5690584819577</v>
      </c>
      <c r="G48" s="59">
        <v>6535</v>
      </c>
      <c r="H48" s="60">
        <f>H47/G47*100</f>
        <v>84.67854376452362</v>
      </c>
      <c r="I48" s="61">
        <f>H47/G48*100</f>
        <v>83.64192807957154</v>
      </c>
      <c r="J48" s="59">
        <v>14878</v>
      </c>
      <c r="K48" s="60">
        <f>K47/J47*100</f>
        <v>108.0017650952416</v>
      </c>
      <c r="L48" s="61">
        <f>K47/J48*100</f>
        <v>98.7027826320742</v>
      </c>
      <c r="M48" s="59">
        <v>744</v>
      </c>
      <c r="N48" s="60">
        <f>N47/M47*100</f>
        <v>162.61904761904762</v>
      </c>
      <c r="O48" s="61">
        <f>N47/M48*100</f>
        <v>91.8010752688172</v>
      </c>
      <c r="P48" s="59">
        <v>1777</v>
      </c>
      <c r="Q48" s="60">
        <f>Q47/P47*100</f>
        <v>96.0179472798654</v>
      </c>
      <c r="R48" s="61">
        <f>Q47/P48*100</f>
        <v>96.34214969048959</v>
      </c>
      <c r="S48" s="71">
        <v>15203</v>
      </c>
      <c r="T48" s="60">
        <f>T47/S47*100</f>
        <v>84.64574571336138</v>
      </c>
      <c r="U48" s="61">
        <f>T47/S48*100</f>
        <v>86.0488061566796</v>
      </c>
    </row>
    <row r="49" spans="1:21" s="1" customFormat="1" ht="15" customHeight="1">
      <c r="A49" s="103" t="s">
        <v>30</v>
      </c>
      <c r="B49" s="7" t="s">
        <v>6</v>
      </c>
      <c r="C49" s="25" t="s">
        <v>7</v>
      </c>
      <c r="D49" s="62">
        <v>2658</v>
      </c>
      <c r="E49" s="143">
        <v>1677</v>
      </c>
      <c r="F49" s="144"/>
      <c r="G49" s="62">
        <v>8579</v>
      </c>
      <c r="H49" s="143">
        <v>5212</v>
      </c>
      <c r="I49" s="144"/>
      <c r="J49" s="62">
        <v>2774</v>
      </c>
      <c r="K49" s="143">
        <v>3079</v>
      </c>
      <c r="L49" s="144"/>
      <c r="M49" s="62">
        <v>20</v>
      </c>
      <c r="N49" s="143">
        <v>151</v>
      </c>
      <c r="O49" s="144"/>
      <c r="P49" s="62">
        <v>1915</v>
      </c>
      <c r="Q49" s="143">
        <v>1212</v>
      </c>
      <c r="R49" s="144"/>
      <c r="S49" s="62">
        <v>6074</v>
      </c>
      <c r="T49" s="143">
        <v>4752</v>
      </c>
      <c r="U49" s="144"/>
    </row>
    <row r="50" spans="1:21" s="1" customFormat="1" ht="15" customHeight="1" thickBot="1">
      <c r="A50" s="104" t="s">
        <v>30</v>
      </c>
      <c r="B50" s="9" t="s">
        <v>8</v>
      </c>
      <c r="C50" s="26" t="s">
        <v>46</v>
      </c>
      <c r="D50" s="59">
        <v>2667</v>
      </c>
      <c r="E50" s="60">
        <f>E49/D49*100</f>
        <v>63.092550790067726</v>
      </c>
      <c r="F50" s="61">
        <f>E49/D50*100</f>
        <v>62.879640044994375</v>
      </c>
      <c r="G50" s="59">
        <v>5859</v>
      </c>
      <c r="H50" s="60">
        <f>H49/G49*100</f>
        <v>60.75300151532813</v>
      </c>
      <c r="I50" s="61">
        <f>H49/G50*100</f>
        <v>88.95715992490186</v>
      </c>
      <c r="J50" s="59">
        <v>3707</v>
      </c>
      <c r="K50" s="60">
        <f>K49/J49*100</f>
        <v>110.99495313626532</v>
      </c>
      <c r="L50" s="61">
        <f>K49/J50*100</f>
        <v>83.05907742109522</v>
      </c>
      <c r="M50" s="59">
        <v>187</v>
      </c>
      <c r="N50" s="60">
        <f>N49/M49*100</f>
        <v>755</v>
      </c>
      <c r="O50" s="61">
        <f>N49/M50*100</f>
        <v>80.74866310160428</v>
      </c>
      <c r="P50" s="59">
        <v>1915</v>
      </c>
      <c r="Q50" s="60">
        <f>Q49/P49*100</f>
        <v>63.28981723237598</v>
      </c>
      <c r="R50" s="61">
        <f>Q49/P50*100</f>
        <v>63.28981723237598</v>
      </c>
      <c r="S50" s="66">
        <v>5528</v>
      </c>
      <c r="T50" s="60">
        <f>T49/S49*100</f>
        <v>78.23510042805401</v>
      </c>
      <c r="U50" s="61">
        <f>T49/S50*100</f>
        <v>85.96237337192476</v>
      </c>
    </row>
    <row r="51" spans="1:21" s="1" customFormat="1" ht="15" customHeight="1">
      <c r="A51" s="103" t="s">
        <v>31</v>
      </c>
      <c r="B51" s="11" t="s">
        <v>6</v>
      </c>
      <c r="C51" s="27" t="s">
        <v>7</v>
      </c>
      <c r="D51" s="67">
        <v>1265</v>
      </c>
      <c r="E51" s="143">
        <v>800</v>
      </c>
      <c r="F51" s="144"/>
      <c r="G51" s="67">
        <v>171</v>
      </c>
      <c r="H51" s="143">
        <v>165</v>
      </c>
      <c r="I51" s="144"/>
      <c r="J51" s="67">
        <v>1613</v>
      </c>
      <c r="K51" s="143">
        <v>2423</v>
      </c>
      <c r="L51" s="144"/>
      <c r="M51" s="67">
        <v>60</v>
      </c>
      <c r="N51" s="143">
        <v>174</v>
      </c>
      <c r="O51" s="144"/>
      <c r="P51" s="67">
        <v>2093</v>
      </c>
      <c r="Q51" s="143">
        <v>1560</v>
      </c>
      <c r="R51" s="144"/>
      <c r="S51" s="67">
        <v>17851</v>
      </c>
      <c r="T51" s="143">
        <v>3518</v>
      </c>
      <c r="U51" s="144"/>
    </row>
    <row r="52" spans="1:21" s="1" customFormat="1" ht="15" customHeight="1" thickBot="1">
      <c r="A52" s="104" t="s">
        <v>31</v>
      </c>
      <c r="B52" s="12" t="s">
        <v>8</v>
      </c>
      <c r="C52" s="30" t="s">
        <v>46</v>
      </c>
      <c r="D52" s="59">
        <v>1138</v>
      </c>
      <c r="E52" s="60">
        <f>E51/D51*100</f>
        <v>63.24110671936759</v>
      </c>
      <c r="F52" s="61">
        <f>E51/D52*100</f>
        <v>70.298769771529</v>
      </c>
      <c r="G52" s="59">
        <v>221</v>
      </c>
      <c r="H52" s="60">
        <f>H51/G51*100</f>
        <v>96.49122807017544</v>
      </c>
      <c r="I52" s="61">
        <f>H51/G52*100</f>
        <v>74.6606334841629</v>
      </c>
      <c r="J52" s="59">
        <v>2588</v>
      </c>
      <c r="K52" s="60">
        <f>K51/J51*100</f>
        <v>150.21698698078117</v>
      </c>
      <c r="L52" s="61">
        <f>K51/J52*100</f>
        <v>93.6244204018547</v>
      </c>
      <c r="M52" s="59">
        <v>229</v>
      </c>
      <c r="N52" s="60">
        <f>N51/M51*100</f>
        <v>290</v>
      </c>
      <c r="O52" s="61">
        <f>N51/M52*100</f>
        <v>75.9825327510917</v>
      </c>
      <c r="P52" s="59">
        <v>2093</v>
      </c>
      <c r="Q52" s="60">
        <f>Q51/P51*100</f>
        <v>74.53416149068323</v>
      </c>
      <c r="R52" s="61">
        <f>Q51/P52*100</f>
        <v>74.53416149068323</v>
      </c>
      <c r="S52" s="59">
        <v>3931</v>
      </c>
      <c r="T52" s="60">
        <f>T51/S51*100</f>
        <v>19.707579407316118</v>
      </c>
      <c r="U52" s="61">
        <f>T51/S52*100</f>
        <v>89.4937674891885</v>
      </c>
    </row>
    <row r="53" spans="1:21" s="1" customFormat="1" ht="15" customHeight="1">
      <c r="A53" s="105" t="s">
        <v>49</v>
      </c>
      <c r="B53" s="90" t="s">
        <v>6</v>
      </c>
      <c r="C53" s="91" t="s">
        <v>7</v>
      </c>
      <c r="D53" s="92">
        <f>SUM(D7+D9+D11+D13+D15+D17+D19+D21+D23+D25+D27+D29+D31+D33+D35+D37+D39+D41+D43+D45+D47+D49+D51)</f>
        <v>199157</v>
      </c>
      <c r="E53" s="145">
        <f>SUM(E7+E9+E11+E13+E15+E17+E19+E21+E23+E25+E27+E29+E31+E33+E35+E37+E39+E41+E43+E45+E47+E49+E51)</f>
        <v>157529</v>
      </c>
      <c r="F53" s="146"/>
      <c r="G53" s="92">
        <f>SUM(G7+G9+G11+G13+G15+G17+G19+G21+G23+G25+G27+G29+G31+G33+G35+G37+G39+G41+G43+G45+G47+G49+G51)</f>
        <v>859488</v>
      </c>
      <c r="H53" s="145">
        <f>SUM(H7+H9+H11+H13+H15+H17+H19+H21+H23+H25+H27+H29+H31+H33+H35+H37+H39+H41+H43+H45+H47+H49+H51)</f>
        <v>809392</v>
      </c>
      <c r="I53" s="146"/>
      <c r="J53" s="92">
        <f>SUM(J7+J9+J11+J13+J15+J17+J19+J21+J23+J25+J27+J29+J31+J33+J35+J37+J39+J41+J43+J45+J47+J49+J51)</f>
        <v>517701</v>
      </c>
      <c r="K53" s="145">
        <f>SUM(K7+K9+K11+K13+K15+K17+K19+K21+K23+K25+K27+K29+K31+K33+K35+K37+K39+K41+K43+K45+K47+K49+K51)</f>
        <v>482520</v>
      </c>
      <c r="L53" s="146"/>
      <c r="M53" s="92">
        <f>SUM(M7+M9+M11+M13+M15+M17+M19+M21+M23+M25+M27+M29+M31+M33+M35+M37+M39+M41+M43+M45+M47+M49+M51)</f>
        <v>151621</v>
      </c>
      <c r="N53" s="145">
        <f>SUM(N7+N9+N11+N13+N15+N17+N19+N21+N23+N25+N27+N29+N31+N33+N35+N37+N39+N41+N43+N45+N47+N49+N51)</f>
        <v>222549</v>
      </c>
      <c r="O53" s="146"/>
      <c r="P53" s="92">
        <f>SUM(P7+P9+P11+P13+P15+P17+P19+P21+P23+P25+P27+P29+P31+P33+P35+P37+P39+P41+P43+P45+P47+P49+P51)</f>
        <v>103728</v>
      </c>
      <c r="Q53" s="145">
        <f>SUM(Q7+Q9+Q11+Q13+Q15+Q17+Q19+Q21+Q23+Q25+Q27+Q29+Q31+Q33+Q35+Q37+Q39+Q41+Q43+Q45+Q47+Q49+Q51)</f>
        <v>93461</v>
      </c>
      <c r="R53" s="146"/>
      <c r="S53" s="92">
        <f>SUM(S7+S9+S11+S13+S15+S17+S19+S21+S23+S25+S27+S29+S31+S33+S35+S37+S39+S41+S43+S45+S47+S49+S51)</f>
        <v>821382</v>
      </c>
      <c r="T53" s="145">
        <f>SUM(T7+T9+T11+T13+T15+T17+T19+T21+T23+T25+T27+T29+T31+T33+T35+T37+T39+T41+T43+T45+T47+T49+T51)</f>
        <v>731692</v>
      </c>
      <c r="U53" s="146"/>
    </row>
    <row r="54" spans="1:21" s="1" customFormat="1" ht="15" customHeight="1" thickBot="1">
      <c r="A54" s="106" t="s">
        <v>32</v>
      </c>
      <c r="B54" s="93" t="s">
        <v>8</v>
      </c>
      <c r="C54" s="94" t="s">
        <v>46</v>
      </c>
      <c r="D54" s="95">
        <f>SUM(D8+D10+D12+D14+D16+D18+D20+D22+D24+D26+D28+D30+D32+D34+D36+D38+D40+D42+D44+D46+D48+D50+D52)</f>
        <v>189323</v>
      </c>
      <c r="E54" s="96">
        <f>E53/D53*100</f>
        <v>79.09789763854647</v>
      </c>
      <c r="F54" s="97">
        <f>E53/D54*100</f>
        <v>83.20647781833163</v>
      </c>
      <c r="G54" s="95">
        <f>SUM(G8+G10+G12+G14+G16+G18+G20+G22+G24+G26+G28+G30+G32+G34+G36+G38+G40+G42+G44+G46+G48+G50+G52)</f>
        <v>950719</v>
      </c>
      <c r="H54" s="96">
        <f>H53/G53*100</f>
        <v>94.17141367884135</v>
      </c>
      <c r="I54" s="97">
        <f>H53/G54*100</f>
        <v>85.13472435072825</v>
      </c>
      <c r="J54" s="95">
        <f>SUM(J8+J10+J12+J14+J16+J18+J20+J22+J24+J26+J28+J30+J32+J34+J36+J38+J40+J42+J44+J46+J48+J50+J52)</f>
        <v>563299</v>
      </c>
      <c r="K54" s="96">
        <f>K53/J53*100</f>
        <v>93.20437858918565</v>
      </c>
      <c r="L54" s="97">
        <f>K53/J54*100</f>
        <v>85.6596585472369</v>
      </c>
      <c r="M54" s="95">
        <f>SUM(M8+M10+M12+M14+M16+M18+M20+M22+M24+M26+M28+M30+M32+M34+M36+M38+M40+M42+M44+M46+M48+M50+M52)</f>
        <v>243042</v>
      </c>
      <c r="N54" s="96">
        <f>N53/M53*100</f>
        <v>146.77979963197708</v>
      </c>
      <c r="O54" s="97">
        <f>N53/M54*100</f>
        <v>91.56812402794579</v>
      </c>
      <c r="P54" s="95">
        <f>SUM(P8+P10+P12+P14+P16+P18+P20+P22+P24+P26+P28+P30+P32+P34+P36+P38+P40+P42+P44+P46+P48+P50+P52)</f>
        <v>103263</v>
      </c>
      <c r="Q54" s="96">
        <f>Q53/P53*100</f>
        <v>90.10199753200678</v>
      </c>
      <c r="R54" s="97">
        <f>Q53/P54*100</f>
        <v>90.5077326825678</v>
      </c>
      <c r="S54" s="95">
        <f>SUM(S8+S10+S12+S14+S16+S18+S20+S22+S24+S26+S28+S30+S32+S34+S36+S38+S40+S42+S44+S46+S48+S50+S52)</f>
        <v>840551</v>
      </c>
      <c r="T54" s="96">
        <f>T53/S53*100</f>
        <v>89.08059830870411</v>
      </c>
      <c r="U54" s="97">
        <f>T53/S54*100</f>
        <v>87.049090418071</v>
      </c>
    </row>
  </sheetData>
  <sheetProtection/>
  <mergeCells count="178">
    <mergeCell ref="P5:R6"/>
    <mergeCell ref="S5:U6"/>
    <mergeCell ref="M4:S4"/>
    <mergeCell ref="E7:F7"/>
    <mergeCell ref="H7:I7"/>
    <mergeCell ref="K7:L7"/>
    <mergeCell ref="N7:O7"/>
    <mergeCell ref="Q7:R7"/>
    <mergeCell ref="T7:U7"/>
    <mergeCell ref="E9:F9"/>
    <mergeCell ref="H9:I9"/>
    <mergeCell ref="K9:L9"/>
    <mergeCell ref="N9:O9"/>
    <mergeCell ref="Q9:R9"/>
    <mergeCell ref="T9:U9"/>
    <mergeCell ref="E11:F11"/>
    <mergeCell ref="H11:I11"/>
    <mergeCell ref="K11:L11"/>
    <mergeCell ref="N11:O11"/>
    <mergeCell ref="Q11:R11"/>
    <mergeCell ref="T11:U11"/>
    <mergeCell ref="E13:F13"/>
    <mergeCell ref="H13:I13"/>
    <mergeCell ref="K13:L13"/>
    <mergeCell ref="N13:O13"/>
    <mergeCell ref="Q13:R13"/>
    <mergeCell ref="T13:U13"/>
    <mergeCell ref="E15:F15"/>
    <mergeCell ref="H15:I15"/>
    <mergeCell ref="K15:L15"/>
    <mergeCell ref="N15:O15"/>
    <mergeCell ref="Q15:R15"/>
    <mergeCell ref="T15:U15"/>
    <mergeCell ref="E17:F17"/>
    <mergeCell ref="H17:I17"/>
    <mergeCell ref="K17:L17"/>
    <mergeCell ref="N17:O17"/>
    <mergeCell ref="Q17:R17"/>
    <mergeCell ref="T17:U17"/>
    <mergeCell ref="E19:F19"/>
    <mergeCell ref="H19:I19"/>
    <mergeCell ref="K19:L19"/>
    <mergeCell ref="N19:O19"/>
    <mergeCell ref="Q19:R19"/>
    <mergeCell ref="T19:U19"/>
    <mergeCell ref="E21:F21"/>
    <mergeCell ref="H21:I21"/>
    <mergeCell ref="K21:L21"/>
    <mergeCell ref="N21:O21"/>
    <mergeCell ref="Q21:R21"/>
    <mergeCell ref="T21:U21"/>
    <mergeCell ref="E23:F23"/>
    <mergeCell ref="H23:I23"/>
    <mergeCell ref="K23:L23"/>
    <mergeCell ref="N23:O23"/>
    <mergeCell ref="Q23:R23"/>
    <mergeCell ref="T23:U23"/>
    <mergeCell ref="E25:F25"/>
    <mergeCell ref="H25:I25"/>
    <mergeCell ref="K25:L25"/>
    <mergeCell ref="N25:O25"/>
    <mergeCell ref="Q25:R25"/>
    <mergeCell ref="T25:U25"/>
    <mergeCell ref="E27:F27"/>
    <mergeCell ref="H27:I27"/>
    <mergeCell ref="K27:L27"/>
    <mergeCell ref="N27:O27"/>
    <mergeCell ref="Q27:R27"/>
    <mergeCell ref="T27:U27"/>
    <mergeCell ref="E29:F29"/>
    <mergeCell ref="H29:I29"/>
    <mergeCell ref="K29:L29"/>
    <mergeCell ref="N29:O29"/>
    <mergeCell ref="Q29:R29"/>
    <mergeCell ref="T29:U29"/>
    <mergeCell ref="E31:F31"/>
    <mergeCell ref="T33:U33"/>
    <mergeCell ref="H31:I31"/>
    <mergeCell ref="K31:L31"/>
    <mergeCell ref="N31:O31"/>
    <mergeCell ref="Q31:R31"/>
    <mergeCell ref="T31:U31"/>
    <mergeCell ref="E35:F35"/>
    <mergeCell ref="E33:F33"/>
    <mergeCell ref="H33:I33"/>
    <mergeCell ref="K33:L33"/>
    <mergeCell ref="N33:O33"/>
    <mergeCell ref="Q33:R33"/>
    <mergeCell ref="Q37:R37"/>
    <mergeCell ref="N39:O39"/>
    <mergeCell ref="Q39:R39"/>
    <mergeCell ref="T37:U37"/>
    <mergeCell ref="H35:I35"/>
    <mergeCell ref="K35:L35"/>
    <mergeCell ref="N35:O35"/>
    <mergeCell ref="Q35:R35"/>
    <mergeCell ref="T35:U35"/>
    <mergeCell ref="K39:L39"/>
    <mergeCell ref="E37:F37"/>
    <mergeCell ref="H37:I37"/>
    <mergeCell ref="K37:L37"/>
    <mergeCell ref="N37:O37"/>
    <mergeCell ref="E41:F41"/>
    <mergeCell ref="E39:F39"/>
    <mergeCell ref="T39:U39"/>
    <mergeCell ref="H41:I41"/>
    <mergeCell ref="K41:L41"/>
    <mergeCell ref="N41:O41"/>
    <mergeCell ref="Q41:R41"/>
    <mergeCell ref="T41:U41"/>
    <mergeCell ref="H39:I39"/>
    <mergeCell ref="E43:F43"/>
    <mergeCell ref="H43:I43"/>
    <mergeCell ref="K43:L43"/>
    <mergeCell ref="N43:O43"/>
    <mergeCell ref="Q43:R43"/>
    <mergeCell ref="T43:U43"/>
    <mergeCell ref="E45:F45"/>
    <mergeCell ref="H45:I45"/>
    <mergeCell ref="K45:L45"/>
    <mergeCell ref="N45:O45"/>
    <mergeCell ref="Q45:R45"/>
    <mergeCell ref="T45:U45"/>
    <mergeCell ref="E47:F47"/>
    <mergeCell ref="K47:L47"/>
    <mergeCell ref="N47:O47"/>
    <mergeCell ref="Q47:R47"/>
    <mergeCell ref="T47:U47"/>
    <mergeCell ref="T49:U49"/>
    <mergeCell ref="K49:L49"/>
    <mergeCell ref="N49:O49"/>
    <mergeCell ref="Q49:R49"/>
    <mergeCell ref="H51:I51"/>
    <mergeCell ref="N51:O51"/>
    <mergeCell ref="K53:L53"/>
    <mergeCell ref="H49:I49"/>
    <mergeCell ref="K51:L51"/>
    <mergeCell ref="E53:F53"/>
    <mergeCell ref="A2:U2"/>
    <mergeCell ref="T51:U51"/>
    <mergeCell ref="T53:U53"/>
    <mergeCell ref="Q51:R51"/>
    <mergeCell ref="H53:I53"/>
    <mergeCell ref="N53:O53"/>
    <mergeCell ref="Q53:R53"/>
    <mergeCell ref="E51:F51"/>
    <mergeCell ref="H47:I47"/>
    <mergeCell ref="E49:F49"/>
    <mergeCell ref="A4:A6"/>
    <mergeCell ref="B4:C6"/>
    <mergeCell ref="D5:F6"/>
    <mergeCell ref="G5:I6"/>
    <mergeCell ref="J5:L6"/>
    <mergeCell ref="M5:O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2" r:id="rId1"/>
  <headerFooter differentFirst="1">
    <oddFooter>&amp;C&amp;P/&amp;N</oddFooter>
    <firstFooter>&amp;C&amp;P/&amp;N</firstFooter>
  </headerFooter>
  <rowBreaks count="1" manualBreakCount="1"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Dannhoferová Irena</cp:lastModifiedBy>
  <cp:lastPrinted>2021-07-08T12:06:28Z</cp:lastPrinted>
  <dcterms:created xsi:type="dcterms:W3CDTF">1997-01-24T11:07:25Z</dcterms:created>
  <dcterms:modified xsi:type="dcterms:W3CDTF">2021-07-08T12:06:45Z</dcterms:modified>
  <cp:category/>
  <cp:version/>
  <cp:contentType/>
  <cp:contentStatus/>
</cp:coreProperties>
</file>