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3395" windowHeight="7380" firstSheet="1" activeTab="1"/>
  </bookViews>
  <sheets>
    <sheet name="Rozdělení neinvest. dotace MO" sheetId="4" r:id="rId1"/>
    <sheet name="k 1. 10." sheetId="13" r:id="rId2"/>
  </sheets>
  <calcPr calcId="145621"/>
</workbook>
</file>

<file path=xl/calcChain.xml><?xml version="1.0" encoding="utf-8"?>
<calcChain xmlns="http://schemas.openxmlformats.org/spreadsheetml/2006/main">
  <c r="C74" i="13" l="1"/>
  <c r="B74" i="13"/>
  <c r="H35" i="13" l="1"/>
  <c r="N24" i="13"/>
  <c r="N37" i="13" s="1"/>
  <c r="M24" i="13"/>
  <c r="E22" i="13" s="1"/>
  <c r="L24" i="13"/>
  <c r="L37" i="13" s="1"/>
  <c r="F24" i="13"/>
  <c r="G23" i="13"/>
  <c r="E23" i="13"/>
  <c r="C23" i="13"/>
  <c r="G21" i="13"/>
  <c r="E21" i="13"/>
  <c r="G19" i="13"/>
  <c r="E19" i="13"/>
  <c r="C19" i="13"/>
  <c r="G17" i="13"/>
  <c r="E17" i="13"/>
  <c r="G15" i="13"/>
  <c r="E15" i="13"/>
  <c r="C15" i="13"/>
  <c r="G13" i="13"/>
  <c r="E13" i="13"/>
  <c r="G11" i="13"/>
  <c r="E11" i="13"/>
  <c r="C11" i="13"/>
  <c r="G10" i="13" l="1"/>
  <c r="G24" i="13" s="1"/>
  <c r="E12" i="13"/>
  <c r="E16" i="13"/>
  <c r="E20" i="13"/>
  <c r="H11" i="13"/>
  <c r="G12" i="13"/>
  <c r="H15" i="13"/>
  <c r="G16" i="13"/>
  <c r="H19" i="13"/>
  <c r="G20" i="13"/>
  <c r="H23" i="13"/>
  <c r="G14" i="13"/>
  <c r="G18" i="13"/>
  <c r="G22" i="13"/>
  <c r="C10" i="13"/>
  <c r="C14" i="13"/>
  <c r="C18" i="13"/>
  <c r="H18" i="13" s="1"/>
  <c r="C22" i="13"/>
  <c r="H22" i="13" s="1"/>
  <c r="E10" i="13"/>
  <c r="C13" i="13"/>
  <c r="H13" i="13" s="1"/>
  <c r="E14" i="13"/>
  <c r="C17" i="13"/>
  <c r="E18" i="13"/>
  <c r="C21" i="13"/>
  <c r="C12" i="13"/>
  <c r="H12" i="13" s="1"/>
  <c r="C16" i="13"/>
  <c r="C20" i="13"/>
  <c r="H14" i="13"/>
  <c r="H17" i="13"/>
  <c r="H21" i="13"/>
  <c r="H20" i="13" l="1"/>
  <c r="E24" i="13"/>
  <c r="C24" i="13"/>
  <c r="H10" i="13"/>
  <c r="H24" i="13" s="1"/>
  <c r="H37" i="13" s="1"/>
  <c r="H16" i="13"/>
  <c r="F25" i="4"/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B66" i="4"/>
  <c r="C66" i="4"/>
  <c r="D66" i="4"/>
  <c r="K2" i="4"/>
  <c r="K4" i="4"/>
  <c r="J33" i="4"/>
  <c r="L33" i="4"/>
  <c r="H44" i="4" l="1"/>
  <c r="B11" i="4" s="1"/>
  <c r="D11" i="4" s="1"/>
  <c r="H45" i="4"/>
  <c r="B12" i="4" s="1"/>
  <c r="D12" i="4" s="1"/>
  <c r="H46" i="4"/>
  <c r="B13" i="4" s="1"/>
  <c r="D13" i="4" s="1"/>
  <c r="H47" i="4"/>
  <c r="B14" i="4" s="1"/>
  <c r="D14" i="4" s="1"/>
  <c r="H48" i="4"/>
  <c r="B15" i="4" s="1"/>
  <c r="D15" i="4" s="1"/>
  <c r="H49" i="4"/>
  <c r="B16" i="4" s="1"/>
  <c r="D16" i="4" s="1"/>
  <c r="H50" i="4"/>
  <c r="B17" i="4" s="1"/>
  <c r="D17" i="4" s="1"/>
  <c r="H51" i="4"/>
  <c r="B18" i="4" s="1"/>
  <c r="D18" i="4" s="1"/>
  <c r="H52" i="4"/>
  <c r="B19" i="4" s="1"/>
  <c r="D19" i="4" s="1"/>
  <c r="H53" i="4"/>
  <c r="B20" i="4" s="1"/>
  <c r="D20" i="4" s="1"/>
  <c r="H54" i="4"/>
  <c r="B21" i="4" s="1"/>
  <c r="D21" i="4" s="1"/>
  <c r="H55" i="4"/>
  <c r="B22" i="4" s="1"/>
  <c r="D22" i="4" s="1"/>
  <c r="H56" i="4"/>
  <c r="B23" i="4" s="1"/>
  <c r="D23" i="4" s="1"/>
  <c r="H57" i="4"/>
  <c r="B24" i="4" s="1"/>
  <c r="D24" i="4" s="1"/>
  <c r="H58" i="4"/>
  <c r="B25" i="4" s="1"/>
  <c r="D25" i="4" s="1"/>
  <c r="H59" i="4"/>
  <c r="B26" i="4" s="1"/>
  <c r="D26" i="4" s="1"/>
  <c r="H60" i="4"/>
  <c r="B27" i="4" s="1"/>
  <c r="D27" i="4" s="1"/>
  <c r="H61" i="4"/>
  <c r="B28" i="4" s="1"/>
  <c r="D28" i="4" s="1"/>
  <c r="H62" i="4"/>
  <c r="B29" i="4" s="1"/>
  <c r="D29" i="4" s="1"/>
  <c r="H63" i="4"/>
  <c r="B30" i="4" s="1"/>
  <c r="D30" i="4" s="1"/>
  <c r="H64" i="4"/>
  <c r="B31" i="4" s="1"/>
  <c r="D31" i="4" s="1"/>
  <c r="H65" i="4"/>
  <c r="B32" i="4" s="1"/>
  <c r="D32" i="4" s="1"/>
  <c r="H43" i="4"/>
  <c r="B10" i="4" s="1"/>
  <c r="G66" i="4"/>
  <c r="F66" i="4"/>
  <c r="D10" i="4" l="1"/>
  <c r="D33" i="4" s="1"/>
  <c r="B33" i="4"/>
  <c r="K3" i="4" s="1"/>
  <c r="K5" i="4" s="1"/>
  <c r="H66" i="4"/>
  <c r="E66" i="4"/>
  <c r="F24" i="4" l="1"/>
  <c r="F32" i="4"/>
  <c r="F29" i="4"/>
  <c r="F27" i="4"/>
  <c r="F23" i="4"/>
  <c r="F20" i="4"/>
  <c r="F19" i="4"/>
  <c r="F17" i="4"/>
  <c r="F15" i="4"/>
  <c r="F13" i="4"/>
  <c r="F11" i="4"/>
  <c r="F30" i="4"/>
  <c r="F31" i="4"/>
  <c r="F28" i="4"/>
  <c r="F26" i="4"/>
  <c r="F22" i="4"/>
  <c r="F21" i="4"/>
  <c r="F18" i="4"/>
  <c r="F16" i="4"/>
  <c r="F14" i="4"/>
  <c r="F12" i="4"/>
  <c r="F10" i="4"/>
  <c r="G29" i="4"/>
  <c r="G25" i="4"/>
  <c r="G21" i="4"/>
  <c r="G17" i="4"/>
  <c r="G13" i="4"/>
  <c r="G32" i="4"/>
  <c r="G28" i="4"/>
  <c r="G24" i="4"/>
  <c r="G20" i="4"/>
  <c r="G16" i="4"/>
  <c r="G12" i="4"/>
  <c r="G31" i="4"/>
  <c r="G27" i="4"/>
  <c r="G23" i="4"/>
  <c r="G19" i="4"/>
  <c r="G15" i="4"/>
  <c r="G11" i="4"/>
  <c r="G30" i="4"/>
  <c r="G26" i="4"/>
  <c r="G22" i="4"/>
  <c r="G18" i="4"/>
  <c r="G14" i="4"/>
  <c r="G10" i="4"/>
  <c r="H14" i="4" l="1"/>
  <c r="I14" i="4" s="1"/>
  <c r="H30" i="4"/>
  <c r="I30" i="4" s="1"/>
  <c r="H23" i="4"/>
  <c r="I23" i="4" s="1"/>
  <c r="H32" i="4"/>
  <c r="I32" i="4" s="1"/>
  <c r="H22" i="4"/>
  <c r="I22" i="4" s="1"/>
  <c r="H15" i="4"/>
  <c r="I15" i="4" s="1"/>
  <c r="H31" i="4"/>
  <c r="I31" i="4" s="1"/>
  <c r="H24" i="4"/>
  <c r="I24" i="4" s="1"/>
  <c r="H17" i="4"/>
  <c r="I17" i="4" s="1"/>
  <c r="H18" i="4"/>
  <c r="I18" i="4" s="1"/>
  <c r="H16" i="4"/>
  <c r="I16" i="4" s="1"/>
  <c r="E33" i="4"/>
  <c r="H25" i="4"/>
  <c r="I25" i="4" s="1"/>
  <c r="H11" i="4"/>
  <c r="I11" i="4" s="1"/>
  <c r="H27" i="4"/>
  <c r="I27" i="4" s="1"/>
  <c r="H20" i="4"/>
  <c r="I20" i="4" s="1"/>
  <c r="H13" i="4"/>
  <c r="I13" i="4" s="1"/>
  <c r="H26" i="4"/>
  <c r="I26" i="4" s="1"/>
  <c r="H19" i="4"/>
  <c r="I19" i="4" s="1"/>
  <c r="H12" i="4"/>
  <c r="I12" i="4" s="1"/>
  <c r="H28" i="4"/>
  <c r="I28" i="4" s="1"/>
  <c r="F33" i="4"/>
  <c r="H21" i="4"/>
  <c r="I21" i="4" s="1"/>
  <c r="H29" i="4"/>
  <c r="I29" i="4" s="1"/>
  <c r="G33" i="4"/>
  <c r="H10" i="4"/>
  <c r="I10" i="4" s="1"/>
  <c r="K10" i="4" l="1"/>
  <c r="I33" i="4"/>
  <c r="M10" i="4"/>
  <c r="M29" i="4"/>
  <c r="K29" i="4"/>
  <c r="K12" i="4"/>
  <c r="M12" i="4"/>
  <c r="K26" i="4"/>
  <c r="M26" i="4"/>
  <c r="K20" i="4"/>
  <c r="M20" i="4"/>
  <c r="M11" i="4"/>
  <c r="K11" i="4"/>
  <c r="K18" i="4"/>
  <c r="M18" i="4"/>
  <c r="K24" i="4"/>
  <c r="M24" i="4"/>
  <c r="M15" i="4"/>
  <c r="K15" i="4"/>
  <c r="K32" i="4"/>
  <c r="M32" i="4"/>
  <c r="K30" i="4"/>
  <c r="M30" i="4"/>
  <c r="M21" i="4"/>
  <c r="K21" i="4"/>
  <c r="K28" i="4"/>
  <c r="M28" i="4"/>
  <c r="M19" i="4"/>
  <c r="K19" i="4"/>
  <c r="M13" i="4"/>
  <c r="K13" i="4"/>
  <c r="M27" i="4"/>
  <c r="K27" i="4"/>
  <c r="M25" i="4"/>
  <c r="K25" i="4"/>
  <c r="K16" i="4"/>
  <c r="M16" i="4"/>
  <c r="M17" i="4"/>
  <c r="K17" i="4"/>
  <c r="M31" i="4"/>
  <c r="K31" i="4"/>
  <c r="K22" i="4"/>
  <c r="M22" i="4"/>
  <c r="M23" i="4"/>
  <c r="K23" i="4"/>
  <c r="K14" i="4"/>
  <c r="M14" i="4"/>
  <c r="H33" i="4"/>
  <c r="K33" i="4" l="1"/>
  <c r="M33" i="4"/>
  <c r="I36" i="4"/>
  <c r="D24" i="13"/>
  <c r="B24" i="13"/>
</calcChain>
</file>

<file path=xl/sharedStrings.xml><?xml version="1.0" encoding="utf-8"?>
<sst xmlns="http://schemas.openxmlformats.org/spreadsheetml/2006/main" count="165" uniqueCount="83">
  <si>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</si>
  <si>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</si>
  <si>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</si>
  <si>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</si>
  <si>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</si>
  <si>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</si>
  <si>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</si>
  <si>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</si>
  <si>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</si>
  <si>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</si>
  <si>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</si>
  <si>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</si>
  <si>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</si>
  <si>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</si>
  <si>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</si>
  <si>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</si>
  <si>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</si>
  <si>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</si>
  <si>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</si>
  <si>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</si>
  <si>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</si>
  <si>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</si>
  <si>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</si>
  <si>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</si>
  <si>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>celkem (1+2)</t>
  </si>
  <si>
    <t>CELKEM</t>
  </si>
  <si>
    <t>rozdíl (4-5)</t>
  </si>
  <si>
    <t>pasport zeleně</t>
  </si>
  <si>
    <t xml:space="preserve">dotace na žáka </t>
  </si>
  <si>
    <t xml:space="preserve">neúčelová dotace 2015 </t>
  </si>
  <si>
    <t>Rozdělení neinvestiční neúčelové dotace městským obvodům</t>
  </si>
  <si>
    <t>z toho: zeleň</t>
  </si>
  <si>
    <t xml:space="preserve">            žáci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</si>
  <si>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</si>
  <si>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</si>
  <si>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</si>
  <si>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</si>
  <si>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</si>
  <si>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</si>
  <si>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</si>
  <si>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</si>
  <si>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</si>
  <si>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</si>
  <si>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Počet obyvatel k 1.7.2015</t>
  </si>
  <si>
    <t>Rozloha městského obvodu v km2</t>
  </si>
  <si>
    <t>Rozloha komunikací v m2</t>
  </si>
  <si>
    <t>Celkem v tis. Kč</t>
  </si>
  <si>
    <t>Výše dotace v roce 2016</t>
  </si>
  <si>
    <t xml:space="preserve">  Dotace na žáka vychází z jejich počtu pro rok 2014 násobena </t>
  </si>
  <si>
    <t xml:space="preserve">Pozn.: </t>
  </si>
  <si>
    <t xml:space="preserve"> Částky na údržbu zeleně vychází z pasportu zeleně pro rok2014   </t>
  </si>
  <si>
    <t>Počty žáků ZŠ a MŠ</t>
  </si>
  <si>
    <t>tis. Kč</t>
  </si>
  <si>
    <t>,</t>
  </si>
  <si>
    <t>Celková plocha zeleně m2</t>
  </si>
  <si>
    <t>Náklady na údržbu zeleně</t>
  </si>
  <si>
    <t>Průměrná cena/ m2 zeleně</t>
  </si>
  <si>
    <t>Dokrývání MO v roce 2015</t>
  </si>
  <si>
    <t>v tis. Kč</t>
  </si>
  <si>
    <t>neúčelová dotace 2016</t>
  </si>
  <si>
    <t>Počet obyvatel k 1.10.2015</t>
  </si>
  <si>
    <t>60 %</t>
  </si>
  <si>
    <t>10 %</t>
  </si>
  <si>
    <t>30 %</t>
  </si>
  <si>
    <t>Celkem</t>
  </si>
  <si>
    <t>ÚHRN</t>
  </si>
  <si>
    <t>Rozdělení dotace bylo provedeno dle výše uvedených kritérií a procentních vah.</t>
  </si>
  <si>
    <t>Vzhledem ke skutečnosti, že u městských obvodů, uvedených ve druhé části tabulky</t>
  </si>
  <si>
    <t>by vypočtená dotace byla příliš nízká, byla jim navržena v jednotné výši 1 000 tis. Kč</t>
  </si>
  <si>
    <t>bez ohledu na výpočet dle kritérií.</t>
  </si>
  <si>
    <t>(v tis. Kč)</t>
  </si>
  <si>
    <t>k rozdělení celkem</t>
  </si>
  <si>
    <t>Propočet neúčelové investiční dotace pro městské obvody na r. 2017</t>
  </si>
  <si>
    <t>Neúčelová invest. dotace 2017</t>
  </si>
  <si>
    <t>Počet obyvatel k 1. 10. 2016</t>
  </si>
  <si>
    <t>Příloha č. 11</t>
  </si>
  <si>
    <t>Převody nevyčerpané neúčelové investiční dotace</t>
  </si>
  <si>
    <t>do rozpočtu r. 2017 *</t>
  </si>
  <si>
    <t>MO</t>
  </si>
  <si>
    <t>převod            do 2017</t>
  </si>
  <si>
    <t>převod</t>
  </si>
  <si>
    <t>do r. 2017</t>
  </si>
  <si>
    <t>* Z hlediska rozpočtové skladby jde o neinvestiční výdaj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</si>
</sst>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0.0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3" fontId="0" fillId="4" borderId="16" xfId="0" applyNumberFormat="1" applyFont="1" applyFill="1" applyBorder="1" applyProtection="1">
      <protection hidden="1"/>
    </xf>
    <xf numFmtId="3" fontId="0" fillId="4" borderId="18" xfId="0" applyNumberFormat="1" applyFont="1" applyFill="1" applyBorder="1" applyProtection="1">
      <protection hidden="1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4" borderId="20" xfId="0" applyNumberFormat="1" applyFont="1" applyFill="1" applyBorder="1" applyProtection="1">
      <protection hidden="1"/>
    </xf>
    <xf numFmtId="3" fontId="0" fillId="0" borderId="6" xfId="0" applyNumberFormat="1" applyFont="1" applyBorder="1"/>
    <xf numFmtId="3" fontId="1" fillId="2" borderId="1" xfId="0" applyNumberFormat="1" applyFont="1" applyFill="1" applyBorder="1" applyProtection="1">
      <protection hidden="1"/>
    </xf>
    <xf numFmtId="3" fontId="1" fillId="2" borderId="2" xfId="0" applyNumberFormat="1" applyFont="1" applyFill="1" applyBorder="1" applyProtection="1">
      <protection hidden="1"/>
    </xf>
    <xf numFmtId="3" fontId="0" fillId="7" borderId="10" xfId="0" applyNumberFormat="1" applyFont="1" applyFill="1" applyBorder="1"/>
    <xf numFmtId="0" fontId="0" fillId="7" borderId="0" xfId="0" applyFill="1"/>
    <xf numFmtId="0" fontId="0" fillId="7" borderId="0" xfId="0" applyFont="1" applyFill="1"/>
    <xf numFmtId="0" fontId="0" fillId="7" borderId="7" xfId="0" applyFont="1" applyFill="1" applyBorder="1" applyAlignment="1">
      <alignment horizontal="center"/>
    </xf>
    <xf numFmtId="3" fontId="0" fillId="7" borderId="7" xfId="0" applyNumberFormat="1" applyFont="1" applyFill="1" applyBorder="1"/>
    <xf numFmtId="3" fontId="0" fillId="7" borderId="8" xfId="0" applyNumberFormat="1" applyFont="1" applyFill="1" applyBorder="1"/>
    <xf numFmtId="3" fontId="0" fillId="7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3" fillId="7" borderId="0" xfId="0" applyFont="1" applyFill="1" applyAlignment="1">
      <alignment horizontal="right"/>
    </xf>
    <xf numFmtId="9" fontId="2" fillId="3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3" fontId="0" fillId="6" borderId="6" xfId="0" applyNumberFormat="1" applyFont="1" applyFill="1" applyBorder="1"/>
    <xf numFmtId="0" fontId="0" fillId="0" borderId="1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7" borderId="0" xfId="0" applyFont="1" applyFill="1"/>
    <xf numFmtId="9" fontId="2" fillId="3" borderId="13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Alignment="1">
      <alignment horizontal="right"/>
    </xf>
    <xf numFmtId="9" fontId="2" fillId="3" borderId="12" xfId="0" applyNumberFormat="1" applyFont="1" applyFill="1" applyBorder="1" applyAlignment="1" applyProtection="1">
      <alignment horizontal="center" vertical="center" wrapText="1"/>
    </xf>
    <xf numFmtId="3" fontId="0" fillId="4" borderId="32" xfId="0" applyNumberFormat="1" applyFont="1" applyFill="1" applyBorder="1" applyProtection="1">
      <protection hidden="1"/>
    </xf>
    <xf numFmtId="3" fontId="0" fillId="4" borderId="17" xfId="0" applyNumberFormat="1" applyFont="1" applyFill="1" applyBorder="1" applyProtection="1">
      <protection hidden="1"/>
    </xf>
    <xf numFmtId="3" fontId="0" fillId="4" borderId="27" xfId="0" applyNumberFormat="1" applyFont="1" applyFill="1" applyBorder="1" applyProtection="1">
      <protection hidden="1"/>
    </xf>
    <xf numFmtId="3" fontId="0" fillId="4" borderId="19" xfId="0" applyNumberFormat="1" applyFont="1" applyFill="1" applyBorder="1" applyProtection="1">
      <protection hidden="1"/>
    </xf>
    <xf numFmtId="3" fontId="0" fillId="4" borderId="33" xfId="0" applyNumberFormat="1" applyFont="1" applyFill="1" applyBorder="1" applyProtection="1">
      <protection hidden="1"/>
    </xf>
    <xf numFmtId="3" fontId="0" fillId="4" borderId="21" xfId="0" applyNumberFormat="1" applyFont="1" applyFill="1" applyBorder="1" applyProtection="1">
      <protection hidden="1"/>
    </xf>
    <xf numFmtId="3" fontId="1" fillId="2" borderId="15" xfId="0" applyNumberFormat="1" applyFont="1" applyFill="1" applyBorder="1" applyProtection="1">
      <protection hidden="1"/>
    </xf>
    <xf numFmtId="3" fontId="11" fillId="4" borderId="31" xfId="0" applyNumberFormat="1" applyFont="1" applyFill="1" applyBorder="1" applyProtection="1">
      <protection hidden="1"/>
    </xf>
    <xf numFmtId="3" fontId="11" fillId="4" borderId="34" xfId="0" applyNumberFormat="1" applyFont="1" applyFill="1" applyBorder="1" applyProtection="1">
      <protection hidden="1"/>
    </xf>
    <xf numFmtId="3" fontId="5" fillId="9" borderId="0" xfId="0" applyNumberFormat="1" applyFont="1" applyFill="1" applyAlignment="1">
      <alignment horizontal="right"/>
    </xf>
    <xf numFmtId="3" fontId="5" fillId="10" borderId="0" xfId="0" applyNumberFormat="1" applyFont="1" applyFill="1" applyAlignment="1">
      <alignment horizontal="right"/>
    </xf>
    <xf numFmtId="0" fontId="11" fillId="7" borderId="0" xfId="0" applyFont="1" applyFill="1" applyAlignment="1">
      <alignment horizontal="right"/>
    </xf>
    <xf numFmtId="0" fontId="11" fillId="7" borderId="0" xfId="0" applyFont="1" applyFill="1"/>
    <xf numFmtId="3" fontId="5" fillId="12" borderId="0" xfId="0" applyNumberFormat="1" applyFont="1" applyFill="1" applyAlignment="1">
      <alignment horizontal="right"/>
    </xf>
    <xf numFmtId="3" fontId="0" fillId="0" borderId="35" xfId="0" applyNumberFormat="1" applyFont="1" applyBorder="1"/>
    <xf numFmtId="3" fontId="0" fillId="0" borderId="36" xfId="0" applyNumberFormat="1" applyFont="1" applyBorder="1"/>
    <xf numFmtId="3" fontId="0" fillId="9" borderId="37" xfId="0" applyNumberFormat="1" applyFont="1" applyFill="1" applyBorder="1"/>
    <xf numFmtId="0" fontId="0" fillId="0" borderId="10" xfId="0" applyFont="1" applyBorder="1"/>
    <xf numFmtId="0" fontId="7" fillId="7" borderId="8" xfId="0" quotePrefix="1" applyFont="1" applyFill="1" applyBorder="1" applyAlignment="1" applyProtection="1">
      <alignment horizontal="left"/>
    </xf>
    <xf numFmtId="0" fontId="7" fillId="7" borderId="8" xfId="0" applyFont="1" applyFill="1" applyBorder="1" applyProtection="1"/>
    <xf numFmtId="0" fontId="7" fillId="7" borderId="9" xfId="0" applyFont="1" applyFill="1" applyBorder="1" applyProtection="1"/>
    <xf numFmtId="0" fontId="7" fillId="7" borderId="38" xfId="0" quotePrefix="1" applyFont="1" applyFill="1" applyBorder="1" applyAlignment="1" applyProtection="1">
      <alignment horizontal="left"/>
    </xf>
    <xf numFmtId="4" fontId="0" fillId="0" borderId="39" xfId="0" applyNumberFormat="1" applyBorder="1"/>
    <xf numFmtId="3" fontId="1" fillId="5" borderId="1" xfId="0" applyNumberFormat="1" applyFont="1" applyFill="1" applyBorder="1" applyProtection="1"/>
    <xf numFmtId="4" fontId="1" fillId="5" borderId="23" xfId="0" applyNumberFormat="1" applyFont="1" applyFill="1" applyBorder="1" applyProtection="1"/>
    <xf numFmtId="3" fontId="1" fillId="5" borderId="2" xfId="0" applyNumberFormat="1" applyFont="1" applyFill="1" applyBorder="1" applyProtection="1">
      <protection hidden="1"/>
    </xf>
    <xf numFmtId="3" fontId="1" fillId="5" borderId="26" xfId="0" applyNumberFormat="1" applyFont="1" applyFill="1" applyBorder="1" applyProtection="1">
      <protection hidden="1"/>
    </xf>
    <xf numFmtId="4" fontId="0" fillId="0" borderId="40" xfId="0" applyNumberFormat="1" applyBorder="1"/>
    <xf numFmtId="3" fontId="8" fillId="0" borderId="39" xfId="0" applyNumberFormat="1" applyFont="1" applyFill="1" applyBorder="1" applyProtection="1">
      <protection locked="0"/>
    </xf>
    <xf numFmtId="4" fontId="0" fillId="0" borderId="39" xfId="0" applyNumberFormat="1" applyFont="1" applyFill="1" applyBorder="1" applyProtection="1">
      <protection locked="0"/>
    </xf>
    <xf numFmtId="3" fontId="0" fillId="0" borderId="39" xfId="0" applyNumberFormat="1" applyFont="1" applyFill="1" applyBorder="1" applyProtection="1">
      <protection locked="0"/>
    </xf>
    <xf numFmtId="3" fontId="8" fillId="0" borderId="40" xfId="0" applyNumberFormat="1" applyFont="1" applyFill="1" applyBorder="1" applyProtection="1">
      <protection locked="0"/>
    </xf>
    <xf numFmtId="4" fontId="0" fillId="0" borderId="40" xfId="0" applyNumberFormat="1" applyFont="1" applyFill="1" applyBorder="1" applyProtection="1">
      <protection locked="0"/>
    </xf>
    <xf numFmtId="3" fontId="0" fillId="0" borderId="40" xfId="0" applyNumberFormat="1" applyFont="1" applyFill="1" applyBorder="1" applyProtection="1">
      <protection locked="0"/>
    </xf>
    <xf numFmtId="2" fontId="0" fillId="0" borderId="40" xfId="0" applyNumberFormat="1" applyBorder="1"/>
    <xf numFmtId="2" fontId="0" fillId="0" borderId="39" xfId="0" applyNumberFormat="1" applyBorder="1"/>
    <xf numFmtId="4" fontId="0" fillId="5" borderId="2" xfId="0" applyNumberFormat="1" applyFill="1" applyBorder="1"/>
    <xf numFmtId="0" fontId="9" fillId="8" borderId="10" xfId="0" applyFont="1" applyFill="1" applyBorder="1" applyProtection="1"/>
    <xf numFmtId="3" fontId="8" fillId="0" borderId="43" xfId="0" applyNumberFormat="1" applyFont="1" applyFill="1" applyBorder="1" applyProtection="1">
      <protection locked="0"/>
    </xf>
    <xf numFmtId="4" fontId="0" fillId="0" borderId="43" xfId="0" applyNumberFormat="1" applyFont="1" applyFill="1" applyBorder="1" applyProtection="1">
      <protection locked="0"/>
    </xf>
    <xf numFmtId="3" fontId="0" fillId="0" borderId="43" xfId="0" applyNumberFormat="1" applyFont="1" applyFill="1" applyBorder="1" applyProtection="1">
      <protection locked="0"/>
    </xf>
    <xf numFmtId="4" fontId="0" fillId="0" borderId="43" xfId="0" applyNumberFormat="1" applyBorder="1"/>
    <xf numFmtId="2" fontId="0" fillId="5" borderId="26" xfId="0" applyNumberFormat="1" applyFill="1" applyBorder="1"/>
    <xf numFmtId="3" fontId="0" fillId="7" borderId="41" xfId="0" applyNumberFormat="1" applyFill="1" applyBorder="1"/>
    <xf numFmtId="3" fontId="0" fillId="7" borderId="42" xfId="0" applyNumberFormat="1" applyFill="1" applyBorder="1"/>
    <xf numFmtId="2" fontId="0" fillId="0" borderId="43" xfId="0" applyNumberFormat="1" applyBorder="1"/>
    <xf numFmtId="3" fontId="0" fillId="5" borderId="15" xfId="0" applyNumberFormat="1" applyFill="1" applyBorder="1"/>
    <xf numFmtId="0" fontId="7" fillId="7" borderId="49" xfId="0" quotePrefix="1" applyFont="1" applyFill="1" applyBorder="1" applyAlignment="1" applyProtection="1">
      <alignment horizontal="left"/>
    </xf>
    <xf numFmtId="0" fontId="7" fillId="7" borderId="50" xfId="0" applyFont="1" applyFill="1" applyBorder="1" applyProtection="1"/>
    <xf numFmtId="0" fontId="7" fillId="7" borderId="50" xfId="0" quotePrefix="1" applyFont="1" applyFill="1" applyBorder="1" applyAlignment="1" applyProtection="1">
      <alignment horizontal="left"/>
    </xf>
    <xf numFmtId="0" fontId="7" fillId="7" borderId="51" xfId="0" applyFont="1" applyFill="1" applyBorder="1" applyProtection="1"/>
    <xf numFmtId="3" fontId="0" fillId="7" borderId="44" xfId="0" applyNumberFormat="1" applyFill="1" applyBorder="1"/>
    <xf numFmtId="0" fontId="0" fillId="0" borderId="52" xfId="0" applyFont="1" applyBorder="1" applyAlignment="1">
      <alignment horizontal="center" wrapText="1"/>
    </xf>
    <xf numFmtId="0" fontId="0" fillId="0" borderId="53" xfId="0" applyFont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13" fillId="7" borderId="0" xfId="0" applyFont="1" applyFill="1"/>
    <xf numFmtId="0" fontId="4" fillId="7" borderId="0" xfId="0" applyFont="1" applyFill="1" applyAlignment="1">
      <alignment horizontal="right"/>
    </xf>
    <xf numFmtId="3" fontId="0" fillId="7" borderId="0" xfId="0" applyNumberFormat="1" applyFill="1"/>
    <xf numFmtId="3" fontId="0" fillId="0" borderId="40" xfId="0" applyNumberFormat="1" applyBorder="1"/>
    <xf numFmtId="3" fontId="0" fillId="0" borderId="2" xfId="0" applyNumberFormat="1" applyBorder="1"/>
    <xf numFmtId="3" fontId="0" fillId="0" borderId="39" xfId="0" applyNumberFormat="1" applyBorder="1"/>
    <xf numFmtId="3" fontId="0" fillId="0" borderId="54" xfId="0" applyNumberFormat="1" applyFont="1" applyBorder="1"/>
    <xf numFmtId="3" fontId="0" fillId="0" borderId="55" xfId="0" applyNumberFormat="1" applyFont="1" applyBorder="1"/>
    <xf numFmtId="0" fontId="0" fillId="0" borderId="5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 vertical="center" wrapText="1"/>
    </xf>
    <xf numFmtId="3" fontId="0" fillId="13" borderId="8" xfId="0" applyNumberFormat="1" applyFont="1" applyFill="1" applyBorder="1"/>
    <xf numFmtId="3" fontId="0" fillId="13" borderId="9" xfId="0" applyNumberFormat="1" applyFont="1" applyFill="1" applyBorder="1"/>
    <xf numFmtId="3" fontId="0" fillId="13" borderId="10" xfId="0" applyNumberFormat="1" applyFont="1" applyFill="1" applyBorder="1"/>
    <xf numFmtId="3" fontId="0" fillId="7" borderId="57" xfId="0" applyNumberFormat="1" applyFill="1" applyBorder="1"/>
    <xf numFmtId="3" fontId="0" fillId="7" borderId="58" xfId="0" applyNumberFormat="1" applyFill="1" applyBorder="1"/>
    <xf numFmtId="3" fontId="0" fillId="7" borderId="59" xfId="0" applyNumberFormat="1" applyFill="1" applyBorder="1"/>
    <xf numFmtId="3" fontId="0" fillId="7" borderId="60" xfId="0" applyNumberFormat="1" applyFill="1" applyBorder="1"/>
    <xf numFmtId="3" fontId="0" fillId="0" borderId="43" xfId="0" applyNumberFormat="1" applyBorder="1"/>
    <xf numFmtId="0" fontId="0" fillId="7" borderId="61" xfId="0" applyFont="1" applyFill="1" applyBorder="1" applyAlignment="1">
      <alignment horizontal="center"/>
    </xf>
    <xf numFmtId="0" fontId="0" fillId="7" borderId="60" xfId="0" applyFont="1" applyFill="1" applyBorder="1" applyAlignment="1">
      <alignment horizontal="center" vertical="center" wrapText="1"/>
    </xf>
    <xf numFmtId="3" fontId="0" fillId="13" borderId="38" xfId="0" applyNumberFormat="1" applyFont="1" applyFill="1" applyBorder="1"/>
    <xf numFmtId="0" fontId="0" fillId="0" borderId="0" xfId="0" applyBorder="1"/>
    <xf numFmtId="0" fontId="7" fillId="7" borderId="39" xfId="0" quotePrefix="1" applyFont="1" applyFill="1" applyBorder="1" applyAlignment="1" applyProtection="1">
      <alignment horizontal="left"/>
    </xf>
    <xf numFmtId="3" fontId="0" fillId="4" borderId="39" xfId="0" applyNumberFormat="1" applyFont="1" applyFill="1" applyBorder="1" applyProtection="1">
      <protection hidden="1"/>
    </xf>
    <xf numFmtId="0" fontId="7" fillId="7" borderId="39" xfId="0" applyFont="1" applyFill="1" applyBorder="1" applyProtection="1"/>
    <xf numFmtId="9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1" fillId="0" borderId="0" xfId="0" applyFont="1"/>
    <xf numFmtId="3" fontId="0" fillId="0" borderId="42" xfId="0" applyNumberFormat="1" applyBorder="1"/>
    <xf numFmtId="0" fontId="9" fillId="8" borderId="63" xfId="0" applyFont="1" applyFill="1" applyBorder="1" applyProtection="1"/>
    <xf numFmtId="3" fontId="1" fillId="5" borderId="53" xfId="0" applyNumberFormat="1" applyFont="1" applyFill="1" applyBorder="1" applyProtection="1"/>
    <xf numFmtId="0" fontId="0" fillId="0" borderId="0" xfId="0" applyAlignment="1">
      <alignment horizontal="right"/>
    </xf>
    <xf numFmtId="4" fontId="1" fillId="14" borderId="53" xfId="0" applyNumberFormat="1" applyFont="1" applyFill="1" applyBorder="1" applyProtection="1"/>
    <xf numFmtId="3" fontId="1" fillId="14" borderId="53" xfId="0" applyNumberFormat="1" applyFont="1" applyFill="1" applyBorder="1" applyProtection="1"/>
    <xf numFmtId="3" fontId="1" fillId="14" borderId="53" xfId="0" applyNumberFormat="1" applyFont="1" applyFill="1" applyBorder="1" applyProtection="1">
      <protection hidden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9" fontId="0" fillId="11" borderId="65" xfId="0" applyNumberFormat="1" applyFill="1" applyBorder="1" applyAlignment="1">
      <alignment horizontal="center"/>
    </xf>
    <xf numFmtId="49" fontId="0" fillId="11" borderId="66" xfId="0" applyNumberFormat="1" applyFill="1" applyBorder="1" applyAlignment="1">
      <alignment horizontal="center"/>
    </xf>
    <xf numFmtId="49" fontId="0" fillId="11" borderId="67" xfId="0" applyNumberFormat="1" applyFill="1" applyBorder="1" applyAlignment="1">
      <alignment horizontal="center"/>
    </xf>
    <xf numFmtId="49" fontId="0" fillId="11" borderId="68" xfId="0" applyNumberFormat="1" applyFill="1" applyBorder="1" applyAlignment="1">
      <alignment horizontal="center"/>
    </xf>
    <xf numFmtId="3" fontId="0" fillId="0" borderId="39" xfId="0" applyNumberFormat="1" applyFont="1" applyFill="1" applyBorder="1" applyProtection="1">
      <protection hidden="1"/>
    </xf>
    <xf numFmtId="0" fontId="7" fillId="7" borderId="56" xfId="0" applyFont="1" applyFill="1" applyBorder="1" applyProtection="1"/>
    <xf numFmtId="3" fontId="0" fillId="4" borderId="52" xfId="0" applyNumberFormat="1" applyFont="1" applyFill="1" applyBorder="1" applyProtection="1">
      <protection hidden="1"/>
    </xf>
    <xf numFmtId="3" fontId="0" fillId="0" borderId="52" xfId="0" applyNumberFormat="1" applyFont="1" applyFill="1" applyBorder="1" applyProtection="1">
      <protection hidden="1"/>
    </xf>
    <xf numFmtId="4" fontId="0" fillId="0" borderId="52" xfId="0" applyNumberFormat="1" applyFont="1" applyFill="1" applyBorder="1" applyProtection="1">
      <protection locked="0"/>
    </xf>
    <xf numFmtId="3" fontId="0" fillId="0" borderId="52" xfId="0" applyNumberFormat="1" applyFont="1" applyFill="1" applyBorder="1" applyProtection="1">
      <protection locked="0"/>
    </xf>
    <xf numFmtId="3" fontId="0" fillId="0" borderId="62" xfId="0" applyNumberFormat="1" applyBorder="1"/>
    <xf numFmtId="3" fontId="11" fillId="14" borderId="64" xfId="0" applyNumberFormat="1" applyFont="1" applyFill="1" applyBorder="1"/>
    <xf numFmtId="0" fontId="11" fillId="0" borderId="0" xfId="0" applyFont="1" applyBorder="1"/>
    <xf numFmtId="0" fontId="9" fillId="8" borderId="69" xfId="0" applyFont="1" applyFill="1" applyBorder="1" applyProtection="1"/>
    <xf numFmtId="3" fontId="1" fillId="5" borderId="70" xfId="0" applyNumberFormat="1" applyFont="1" applyFill="1" applyBorder="1" applyProtection="1"/>
    <xf numFmtId="3" fontId="1" fillId="14" borderId="70" xfId="0" applyNumberFormat="1" applyFont="1" applyFill="1" applyBorder="1" applyProtection="1"/>
    <xf numFmtId="4" fontId="1" fillId="14" borderId="70" xfId="0" applyNumberFormat="1" applyFont="1" applyFill="1" applyBorder="1" applyProtection="1"/>
    <xf numFmtId="3" fontId="1" fillId="14" borderId="70" xfId="0" applyNumberFormat="1" applyFont="1" applyFill="1" applyBorder="1" applyProtection="1">
      <protection hidden="1"/>
    </xf>
    <xf numFmtId="3" fontId="11" fillId="14" borderId="71" xfId="0" applyNumberFormat="1" applyFont="1" applyFill="1" applyBorder="1"/>
    <xf numFmtId="3" fontId="0" fillId="0" borderId="0" xfId="0" applyNumberFormat="1" applyFont="1" applyFill="1" applyBorder="1" applyProtection="1">
      <protection hidden="1"/>
    </xf>
    <xf numFmtId="3" fontId="0" fillId="0" borderId="0" xfId="0" applyNumberFormat="1" applyFont="1" applyFill="1" applyBorder="1" applyProtection="1">
      <protection locked="0"/>
    </xf>
    <xf numFmtId="3" fontId="11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15" fillId="0" borderId="50" xfId="0" applyFont="1" applyFill="1" applyBorder="1" applyAlignment="1">
      <alignment horizontal="left"/>
    </xf>
    <xf numFmtId="3" fontId="15" fillId="0" borderId="74" xfId="0" applyNumberFormat="1" applyFont="1" applyFill="1" applyBorder="1"/>
    <xf numFmtId="0" fontId="15" fillId="0" borderId="51" xfId="0" applyFont="1" applyFill="1" applyBorder="1" applyAlignment="1">
      <alignment horizontal="left"/>
    </xf>
    <xf numFmtId="3" fontId="15" fillId="0" borderId="75" xfId="0" applyNumberFormat="1" applyFont="1" applyFill="1" applyBorder="1"/>
    <xf numFmtId="3" fontId="0" fillId="0" borderId="44" xfId="0" applyNumberFormat="1" applyBorder="1"/>
    <xf numFmtId="0" fontId="16" fillId="0" borderId="1" xfId="0" applyFont="1" applyFill="1" applyBorder="1" applyAlignment="1">
      <alignment horizontal="left"/>
    </xf>
    <xf numFmtId="3" fontId="16" fillId="0" borderId="26" xfId="0" applyNumberFormat="1" applyFont="1" applyFill="1" applyBorder="1"/>
    <xf numFmtId="3" fontId="0" fillId="0" borderId="15" xfId="0" applyNumberFormat="1" applyBorder="1"/>
    <xf numFmtId="0" fontId="15" fillId="0" borderId="0" xfId="0" applyFont="1" applyFill="1" applyBorder="1" applyAlignment="1">
      <alignment horizontal="left"/>
    </xf>
    <xf numFmtId="0" fontId="3" fillId="7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9" fontId="2" fillId="3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3" borderId="24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11" borderId="24" xfId="0" applyFont="1" applyFill="1" applyBorder="1" applyAlignment="1" applyProtection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 applyProtection="1">
      <alignment horizontal="center" vertical="center" wrapText="1"/>
    </xf>
    <xf numFmtId="0" fontId="6" fillId="11" borderId="14" xfId="0" applyFont="1" applyFill="1" applyBorder="1" applyAlignment="1" applyProtection="1">
      <alignment horizontal="center" vertical="center" wrapText="1"/>
    </xf>
    <xf numFmtId="0" fontId="6" fillId="11" borderId="46" xfId="0" applyFont="1" applyFill="1" applyBorder="1" applyAlignment="1" applyProtection="1">
      <alignment horizontal="center" vertical="center" wrapText="1"/>
    </xf>
    <xf numFmtId="0" fontId="6" fillId="11" borderId="11" xfId="0" applyFont="1" applyFill="1" applyBorder="1" applyAlignment="1" applyProtection="1">
      <alignment horizontal="center" vertical="center" wrapText="1"/>
    </xf>
    <xf numFmtId="0" fontId="6" fillId="11" borderId="30" xfId="0" applyFont="1" applyFill="1" applyBorder="1" applyAlignment="1" applyProtection="1">
      <alignment horizontal="center" vertical="center" wrapText="1"/>
    </xf>
    <xf numFmtId="0" fontId="6" fillId="11" borderId="47" xfId="0" applyFont="1" applyFill="1" applyBorder="1" applyAlignment="1" applyProtection="1">
      <alignment horizontal="center" vertical="center" wrapText="1"/>
    </xf>
    <xf numFmtId="9" fontId="2" fillId="3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11" borderId="28" xfId="0" applyFont="1" applyFill="1" applyBorder="1" applyAlignment="1" applyProtection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2" fillId="11" borderId="12" xfId="0" applyFont="1" applyFill="1" applyBorder="1" applyAlignment="1" applyProtection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49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 applyProtection="1">
      <alignment horizontal="center" vertical="center" wrapText="1"/>
    </xf>
    <xf numFmtId="0" fontId="6" fillId="11" borderId="39" xfId="0" applyFont="1" applyFill="1" applyBorder="1" applyAlignment="1" applyProtection="1">
      <alignment horizontal="center" vertical="center" wrapText="1"/>
    </xf>
    <xf numFmtId="0" fontId="6" fillId="11" borderId="40" xfId="0" applyFont="1" applyFill="1" applyBorder="1" applyAlignment="1" applyProtection="1">
      <alignment horizontal="center" vertical="center" wrapText="1"/>
    </xf>
    <xf numFmtId="0" fontId="6" fillId="11" borderId="62" xfId="0" applyFont="1" applyFill="1" applyBorder="1" applyAlignment="1" applyProtection="1">
      <alignment horizontal="center" vertical="center" wrapText="1"/>
    </xf>
    <xf numFmtId="0" fontId="6" fillId="11" borderId="42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D9E6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6" workbookViewId="0">
      <selection activeCell="F56" sqref="F56"/>
    </sheetView>
  </sheetViews>
  <sheetFormatPr defaultRowHeight="15" x14ac:dyDescent="0.25"/>
  <cols>
    <col min="1" max="1" width="18.7109375" customWidth="1"/>
    <col min="2" max="4" width="11.7109375" customWidth="1"/>
    <col min="5" max="8" width="12.28515625" customWidth="1"/>
    <col min="9" max="9" width="11.7109375" customWidth="1"/>
    <col min="10" max="10" width="13" style="11" customWidth="1"/>
    <col min="11" max="11" width="12" customWidth="1"/>
    <col min="12" max="12" width="11.42578125" customWidth="1"/>
    <col min="13" max="13" width="10.42578125" bestFit="1" customWidth="1"/>
    <col min="16" max="16" width="10.42578125" bestFit="1" customWidth="1"/>
    <col min="18" max="32" width="9.140625" style="11"/>
  </cols>
  <sheetData>
    <row r="1" spans="1:19" s="11" customFormat="1" ht="21" x14ac:dyDescent="0.35">
      <c r="A1" s="84" t="s">
        <v>30</v>
      </c>
      <c r="J1" s="162"/>
      <c r="K1" s="163"/>
    </row>
    <row r="2" spans="1:19" s="11" customFormat="1" ht="18.75" x14ac:dyDescent="0.3">
      <c r="I2" s="25" t="s">
        <v>47</v>
      </c>
      <c r="J2" s="18"/>
      <c r="K2" s="39">
        <f>769523*1.025</f>
        <v>788761.07499999995</v>
      </c>
    </row>
    <row r="3" spans="1:19" s="11" customFormat="1" ht="18.75" x14ac:dyDescent="0.3">
      <c r="I3" s="25" t="s">
        <v>31</v>
      </c>
      <c r="J3" s="18"/>
      <c r="K3" s="38">
        <f>B33</f>
        <v>114718.1826108</v>
      </c>
    </row>
    <row r="4" spans="1:19" s="11" customFormat="1" ht="15.75" x14ac:dyDescent="0.25">
      <c r="I4" s="25" t="s">
        <v>32</v>
      </c>
      <c r="K4" s="42">
        <f>C33</f>
        <v>215124</v>
      </c>
    </row>
    <row r="5" spans="1:19" s="11" customFormat="1" ht="15.75" x14ac:dyDescent="0.25">
      <c r="I5" s="11" t="s">
        <v>39</v>
      </c>
      <c r="K5" s="27">
        <f>K2-K3-K4</f>
        <v>458918.89238919993</v>
      </c>
    </row>
    <row r="6" spans="1:19" s="11" customFormat="1" ht="16.5" thickBot="1" x14ac:dyDescent="0.3">
      <c r="K6" s="24"/>
    </row>
    <row r="7" spans="1:19" s="11" customFormat="1" ht="15.75" customHeight="1" thickBot="1" x14ac:dyDescent="0.3">
      <c r="A7" s="12"/>
      <c r="B7" s="12"/>
      <c r="C7" s="12"/>
      <c r="D7" s="12"/>
      <c r="E7" s="28">
        <v>0.55000000000000004</v>
      </c>
      <c r="F7" s="19">
        <v>0.15</v>
      </c>
      <c r="G7" s="26">
        <v>0.3</v>
      </c>
      <c r="H7" s="177" t="s">
        <v>46</v>
      </c>
      <c r="I7" s="17"/>
      <c r="J7" s="12"/>
      <c r="K7" s="12"/>
      <c r="L7" s="85" t="s">
        <v>58</v>
      </c>
    </row>
    <row r="8" spans="1:19" s="11" customFormat="1" ht="15" customHeight="1" x14ac:dyDescent="0.25">
      <c r="A8" s="182" t="s">
        <v>33</v>
      </c>
      <c r="B8" s="92">
        <v>1</v>
      </c>
      <c r="C8" s="81">
        <v>2</v>
      </c>
      <c r="D8" s="20">
        <v>3</v>
      </c>
      <c r="E8" s="164" t="s">
        <v>40</v>
      </c>
      <c r="F8" s="164" t="s">
        <v>41</v>
      </c>
      <c r="G8" s="166" t="s">
        <v>42</v>
      </c>
      <c r="H8" s="178"/>
      <c r="I8" s="13">
        <v>4</v>
      </c>
      <c r="J8" s="20">
        <v>5</v>
      </c>
      <c r="K8" s="13">
        <v>6</v>
      </c>
      <c r="L8" s="105">
        <v>7</v>
      </c>
      <c r="M8" s="95">
        <v>8</v>
      </c>
    </row>
    <row r="9" spans="1:19" s="11" customFormat="1" ht="45.75" thickBot="1" x14ac:dyDescent="0.3">
      <c r="A9" s="183"/>
      <c r="B9" s="93" t="s">
        <v>27</v>
      </c>
      <c r="C9" s="82" t="s">
        <v>28</v>
      </c>
      <c r="D9" s="94" t="s">
        <v>24</v>
      </c>
      <c r="E9" s="165"/>
      <c r="F9" s="165"/>
      <c r="G9" s="167"/>
      <c r="H9" s="179"/>
      <c r="I9" s="23" t="s">
        <v>25</v>
      </c>
      <c r="J9" s="21" t="s">
        <v>29</v>
      </c>
      <c r="K9" s="83" t="s">
        <v>26</v>
      </c>
      <c r="L9" s="106" t="s">
        <v>57</v>
      </c>
      <c r="M9" s="96" t="s">
        <v>59</v>
      </c>
    </row>
    <row r="10" spans="1:19" s="11" customFormat="1" ht="15.75" customHeight="1" x14ac:dyDescent="0.25">
      <c r="A10" s="50" t="s">
        <v>19</v>
      </c>
      <c r="B10" s="90">
        <f t="shared" ref="B10:B32" si="0">H43/1000</f>
        <v>17126.270927500002</v>
      </c>
      <c r="C10" s="87">
        <f>E43*7</f>
        <v>33621</v>
      </c>
      <c r="D10" s="91">
        <f>SUM(B10:C10)</f>
        <v>50747.270927500002</v>
      </c>
      <c r="E10" s="29">
        <v>37479</v>
      </c>
      <c r="F10" s="1">
        <f>(K5*F7/C66)*C43</f>
        <v>4254.1678504712054</v>
      </c>
      <c r="G10" s="30">
        <f>(K5*G7/D66)*D43</f>
        <v>20531.540947503996</v>
      </c>
      <c r="H10" s="36">
        <f t="shared" ref="H10:H32" si="1">SUM(E10:G10)</f>
        <v>62264.708797975196</v>
      </c>
      <c r="I10" s="14">
        <f t="shared" ref="I10:I32" si="2">D10+H10</f>
        <v>113011.97972547519</v>
      </c>
      <c r="J10" s="3">
        <v>106437</v>
      </c>
      <c r="K10" s="14">
        <f>I10-J10</f>
        <v>6574.9797254751902</v>
      </c>
      <c r="L10" s="100"/>
      <c r="M10" s="107">
        <f t="shared" ref="M10:M32" si="3">I10+L10-B10</f>
        <v>95885.708797975181</v>
      </c>
    </row>
    <row r="11" spans="1:19" s="11" customFormat="1" x14ac:dyDescent="0.25">
      <c r="A11" s="48" t="s">
        <v>14</v>
      </c>
      <c r="B11" s="43">
        <f t="shared" si="0"/>
        <v>11560.361819399999</v>
      </c>
      <c r="C11" s="89">
        <f t="shared" ref="C11:C32" si="4">E44*7</f>
        <v>12047</v>
      </c>
      <c r="D11" s="4">
        <f t="shared" ref="D11:D31" si="5">SUM(B11:C11)</f>
        <v>23607.361819400001</v>
      </c>
      <c r="E11" s="31">
        <v>20825</v>
      </c>
      <c r="F11" s="2">
        <f>(K5*F7/C66)*C44</f>
        <v>13411.553329204542</v>
      </c>
      <c r="G11" s="32">
        <f>(K5*G7/D66)*D44</f>
        <v>16610.690514450187</v>
      </c>
      <c r="H11" s="36">
        <f t="shared" si="1"/>
        <v>50847.243843654731</v>
      </c>
      <c r="I11" s="15">
        <f t="shared" si="2"/>
        <v>74454.605663054739</v>
      </c>
      <c r="J11" s="4">
        <v>68610</v>
      </c>
      <c r="K11" s="15">
        <f t="shared" ref="K11:K32" si="6">I11-J11</f>
        <v>5844.6056630547391</v>
      </c>
      <c r="L11" s="101"/>
      <c r="M11" s="97">
        <f t="shared" si="3"/>
        <v>62894.243843654738</v>
      </c>
    </row>
    <row r="12" spans="1:19" s="11" customFormat="1" x14ac:dyDescent="0.25">
      <c r="A12" s="48" t="s">
        <v>8</v>
      </c>
      <c r="B12" s="43">
        <f t="shared" si="0"/>
        <v>36188.375</v>
      </c>
      <c r="C12" s="89">
        <f t="shared" si="4"/>
        <v>75215</v>
      </c>
      <c r="D12" s="4">
        <f t="shared" si="5"/>
        <v>111403.375</v>
      </c>
      <c r="E12" s="31">
        <v>103882</v>
      </c>
      <c r="F12" s="2">
        <f>(K5*F7/C66)*C45</f>
        <v>5240.5949880049366</v>
      </c>
      <c r="G12" s="32">
        <f>(K5*G7/D66)*D45</f>
        <v>34238.717617730304</v>
      </c>
      <c r="H12" s="36">
        <f t="shared" si="1"/>
        <v>143361.31260573523</v>
      </c>
      <c r="I12" s="15">
        <f t="shared" si="2"/>
        <v>254764.68760573523</v>
      </c>
      <c r="J12" s="4">
        <v>241252</v>
      </c>
      <c r="K12" s="15">
        <f t="shared" si="6"/>
        <v>13512.687605735235</v>
      </c>
      <c r="L12" s="101"/>
      <c r="M12" s="97">
        <f t="shared" si="3"/>
        <v>218576.31260573523</v>
      </c>
      <c r="S12" s="11" t="s">
        <v>53</v>
      </c>
    </row>
    <row r="13" spans="1:19" s="11" customFormat="1" x14ac:dyDescent="0.25">
      <c r="A13" s="48" t="s">
        <v>11</v>
      </c>
      <c r="B13" s="43">
        <f t="shared" si="0"/>
        <v>26195.294999999998</v>
      </c>
      <c r="C13" s="89">
        <f t="shared" si="4"/>
        <v>52815</v>
      </c>
      <c r="D13" s="4">
        <f t="shared" si="5"/>
        <v>79010.294999999998</v>
      </c>
      <c r="E13" s="31">
        <v>65692</v>
      </c>
      <c r="F13" s="2">
        <f>(K5*F7/C66)*C46</f>
        <v>4234.8891442001877</v>
      </c>
      <c r="G13" s="32">
        <f>(K5*G7/D66)*D46</f>
        <v>19490.617715866207</v>
      </c>
      <c r="H13" s="36">
        <f t="shared" si="1"/>
        <v>89417.506860066394</v>
      </c>
      <c r="I13" s="15">
        <f t="shared" si="2"/>
        <v>168427.80186006639</v>
      </c>
      <c r="J13" s="4">
        <v>156629</v>
      </c>
      <c r="K13" s="15">
        <f t="shared" si="6"/>
        <v>11798.801860066393</v>
      </c>
      <c r="L13" s="101"/>
      <c r="M13" s="97">
        <f t="shared" si="3"/>
        <v>142232.50686006638</v>
      </c>
    </row>
    <row r="14" spans="1:19" s="11" customFormat="1" x14ac:dyDescent="0.25">
      <c r="A14" s="48" t="s">
        <v>6</v>
      </c>
      <c r="B14" s="43">
        <f t="shared" si="0"/>
        <v>498.80459200000001</v>
      </c>
      <c r="C14" s="89">
        <f t="shared" si="4"/>
        <v>1043</v>
      </c>
      <c r="D14" s="4">
        <f t="shared" si="5"/>
        <v>1541.804592</v>
      </c>
      <c r="E14" s="31">
        <v>1914</v>
      </c>
      <c r="F14" s="2">
        <f>(K5*F7/C66)*C47</f>
        <v>2307.0185170984332</v>
      </c>
      <c r="G14" s="32">
        <f>(K5*G7/D66)*D47</f>
        <v>977.74270402058312</v>
      </c>
      <c r="H14" s="36">
        <f t="shared" si="1"/>
        <v>5198.7612211190162</v>
      </c>
      <c r="I14" s="15">
        <f t="shared" si="2"/>
        <v>6740.5658131190157</v>
      </c>
      <c r="J14" s="4">
        <v>5809</v>
      </c>
      <c r="K14" s="15">
        <f t="shared" si="6"/>
        <v>931.56581311901573</v>
      </c>
      <c r="L14" s="101"/>
      <c r="M14" s="97">
        <f t="shared" si="3"/>
        <v>6241.7612211190153</v>
      </c>
    </row>
    <row r="15" spans="1:19" s="11" customFormat="1" x14ac:dyDescent="0.25">
      <c r="A15" s="48" t="s">
        <v>18</v>
      </c>
      <c r="B15" s="43">
        <f t="shared" si="0"/>
        <v>2265.3623496</v>
      </c>
      <c r="C15" s="89">
        <f t="shared" si="4"/>
        <v>3864</v>
      </c>
      <c r="D15" s="4">
        <f t="shared" si="5"/>
        <v>6129.3623496</v>
      </c>
      <c r="E15" s="31">
        <v>7584</v>
      </c>
      <c r="F15" s="2">
        <f>(K5*F7/C66)*C48</f>
        <v>2082.1002772698953</v>
      </c>
      <c r="G15" s="32">
        <f>(K5*G7/D66)*D48</f>
        <v>6118.725833051637</v>
      </c>
      <c r="H15" s="36">
        <f t="shared" si="1"/>
        <v>15784.826110321534</v>
      </c>
      <c r="I15" s="15">
        <f t="shared" si="2"/>
        <v>21914.188459921534</v>
      </c>
      <c r="J15" s="4">
        <v>20997</v>
      </c>
      <c r="K15" s="15">
        <f t="shared" si="6"/>
        <v>917.18845992153365</v>
      </c>
      <c r="L15" s="101"/>
      <c r="M15" s="97">
        <f t="shared" si="3"/>
        <v>19648.826110321534</v>
      </c>
    </row>
    <row r="16" spans="1:19" s="11" customFormat="1" x14ac:dyDescent="0.25">
      <c r="A16" s="48" t="s">
        <v>15</v>
      </c>
      <c r="B16" s="43">
        <f t="shared" si="0"/>
        <v>550.18438229999992</v>
      </c>
      <c r="C16" s="89">
        <f t="shared" si="4"/>
        <v>4025</v>
      </c>
      <c r="D16" s="4">
        <f t="shared" si="5"/>
        <v>4575.1843822999999</v>
      </c>
      <c r="E16" s="31">
        <v>4081</v>
      </c>
      <c r="F16" s="2">
        <f>(K5*F7/C66)*C49</f>
        <v>4479.0860902997438</v>
      </c>
      <c r="G16" s="32">
        <f>(K5*G7/D66)*D49</f>
        <v>2868.6146628990637</v>
      </c>
      <c r="H16" s="36">
        <f t="shared" si="1"/>
        <v>11428.700753198809</v>
      </c>
      <c r="I16" s="15">
        <f t="shared" si="2"/>
        <v>16003.885135498809</v>
      </c>
      <c r="J16" s="4">
        <v>13869</v>
      </c>
      <c r="K16" s="15">
        <f t="shared" si="6"/>
        <v>2134.8851354988092</v>
      </c>
      <c r="L16" s="101"/>
      <c r="M16" s="97">
        <f t="shared" si="3"/>
        <v>15453.700753198809</v>
      </c>
    </row>
    <row r="17" spans="1:13" s="11" customFormat="1" x14ac:dyDescent="0.25">
      <c r="A17" s="48" t="s">
        <v>13</v>
      </c>
      <c r="B17" s="43">
        <f t="shared" si="0"/>
        <v>1040.4000000000001</v>
      </c>
      <c r="C17" s="89">
        <f t="shared" si="4"/>
        <v>0</v>
      </c>
      <c r="D17" s="4">
        <f t="shared" si="5"/>
        <v>1040.4000000000001</v>
      </c>
      <c r="E17" s="31">
        <v>1275</v>
      </c>
      <c r="F17" s="2">
        <f>(K5*F7/C66)*C50</f>
        <v>343.80359516647962</v>
      </c>
      <c r="G17" s="32">
        <f>(K5*G7/D66)*D50</f>
        <v>1168.5098118781993</v>
      </c>
      <c r="H17" s="36">
        <f t="shared" si="1"/>
        <v>2787.313407044679</v>
      </c>
      <c r="I17" s="15">
        <f t="shared" si="2"/>
        <v>3827.7134070446791</v>
      </c>
      <c r="J17" s="4">
        <v>3715</v>
      </c>
      <c r="K17" s="15">
        <f t="shared" si="6"/>
        <v>112.71340704467912</v>
      </c>
      <c r="L17" s="101">
        <v>400</v>
      </c>
      <c r="M17" s="97">
        <f t="shared" si="3"/>
        <v>3187.313407044679</v>
      </c>
    </row>
    <row r="18" spans="1:13" s="11" customFormat="1" x14ac:dyDescent="0.25">
      <c r="A18" s="48" t="s">
        <v>20</v>
      </c>
      <c r="B18" s="43">
        <f t="shared" si="0"/>
        <v>4626.5605718999996</v>
      </c>
      <c r="C18" s="89">
        <f t="shared" si="4"/>
        <v>5768</v>
      </c>
      <c r="D18" s="4">
        <f t="shared" si="5"/>
        <v>10394.5605719</v>
      </c>
      <c r="E18" s="31">
        <v>11876</v>
      </c>
      <c r="F18" s="2">
        <f>(K5*F7/C66)*C51</f>
        <v>2361.6415181996495</v>
      </c>
      <c r="G18" s="32">
        <f>(K5*G7/D66)*D51</f>
        <v>7121.1298710391857</v>
      </c>
      <c r="H18" s="36">
        <f t="shared" si="1"/>
        <v>21358.771389238835</v>
      </c>
      <c r="I18" s="15">
        <f t="shared" si="2"/>
        <v>31753.331961138836</v>
      </c>
      <c r="J18" s="4">
        <v>30996</v>
      </c>
      <c r="K18" s="15">
        <f t="shared" si="6"/>
        <v>757.33196113883605</v>
      </c>
      <c r="L18" s="101"/>
      <c r="M18" s="97">
        <f t="shared" si="3"/>
        <v>27126.771389238835</v>
      </c>
    </row>
    <row r="19" spans="1:13" s="11" customFormat="1" x14ac:dyDescent="0.25">
      <c r="A19" s="48" t="s">
        <v>9</v>
      </c>
      <c r="B19" s="43">
        <f t="shared" si="0"/>
        <v>578.02690139999993</v>
      </c>
      <c r="C19" s="89">
        <f t="shared" si="4"/>
        <v>3339</v>
      </c>
      <c r="D19" s="4">
        <f t="shared" si="5"/>
        <v>3917.0269014</v>
      </c>
      <c r="E19" s="31">
        <v>3105</v>
      </c>
      <c r="F19" s="2">
        <f>(K5*F7/C66)*C52</f>
        <v>1253.1159076161407</v>
      </c>
      <c r="G19" s="32">
        <f>(K5*G7/D66)*D52</f>
        <v>1650.5370780857318</v>
      </c>
      <c r="H19" s="36">
        <f t="shared" si="1"/>
        <v>6008.6529857018722</v>
      </c>
      <c r="I19" s="15">
        <f t="shared" si="2"/>
        <v>9925.6798871018727</v>
      </c>
      <c r="J19" s="4">
        <v>9542</v>
      </c>
      <c r="K19" s="15">
        <f t="shared" si="6"/>
        <v>383.67988710187274</v>
      </c>
      <c r="L19" s="101"/>
      <c r="M19" s="97">
        <f t="shared" si="3"/>
        <v>9347.6529857018722</v>
      </c>
    </row>
    <row r="20" spans="1:13" s="11" customFormat="1" x14ac:dyDescent="0.25">
      <c r="A20" s="48" t="s">
        <v>3</v>
      </c>
      <c r="B20" s="43">
        <f t="shared" si="0"/>
        <v>182.08840000000001</v>
      </c>
      <c r="C20" s="89">
        <f t="shared" si="4"/>
        <v>868</v>
      </c>
      <c r="D20" s="4">
        <f t="shared" si="5"/>
        <v>1050.0884000000001</v>
      </c>
      <c r="E20" s="31">
        <v>1316</v>
      </c>
      <c r="F20" s="2">
        <f>(K5*F7/C66)*C53</f>
        <v>687.60719033295925</v>
      </c>
      <c r="G20" s="32">
        <f>(K5*G7/D66)*D53</f>
        <v>698.05904341968585</v>
      </c>
      <c r="H20" s="36">
        <f t="shared" si="1"/>
        <v>2701.666233752645</v>
      </c>
      <c r="I20" s="15">
        <f t="shared" si="2"/>
        <v>3751.7546337526451</v>
      </c>
      <c r="J20" s="4">
        <v>3530</v>
      </c>
      <c r="K20" s="15">
        <f t="shared" si="6"/>
        <v>221.75463375264508</v>
      </c>
      <c r="L20" s="101">
        <v>2100</v>
      </c>
      <c r="M20" s="97">
        <f t="shared" si="3"/>
        <v>5669.6662337526459</v>
      </c>
    </row>
    <row r="21" spans="1:13" s="11" customFormat="1" x14ac:dyDescent="0.25">
      <c r="A21" s="48" t="s">
        <v>0</v>
      </c>
      <c r="B21" s="43">
        <f t="shared" si="0"/>
        <v>770.86502389999998</v>
      </c>
      <c r="C21" s="89">
        <f t="shared" si="4"/>
        <v>1379</v>
      </c>
      <c r="D21" s="4">
        <f t="shared" si="5"/>
        <v>2149.8650238999999</v>
      </c>
      <c r="E21" s="31">
        <v>1642</v>
      </c>
      <c r="F21" s="2">
        <f>(K5*F7/C66)*C54</f>
        <v>1702.9523872732168</v>
      </c>
      <c r="G21" s="32">
        <f>(K5*G7/D66)*D54</f>
        <v>1421.0810885001231</v>
      </c>
      <c r="H21" s="36">
        <f t="shared" si="1"/>
        <v>4766.0334757733399</v>
      </c>
      <c r="I21" s="15">
        <f t="shared" si="2"/>
        <v>6915.8984996733398</v>
      </c>
      <c r="J21" s="4">
        <v>6193</v>
      </c>
      <c r="K21" s="15">
        <f t="shared" si="6"/>
        <v>722.89849967333976</v>
      </c>
      <c r="L21" s="101">
        <v>1900</v>
      </c>
      <c r="M21" s="97">
        <f t="shared" si="3"/>
        <v>8045.0334757733399</v>
      </c>
    </row>
    <row r="22" spans="1:13" s="11" customFormat="1" x14ac:dyDescent="0.25">
      <c r="A22" s="48" t="s">
        <v>7</v>
      </c>
      <c r="B22" s="43">
        <f t="shared" si="0"/>
        <v>1234.616</v>
      </c>
      <c r="C22" s="89">
        <f t="shared" si="4"/>
        <v>0</v>
      </c>
      <c r="D22" s="4">
        <f t="shared" si="5"/>
        <v>1234.616</v>
      </c>
      <c r="E22" s="31">
        <v>705</v>
      </c>
      <c r="F22" s="2">
        <f>(K5*F7/C66)*C55</f>
        <v>986.42713753373118</v>
      </c>
      <c r="G22" s="32">
        <f>(K5*G7/D66)*D55</f>
        <v>867.84139232834696</v>
      </c>
      <c r="H22" s="36">
        <f t="shared" si="1"/>
        <v>2559.2685298620781</v>
      </c>
      <c r="I22" s="15">
        <f t="shared" si="2"/>
        <v>3793.8845298620781</v>
      </c>
      <c r="J22" s="4">
        <v>2608</v>
      </c>
      <c r="K22" s="15">
        <f t="shared" si="6"/>
        <v>1185.8845298620781</v>
      </c>
      <c r="L22" s="101">
        <v>500</v>
      </c>
      <c r="M22" s="97">
        <f t="shared" si="3"/>
        <v>3059.2685298620781</v>
      </c>
    </row>
    <row r="23" spans="1:13" s="11" customFormat="1" x14ac:dyDescent="0.25">
      <c r="A23" s="48" t="s">
        <v>12</v>
      </c>
      <c r="B23" s="43">
        <f t="shared" si="0"/>
        <v>1328.5069824</v>
      </c>
      <c r="C23" s="89">
        <f t="shared" si="4"/>
        <v>1078</v>
      </c>
      <c r="D23" s="4">
        <f t="shared" si="5"/>
        <v>2406.5069824000002</v>
      </c>
      <c r="E23" s="31">
        <v>1214</v>
      </c>
      <c r="F23" s="2">
        <f>(K5*F7/C66)*C56</f>
        <v>1102.0993751598367</v>
      </c>
      <c r="G23" s="32">
        <f>(K5*G7/D66)*D56</f>
        <v>547.97936576139125</v>
      </c>
      <c r="H23" s="36">
        <f t="shared" si="1"/>
        <v>2864.078740921228</v>
      </c>
      <c r="I23" s="15">
        <f t="shared" si="2"/>
        <v>5270.5857233212282</v>
      </c>
      <c r="J23" s="4">
        <v>3814</v>
      </c>
      <c r="K23" s="15">
        <f t="shared" si="6"/>
        <v>1456.5857233212282</v>
      </c>
      <c r="L23" s="101"/>
      <c r="M23" s="97">
        <f t="shared" si="3"/>
        <v>3942.078740921228</v>
      </c>
    </row>
    <row r="24" spans="1:13" s="11" customFormat="1" x14ac:dyDescent="0.25">
      <c r="A24" s="48" t="s">
        <v>5</v>
      </c>
      <c r="B24" s="43">
        <f t="shared" si="0"/>
        <v>1249.8459791999999</v>
      </c>
      <c r="C24" s="89">
        <f t="shared" si="4"/>
        <v>2926</v>
      </c>
      <c r="D24" s="4">
        <f t="shared" si="5"/>
        <v>4175.8459791999994</v>
      </c>
      <c r="E24" s="31">
        <v>3330</v>
      </c>
      <c r="F24" s="2">
        <f>(K5*F7/C66)*C57</f>
        <v>928.59101872067868</v>
      </c>
      <c r="G24" s="32">
        <f>(K5*G7/D66)*D57</f>
        <v>2376.9151762595329</v>
      </c>
      <c r="H24" s="36">
        <f t="shared" si="1"/>
        <v>6635.5061949802121</v>
      </c>
      <c r="I24" s="15">
        <f t="shared" si="2"/>
        <v>10811.352174180211</v>
      </c>
      <c r="J24" s="4">
        <v>9198</v>
      </c>
      <c r="K24" s="15">
        <f t="shared" si="6"/>
        <v>1613.3521741802106</v>
      </c>
      <c r="L24" s="101"/>
      <c r="M24" s="97">
        <f t="shared" si="3"/>
        <v>9561.5061949802111</v>
      </c>
    </row>
    <row r="25" spans="1:13" s="11" customFormat="1" x14ac:dyDescent="0.25">
      <c r="A25" s="47" t="s">
        <v>21</v>
      </c>
      <c r="B25" s="43">
        <f t="shared" si="0"/>
        <v>2728.7025584000003</v>
      </c>
      <c r="C25" s="89">
        <f t="shared" si="4"/>
        <v>3829</v>
      </c>
      <c r="D25" s="4">
        <f t="shared" si="5"/>
        <v>6557.7025584000003</v>
      </c>
      <c r="E25" s="31">
        <v>6320</v>
      </c>
      <c r="F25" s="2">
        <f>(K5*F7/C66)*C58</f>
        <v>5353.0541079192062</v>
      </c>
      <c r="G25" s="32">
        <f>(K5*G7/D66)*D58</f>
        <v>6058.9013585277962</v>
      </c>
      <c r="H25" s="36">
        <f t="shared" si="1"/>
        <v>17731.955466447002</v>
      </c>
      <c r="I25" s="15">
        <f t="shared" si="2"/>
        <v>24289.658024847002</v>
      </c>
      <c r="J25" s="4">
        <v>20514</v>
      </c>
      <c r="K25" s="15">
        <f t="shared" si="6"/>
        <v>3775.6580248470018</v>
      </c>
      <c r="L25" s="101"/>
      <c r="M25" s="97">
        <f t="shared" si="3"/>
        <v>21560.955466447002</v>
      </c>
    </row>
    <row r="26" spans="1:13" s="11" customFormat="1" x14ac:dyDescent="0.25">
      <c r="A26" s="48" t="s">
        <v>2</v>
      </c>
      <c r="B26" s="43">
        <f t="shared" si="0"/>
        <v>418.67875319999996</v>
      </c>
      <c r="C26" s="89">
        <f t="shared" si="4"/>
        <v>2338</v>
      </c>
      <c r="D26" s="4">
        <f t="shared" si="5"/>
        <v>2756.6787531999998</v>
      </c>
      <c r="E26" s="31">
        <v>2599</v>
      </c>
      <c r="F26" s="2">
        <f>(K5*F7/C66)*C59</f>
        <v>2117.4445721000939</v>
      </c>
      <c r="G26" s="32">
        <f>(K5*G7/D66)*D59</f>
        <v>1210.8752686242028</v>
      </c>
      <c r="H26" s="36">
        <f t="shared" si="1"/>
        <v>5927.3198407242962</v>
      </c>
      <c r="I26" s="15">
        <f t="shared" si="2"/>
        <v>8683.9985939242961</v>
      </c>
      <c r="J26" s="4">
        <v>7411</v>
      </c>
      <c r="K26" s="15">
        <f t="shared" si="6"/>
        <v>1272.9985939242961</v>
      </c>
      <c r="L26" s="101"/>
      <c r="M26" s="97">
        <f t="shared" si="3"/>
        <v>8265.3198407242962</v>
      </c>
    </row>
    <row r="27" spans="1:13" s="11" customFormat="1" x14ac:dyDescent="0.25">
      <c r="A27" s="48" t="s">
        <v>4</v>
      </c>
      <c r="B27" s="43">
        <f t="shared" si="0"/>
        <v>481.63465680000002</v>
      </c>
      <c r="C27" s="89">
        <f t="shared" si="4"/>
        <v>196</v>
      </c>
      <c r="D27" s="4">
        <f t="shared" si="5"/>
        <v>677.63465680000002</v>
      </c>
      <c r="E27" s="31">
        <v>1112</v>
      </c>
      <c r="F27" s="2">
        <f>(K5*F7/C66)*C60</f>
        <v>1294.8864378700121</v>
      </c>
      <c r="G27" s="32">
        <f>(K5*G7/D66)*D60</f>
        <v>1003.1204987602897</v>
      </c>
      <c r="H27" s="36">
        <f t="shared" si="1"/>
        <v>3410.0069366303014</v>
      </c>
      <c r="I27" s="15">
        <f t="shared" si="2"/>
        <v>4087.6415934303013</v>
      </c>
      <c r="J27" s="4">
        <v>3692</v>
      </c>
      <c r="K27" s="15">
        <f t="shared" si="6"/>
        <v>395.64159343030133</v>
      </c>
      <c r="L27" s="101"/>
      <c r="M27" s="97">
        <f t="shared" si="3"/>
        <v>3606.0069366303014</v>
      </c>
    </row>
    <row r="28" spans="1:13" s="11" customFormat="1" x14ac:dyDescent="0.25">
      <c r="A28" s="48" t="s">
        <v>22</v>
      </c>
      <c r="B28" s="43">
        <f t="shared" si="0"/>
        <v>950.98709860000008</v>
      </c>
      <c r="C28" s="89">
        <f t="shared" si="4"/>
        <v>3542</v>
      </c>
      <c r="D28" s="4">
        <f t="shared" si="5"/>
        <v>4492.9870986000005</v>
      </c>
      <c r="E28" s="31">
        <v>4948</v>
      </c>
      <c r="F28" s="2">
        <f>(K5*F7/C66)*C61</f>
        <v>5542.6280529175456</v>
      </c>
      <c r="G28" s="32">
        <f>(K5*G7/D66)*D61</f>
        <v>2848.874283186974</v>
      </c>
      <c r="H28" s="36">
        <f t="shared" si="1"/>
        <v>13339.502336104521</v>
      </c>
      <c r="I28" s="15">
        <f t="shared" si="2"/>
        <v>17832.489434704519</v>
      </c>
      <c r="J28" s="4">
        <v>15171</v>
      </c>
      <c r="K28" s="15">
        <f t="shared" si="6"/>
        <v>2661.4894347045192</v>
      </c>
      <c r="L28" s="101"/>
      <c r="M28" s="97">
        <f t="shared" si="3"/>
        <v>16881.502336104521</v>
      </c>
    </row>
    <row r="29" spans="1:13" s="11" customFormat="1" x14ac:dyDescent="0.25">
      <c r="A29" s="48" t="s">
        <v>1</v>
      </c>
      <c r="B29" s="43">
        <f t="shared" si="0"/>
        <v>1486.1624685000002</v>
      </c>
      <c r="C29" s="89">
        <f t="shared" si="4"/>
        <v>3346</v>
      </c>
      <c r="D29" s="4">
        <f t="shared" si="5"/>
        <v>4832.1624685000006</v>
      </c>
      <c r="E29" s="31">
        <v>3687</v>
      </c>
      <c r="F29" s="2">
        <f>(K5*F7/C66)*C62</f>
        <v>2959.281412601194</v>
      </c>
      <c r="G29" s="32">
        <f>(K5*G7/D66)*D62</f>
        <v>2948.0852459806861</v>
      </c>
      <c r="H29" s="36">
        <f t="shared" si="1"/>
        <v>9594.366658581881</v>
      </c>
      <c r="I29" s="15">
        <f t="shared" si="2"/>
        <v>14426.529127081882</v>
      </c>
      <c r="J29" s="4">
        <v>14724</v>
      </c>
      <c r="K29" s="15">
        <f t="shared" si="6"/>
        <v>-297.4708729181184</v>
      </c>
      <c r="L29" s="101"/>
      <c r="M29" s="97">
        <f t="shared" si="3"/>
        <v>12940.366658581881</v>
      </c>
    </row>
    <row r="30" spans="1:13" s="11" customFormat="1" x14ac:dyDescent="0.25">
      <c r="A30" s="48" t="s">
        <v>16</v>
      </c>
      <c r="B30" s="43">
        <f t="shared" si="0"/>
        <v>2318.6327945000003</v>
      </c>
      <c r="C30" s="89">
        <f t="shared" si="4"/>
        <v>3591</v>
      </c>
      <c r="D30" s="4">
        <f t="shared" si="5"/>
        <v>5909.6327945000003</v>
      </c>
      <c r="E30" s="31">
        <v>4364</v>
      </c>
      <c r="F30" s="2">
        <f>(K5*F7/C66)*C63</f>
        <v>3733.6427811537314</v>
      </c>
      <c r="G30" s="32">
        <f>(K5*G7/D66)*D63</f>
        <v>4486.6659012102682</v>
      </c>
      <c r="H30" s="36">
        <f t="shared" si="1"/>
        <v>12584.308682364001</v>
      </c>
      <c r="I30" s="15">
        <f t="shared" si="2"/>
        <v>18493.941476864002</v>
      </c>
      <c r="J30" s="4">
        <v>16405</v>
      </c>
      <c r="K30" s="15">
        <f t="shared" si="6"/>
        <v>2088.9414768640017</v>
      </c>
      <c r="L30" s="101"/>
      <c r="M30" s="97">
        <f t="shared" si="3"/>
        <v>16175.308682364001</v>
      </c>
    </row>
    <row r="31" spans="1:13" s="11" customFormat="1" x14ac:dyDescent="0.25">
      <c r="A31" s="48" t="s">
        <v>17</v>
      </c>
      <c r="B31" s="43">
        <f t="shared" si="0"/>
        <v>756.77524119999998</v>
      </c>
      <c r="C31" s="89">
        <f t="shared" si="4"/>
        <v>0</v>
      </c>
      <c r="D31" s="4">
        <f t="shared" si="5"/>
        <v>756.77524119999998</v>
      </c>
      <c r="E31" s="31">
        <v>1852</v>
      </c>
      <c r="F31" s="2">
        <f>(K5*F7/C66)*C64</f>
        <v>906.09919473782475</v>
      </c>
      <c r="G31" s="32">
        <f>(K5*G7/D66)*D64</f>
        <v>1704.9315341214328</v>
      </c>
      <c r="H31" s="36">
        <f t="shared" si="1"/>
        <v>4463.0307288592576</v>
      </c>
      <c r="I31" s="15">
        <f t="shared" si="2"/>
        <v>5219.8059700592576</v>
      </c>
      <c r="J31" s="4">
        <v>4619</v>
      </c>
      <c r="K31" s="15">
        <f t="shared" si="6"/>
        <v>600.80597005925756</v>
      </c>
      <c r="L31" s="101"/>
      <c r="M31" s="97">
        <f t="shared" si="3"/>
        <v>4463.0307288592576</v>
      </c>
    </row>
    <row r="32" spans="1:13" s="11" customFormat="1" ht="15.75" thickBot="1" x14ac:dyDescent="0.3">
      <c r="A32" s="49" t="s">
        <v>10</v>
      </c>
      <c r="B32" s="44">
        <f t="shared" si="0"/>
        <v>180.04510999999999</v>
      </c>
      <c r="C32" s="104">
        <f t="shared" si="4"/>
        <v>294</v>
      </c>
      <c r="D32" s="5">
        <f>SUM(B32:C32)</f>
        <v>474.04511000000002</v>
      </c>
      <c r="E32" s="33">
        <v>1405</v>
      </c>
      <c r="F32" s="6">
        <f>(K5*F7/C66)*C65</f>
        <v>1555.1489725287488</v>
      </c>
      <c r="G32" s="34">
        <f>(K5*G7/D66)*D65</f>
        <v>725.51080355416786</v>
      </c>
      <c r="H32" s="37">
        <f t="shared" si="1"/>
        <v>3685.6597760829168</v>
      </c>
      <c r="I32" s="16">
        <f t="shared" si="2"/>
        <v>4159.7048860829163</v>
      </c>
      <c r="J32" s="5">
        <v>3788</v>
      </c>
      <c r="K32" s="16">
        <f t="shared" si="6"/>
        <v>371.70488608291635</v>
      </c>
      <c r="L32" s="102">
        <v>1000</v>
      </c>
      <c r="M32" s="98">
        <f t="shared" si="3"/>
        <v>4979.6597760829163</v>
      </c>
    </row>
    <row r="33" spans="1:13" s="11" customFormat="1" ht="16.5" thickTop="1" thickBot="1" x14ac:dyDescent="0.3">
      <c r="A33" s="46" t="s">
        <v>23</v>
      </c>
      <c r="B33" s="45">
        <f>SUM(B10:B32)+1</f>
        <v>114718.1826108</v>
      </c>
      <c r="C33" s="88">
        <f>SUM(C10:C32)</f>
        <v>215124</v>
      </c>
      <c r="D33" s="7">
        <f t="shared" ref="D33" si="7">SUM(D10:D32)</f>
        <v>329841.18261080002</v>
      </c>
      <c r="E33" s="8">
        <f>SUM(E10:E32)</f>
        <v>292207</v>
      </c>
      <c r="F33" s="9">
        <f t="shared" ref="F33:H33" si="8">SUM(F10:F32)</f>
        <v>68837.833858379992</v>
      </c>
      <c r="G33" s="35">
        <f t="shared" si="8"/>
        <v>137675.66771676001</v>
      </c>
      <c r="H33" s="35">
        <f t="shared" si="8"/>
        <v>498720.50157513988</v>
      </c>
      <c r="I33" s="10">
        <f>SUM(I10:I32)</f>
        <v>828561.68418594007</v>
      </c>
      <c r="J33" s="22">
        <f>SUM(J10:J32)</f>
        <v>769523</v>
      </c>
      <c r="K33" s="10">
        <f>SUM(K10:K32)</f>
        <v>59038.684185939979</v>
      </c>
      <c r="L33" s="103">
        <f>SUM(L17:L32)</f>
        <v>5900</v>
      </c>
      <c r="M33" s="99">
        <f>I33+L33-B33+1</f>
        <v>719744.50157514005</v>
      </c>
    </row>
    <row r="34" spans="1:13" s="11" customFormat="1" x14ac:dyDescent="0.25">
      <c r="I34" s="86">
        <v>122925</v>
      </c>
    </row>
    <row r="35" spans="1:13" s="11" customFormat="1" x14ac:dyDescent="0.25">
      <c r="A35" s="11" t="s">
        <v>49</v>
      </c>
      <c r="I35" s="86">
        <v>229163</v>
      </c>
    </row>
    <row r="36" spans="1:13" s="11" customFormat="1" x14ac:dyDescent="0.25">
      <c r="A36" s="11" t="s">
        <v>50</v>
      </c>
      <c r="I36" s="86">
        <f>I33+I34+I35</f>
        <v>1180649.6841859401</v>
      </c>
    </row>
    <row r="37" spans="1:13" s="11" customFormat="1" x14ac:dyDescent="0.25">
      <c r="A37" s="11" t="s">
        <v>48</v>
      </c>
      <c r="E37" s="40">
        <v>7</v>
      </c>
      <c r="F37" s="41" t="s">
        <v>52</v>
      </c>
    </row>
    <row r="38" spans="1:13" s="11" customFormat="1" x14ac:dyDescent="0.25"/>
    <row r="39" spans="1:13" s="11" customFormat="1" ht="15.75" thickBot="1" x14ac:dyDescent="0.3"/>
    <row r="40" spans="1:13" s="11" customFormat="1" ht="15" customHeight="1" x14ac:dyDescent="0.25">
      <c r="A40" s="168" t="s">
        <v>33</v>
      </c>
      <c r="B40" s="171" t="s">
        <v>43</v>
      </c>
      <c r="C40" s="174" t="s">
        <v>44</v>
      </c>
      <c r="D40" s="174" t="s">
        <v>45</v>
      </c>
      <c r="E40" s="174" t="s">
        <v>51</v>
      </c>
      <c r="F40" s="174" t="s">
        <v>54</v>
      </c>
      <c r="G40" s="174" t="s">
        <v>56</v>
      </c>
      <c r="H40" s="184" t="s">
        <v>55</v>
      </c>
    </row>
    <row r="41" spans="1:13" s="11" customFormat="1" x14ac:dyDescent="0.25">
      <c r="A41" s="169"/>
      <c r="B41" s="172"/>
      <c r="C41" s="175"/>
      <c r="D41" s="175"/>
      <c r="E41" s="180"/>
      <c r="F41" s="180"/>
      <c r="G41" s="180"/>
      <c r="H41" s="185"/>
    </row>
    <row r="42" spans="1:13" s="11" customFormat="1" ht="21.75" customHeight="1" thickBot="1" x14ac:dyDescent="0.3">
      <c r="A42" s="170"/>
      <c r="B42" s="173"/>
      <c r="C42" s="176"/>
      <c r="D42" s="176"/>
      <c r="E42" s="181"/>
      <c r="F42" s="181"/>
      <c r="G42" s="181"/>
      <c r="H42" s="186"/>
    </row>
    <row r="43" spans="1:13" s="11" customFormat="1" ht="15.75" thickTop="1" x14ac:dyDescent="0.25">
      <c r="A43" s="76" t="s">
        <v>34</v>
      </c>
      <c r="B43" s="60">
        <v>37592</v>
      </c>
      <c r="C43" s="61">
        <v>13.24</v>
      </c>
      <c r="D43" s="62">
        <v>1088962</v>
      </c>
      <c r="E43" s="62">
        <v>4803</v>
      </c>
      <c r="F43" s="56">
        <v>2209841.41</v>
      </c>
      <c r="G43" s="63">
        <v>7.75</v>
      </c>
      <c r="H43" s="72">
        <f>F43*G43</f>
        <v>17126270.927500002</v>
      </c>
    </row>
    <row r="44" spans="1:13" s="11" customFormat="1" x14ac:dyDescent="0.25">
      <c r="A44" s="77" t="s">
        <v>14</v>
      </c>
      <c r="B44" s="57">
        <v>21011</v>
      </c>
      <c r="C44" s="58">
        <v>41.74</v>
      </c>
      <c r="D44" s="59">
        <v>881006</v>
      </c>
      <c r="E44" s="59">
        <v>1721</v>
      </c>
      <c r="F44" s="51">
        <v>2071749.43</v>
      </c>
      <c r="G44" s="64">
        <v>5.58</v>
      </c>
      <c r="H44" s="73">
        <f t="shared" ref="H44:H65" si="9">F44*G44</f>
        <v>11560361.819399999</v>
      </c>
    </row>
    <row r="45" spans="1:13" s="11" customFormat="1" x14ac:dyDescent="0.25">
      <c r="A45" s="77" t="s">
        <v>8</v>
      </c>
      <c r="B45" s="57">
        <v>104866</v>
      </c>
      <c r="C45" s="58">
        <v>16.309999999999999</v>
      </c>
      <c r="D45" s="59">
        <v>1815970</v>
      </c>
      <c r="E45" s="59">
        <v>10745</v>
      </c>
      <c r="F45" s="51">
        <v>4857500</v>
      </c>
      <c r="G45" s="64">
        <v>7.45</v>
      </c>
      <c r="H45" s="73">
        <f t="shared" si="9"/>
        <v>36188375</v>
      </c>
    </row>
    <row r="46" spans="1:13" s="11" customFormat="1" x14ac:dyDescent="0.25">
      <c r="A46" s="77" t="s">
        <v>11</v>
      </c>
      <c r="B46" s="57">
        <v>65977</v>
      </c>
      <c r="C46" s="58">
        <v>13.18</v>
      </c>
      <c r="D46" s="59">
        <v>1033753</v>
      </c>
      <c r="E46" s="59">
        <v>7545</v>
      </c>
      <c r="F46" s="51">
        <v>3328500</v>
      </c>
      <c r="G46" s="64">
        <v>7.87</v>
      </c>
      <c r="H46" s="73">
        <f t="shared" si="9"/>
        <v>26195295</v>
      </c>
    </row>
    <row r="47" spans="1:13" s="11" customFormat="1" x14ac:dyDescent="0.25">
      <c r="A47" s="77" t="s">
        <v>6</v>
      </c>
      <c r="B47" s="57">
        <v>1867</v>
      </c>
      <c r="C47" s="58">
        <v>7.18</v>
      </c>
      <c r="D47" s="59">
        <v>51858</v>
      </c>
      <c r="E47" s="59">
        <v>149</v>
      </c>
      <c r="F47" s="51">
        <v>87203.6</v>
      </c>
      <c r="G47" s="64">
        <v>5.72</v>
      </c>
      <c r="H47" s="73">
        <f t="shared" si="9"/>
        <v>498804.592</v>
      </c>
    </row>
    <row r="48" spans="1:13" s="11" customFormat="1" x14ac:dyDescent="0.25">
      <c r="A48" s="77" t="s">
        <v>18</v>
      </c>
      <c r="B48" s="57">
        <v>7382</v>
      </c>
      <c r="C48" s="58">
        <v>6.48</v>
      </c>
      <c r="D48" s="59">
        <v>324528</v>
      </c>
      <c r="E48" s="59">
        <v>552</v>
      </c>
      <c r="F48" s="51">
        <v>469019.12</v>
      </c>
      <c r="G48" s="64">
        <v>4.83</v>
      </c>
      <c r="H48" s="73">
        <f t="shared" si="9"/>
        <v>2265362.3495999998</v>
      </c>
    </row>
    <row r="49" spans="1:12" s="11" customFormat="1" x14ac:dyDescent="0.25">
      <c r="A49" s="77" t="s">
        <v>15</v>
      </c>
      <c r="B49" s="57">
        <v>4045</v>
      </c>
      <c r="C49" s="58">
        <v>13.94</v>
      </c>
      <c r="D49" s="59">
        <v>152147</v>
      </c>
      <c r="E49" s="59">
        <v>575</v>
      </c>
      <c r="F49" s="51">
        <v>84513.73</v>
      </c>
      <c r="G49" s="64">
        <v>6.51</v>
      </c>
      <c r="H49" s="73">
        <f t="shared" si="9"/>
        <v>550184.38229999994</v>
      </c>
    </row>
    <row r="50" spans="1:12" s="11" customFormat="1" x14ac:dyDescent="0.25">
      <c r="A50" s="77" t="s">
        <v>13</v>
      </c>
      <c r="B50" s="57">
        <v>1281</v>
      </c>
      <c r="C50" s="58">
        <v>1.07</v>
      </c>
      <c r="D50" s="59">
        <v>61976</v>
      </c>
      <c r="E50" s="59">
        <v>0</v>
      </c>
      <c r="F50" s="51">
        <v>170000</v>
      </c>
      <c r="G50" s="64">
        <v>6.12</v>
      </c>
      <c r="H50" s="73">
        <f t="shared" si="9"/>
        <v>1040400</v>
      </c>
    </row>
    <row r="51" spans="1:12" s="11" customFormat="1" x14ac:dyDescent="0.25">
      <c r="A51" s="77" t="s">
        <v>35</v>
      </c>
      <c r="B51" s="57">
        <v>12004</v>
      </c>
      <c r="C51" s="58">
        <v>7.35</v>
      </c>
      <c r="D51" s="59">
        <v>377694</v>
      </c>
      <c r="E51" s="59">
        <v>824</v>
      </c>
      <c r="F51" s="51">
        <v>774968.27</v>
      </c>
      <c r="G51" s="64">
        <v>5.97</v>
      </c>
      <c r="H51" s="73">
        <f t="shared" si="9"/>
        <v>4626560.5718999999</v>
      </c>
    </row>
    <row r="52" spans="1:12" s="11" customFormat="1" x14ac:dyDescent="0.25">
      <c r="A52" s="77" t="s">
        <v>9</v>
      </c>
      <c r="B52" s="57">
        <v>3097</v>
      </c>
      <c r="C52" s="58">
        <v>3.9</v>
      </c>
      <c r="D52" s="59">
        <v>87542</v>
      </c>
      <c r="E52" s="59">
        <v>477</v>
      </c>
      <c r="F52" s="51">
        <v>185860.74</v>
      </c>
      <c r="G52" s="64">
        <v>3.11</v>
      </c>
      <c r="H52" s="73">
        <f t="shared" si="9"/>
        <v>578026.90139999997</v>
      </c>
    </row>
    <row r="53" spans="1:12" s="11" customFormat="1" x14ac:dyDescent="0.25">
      <c r="A53" s="77" t="s">
        <v>3</v>
      </c>
      <c r="B53" s="57">
        <v>1285</v>
      </c>
      <c r="C53" s="58">
        <v>2.14</v>
      </c>
      <c r="D53" s="59">
        <v>37024</v>
      </c>
      <c r="E53" s="59">
        <v>124</v>
      </c>
      <c r="F53" s="51">
        <v>35017</v>
      </c>
      <c r="G53" s="64">
        <v>5.2</v>
      </c>
      <c r="H53" s="73">
        <f t="shared" si="9"/>
        <v>182088.4</v>
      </c>
    </row>
    <row r="54" spans="1:12" s="11" customFormat="1" x14ac:dyDescent="0.25">
      <c r="A54" s="77" t="s">
        <v>0</v>
      </c>
      <c r="B54" s="57">
        <v>1633</v>
      </c>
      <c r="C54" s="58">
        <v>5.3</v>
      </c>
      <c r="D54" s="59">
        <v>75372</v>
      </c>
      <c r="E54" s="59">
        <v>197</v>
      </c>
      <c r="F54" s="51">
        <v>147392.93</v>
      </c>
      <c r="G54" s="64">
        <v>5.23</v>
      </c>
      <c r="H54" s="73">
        <f t="shared" si="9"/>
        <v>770865.02390000003</v>
      </c>
      <c r="I54"/>
      <c r="K54"/>
      <c r="L54"/>
    </row>
    <row r="55" spans="1:12" s="11" customFormat="1" x14ac:dyDescent="0.25">
      <c r="A55" s="77" t="s">
        <v>7</v>
      </c>
      <c r="B55" s="57">
        <v>722</v>
      </c>
      <c r="C55" s="58">
        <v>3.07</v>
      </c>
      <c r="D55" s="59">
        <v>46029</v>
      </c>
      <c r="E55" s="59">
        <v>0</v>
      </c>
      <c r="F55" s="51">
        <v>358900</v>
      </c>
      <c r="G55" s="64">
        <v>3.44</v>
      </c>
      <c r="H55" s="73">
        <f t="shared" si="9"/>
        <v>1234616</v>
      </c>
      <c r="I55"/>
      <c r="K55"/>
      <c r="L55"/>
    </row>
    <row r="56" spans="1:12" s="11" customFormat="1" x14ac:dyDescent="0.25">
      <c r="A56" s="77" t="s">
        <v>12</v>
      </c>
      <c r="B56" s="57">
        <v>1226</v>
      </c>
      <c r="C56" s="58">
        <v>3.43</v>
      </c>
      <c r="D56" s="59">
        <v>29064</v>
      </c>
      <c r="E56" s="59">
        <v>154</v>
      </c>
      <c r="F56" s="51">
        <v>172982.68</v>
      </c>
      <c r="G56" s="64">
        <v>7.68</v>
      </c>
      <c r="H56" s="73">
        <f t="shared" si="9"/>
        <v>1328506.9823999999</v>
      </c>
      <c r="I56"/>
      <c r="K56"/>
      <c r="L56"/>
    </row>
    <row r="57" spans="1:12" s="11" customFormat="1" x14ac:dyDescent="0.25">
      <c r="A57" s="77" t="s">
        <v>5</v>
      </c>
      <c r="B57" s="57">
        <v>3303</v>
      </c>
      <c r="C57" s="58">
        <v>2.89</v>
      </c>
      <c r="D57" s="59">
        <v>126068</v>
      </c>
      <c r="E57" s="59">
        <v>418</v>
      </c>
      <c r="F57" s="51">
        <v>212558.84</v>
      </c>
      <c r="G57" s="64">
        <v>5.88</v>
      </c>
      <c r="H57" s="73">
        <f t="shared" si="9"/>
        <v>1249845.9791999999</v>
      </c>
      <c r="I57"/>
      <c r="K57"/>
      <c r="L57"/>
    </row>
    <row r="58" spans="1:12" s="11" customFormat="1" x14ac:dyDescent="0.25">
      <c r="A58" s="78" t="s">
        <v>36</v>
      </c>
      <c r="B58" s="57">
        <v>6377</v>
      </c>
      <c r="C58" s="58">
        <v>16.66</v>
      </c>
      <c r="D58" s="59">
        <v>321355</v>
      </c>
      <c r="E58" s="59">
        <v>547</v>
      </c>
      <c r="F58" s="51">
        <v>374821.78</v>
      </c>
      <c r="G58" s="64">
        <v>7.28</v>
      </c>
      <c r="H58" s="73">
        <f t="shared" si="9"/>
        <v>2728702.5584000004</v>
      </c>
      <c r="I58"/>
      <c r="K58"/>
      <c r="L58"/>
    </row>
    <row r="59" spans="1:12" s="11" customFormat="1" x14ac:dyDescent="0.25">
      <c r="A59" s="77" t="s">
        <v>2</v>
      </c>
      <c r="B59" s="57">
        <v>2570</v>
      </c>
      <c r="C59" s="58">
        <v>6.59</v>
      </c>
      <c r="D59" s="59">
        <v>64223</v>
      </c>
      <c r="E59" s="59">
        <v>334</v>
      </c>
      <c r="F59" s="51">
        <v>60502.71</v>
      </c>
      <c r="G59" s="64">
        <v>6.92</v>
      </c>
      <c r="H59" s="73">
        <f t="shared" si="9"/>
        <v>418678.75319999998</v>
      </c>
      <c r="I59"/>
      <c r="K59"/>
      <c r="L59"/>
    </row>
    <row r="60" spans="1:12" s="11" customFormat="1" x14ac:dyDescent="0.25">
      <c r="A60" s="77" t="s">
        <v>4</v>
      </c>
      <c r="B60" s="57">
        <v>1121</v>
      </c>
      <c r="C60" s="58">
        <v>4.03</v>
      </c>
      <c r="D60" s="59">
        <v>53204</v>
      </c>
      <c r="E60" s="59">
        <v>28</v>
      </c>
      <c r="F60" s="51">
        <v>71037.56</v>
      </c>
      <c r="G60" s="64">
        <v>6.78</v>
      </c>
      <c r="H60" s="73">
        <f t="shared" si="9"/>
        <v>481634.6568</v>
      </c>
      <c r="I60"/>
      <c r="K60"/>
      <c r="L60"/>
    </row>
    <row r="61" spans="1:12" s="11" customFormat="1" x14ac:dyDescent="0.25">
      <c r="A61" s="77" t="s">
        <v>37</v>
      </c>
      <c r="B61" s="57">
        <v>4945</v>
      </c>
      <c r="C61" s="58">
        <v>17.25</v>
      </c>
      <c r="D61" s="59">
        <v>151100</v>
      </c>
      <c r="E61" s="59">
        <v>506</v>
      </c>
      <c r="F61" s="51">
        <v>115131.61</v>
      </c>
      <c r="G61" s="64">
        <v>8.26</v>
      </c>
      <c r="H61" s="73">
        <f t="shared" si="9"/>
        <v>950987.09860000003</v>
      </c>
      <c r="I61"/>
      <c r="K61"/>
      <c r="L61"/>
    </row>
    <row r="62" spans="1:12" s="11" customFormat="1" x14ac:dyDescent="0.25">
      <c r="A62" s="77" t="s">
        <v>1</v>
      </c>
      <c r="B62" s="57">
        <v>3668</v>
      </c>
      <c r="C62" s="58">
        <v>9.2100000000000009</v>
      </c>
      <c r="D62" s="59">
        <v>156362</v>
      </c>
      <c r="E62" s="59">
        <v>478</v>
      </c>
      <c r="F62" s="51">
        <v>297828.15000000002</v>
      </c>
      <c r="G62" s="64">
        <v>4.99</v>
      </c>
      <c r="H62" s="73">
        <f t="shared" si="9"/>
        <v>1486162.4685000002</v>
      </c>
      <c r="I62"/>
      <c r="K62"/>
      <c r="L62"/>
    </row>
    <row r="63" spans="1:12" s="11" customFormat="1" x14ac:dyDescent="0.25">
      <c r="A63" s="77" t="s">
        <v>16</v>
      </c>
      <c r="B63" s="57">
        <v>4389</v>
      </c>
      <c r="C63" s="58">
        <v>11.62</v>
      </c>
      <c r="D63" s="59">
        <v>237966</v>
      </c>
      <c r="E63" s="59">
        <v>513</v>
      </c>
      <c r="F63" s="51">
        <v>425437.21</v>
      </c>
      <c r="G63" s="64">
        <v>5.45</v>
      </c>
      <c r="H63" s="73">
        <f t="shared" si="9"/>
        <v>2318632.7945000003</v>
      </c>
      <c r="I63"/>
      <c r="K63"/>
      <c r="L63"/>
    </row>
    <row r="64" spans="1:12" x14ac:dyDescent="0.25">
      <c r="A64" s="77" t="s">
        <v>17</v>
      </c>
      <c r="B64" s="57">
        <v>1850</v>
      </c>
      <c r="C64" s="58">
        <v>2.82</v>
      </c>
      <c r="D64" s="59">
        <v>90427</v>
      </c>
      <c r="E64" s="59">
        <v>0</v>
      </c>
      <c r="F64" s="51">
        <v>119365.18</v>
      </c>
      <c r="G64" s="64">
        <v>6.34</v>
      </c>
      <c r="H64" s="73">
        <f t="shared" si="9"/>
        <v>756775.24119999993</v>
      </c>
    </row>
    <row r="65" spans="1:8" ht="15.75" thickBot="1" x14ac:dyDescent="0.3">
      <c r="A65" s="79" t="s">
        <v>10</v>
      </c>
      <c r="B65" s="67">
        <v>1406</v>
      </c>
      <c r="C65" s="68">
        <v>4.84</v>
      </c>
      <c r="D65" s="69">
        <v>38480</v>
      </c>
      <c r="E65" s="69">
        <v>42</v>
      </c>
      <c r="F65" s="70">
        <v>23597</v>
      </c>
      <c r="G65" s="74">
        <v>7.63</v>
      </c>
      <c r="H65" s="80">
        <f t="shared" si="9"/>
        <v>180045.11</v>
      </c>
    </row>
    <row r="66" spans="1:8" ht="16.5" thickTop="1" thickBot="1" x14ac:dyDescent="0.3">
      <c r="A66" s="66" t="s">
        <v>38</v>
      </c>
      <c r="B66" s="52">
        <f t="shared" ref="B66:D66" si="10">SUM(B43:B65)</f>
        <v>293617</v>
      </c>
      <c r="C66" s="53">
        <f t="shared" si="10"/>
        <v>214.24</v>
      </c>
      <c r="D66" s="54">
        <f t="shared" si="10"/>
        <v>7302110</v>
      </c>
      <c r="E66" s="55">
        <f>SUM(E43:E65)</f>
        <v>30732</v>
      </c>
      <c r="F66" s="65">
        <f>SUM(F43:F65)</f>
        <v>16653728.949999999</v>
      </c>
      <c r="G66" s="71">
        <f>(G43+G44+G45+G46+G47+G48+G49+G50+G51+G52+G53+G54+G55+G56+G57+G58+G59+G60+G61+G62+G63+G64+G65)/23</f>
        <v>6.1734782608695653</v>
      </c>
      <c r="H66" s="75">
        <f>SUM(H43:H65)</f>
        <v>114717182.6108</v>
      </c>
    </row>
  </sheetData>
  <mergeCells count="14">
    <mergeCell ref="J1:K1"/>
    <mergeCell ref="E8:E9"/>
    <mergeCell ref="F8:F9"/>
    <mergeCell ref="G8:G9"/>
    <mergeCell ref="A40:A42"/>
    <mergeCell ref="B40:B42"/>
    <mergeCell ref="C40:C42"/>
    <mergeCell ref="D40:D42"/>
    <mergeCell ref="H7:H9"/>
    <mergeCell ref="E40:E42"/>
    <mergeCell ref="A8:A9"/>
    <mergeCell ref="F40:F42"/>
    <mergeCell ref="G40:G42"/>
    <mergeCell ref="H40:H42"/>
  </mergeCells>
  <pageMargins left="0.31496062992125984" right="0.31496062992125984" top="0.39370078740157483" bottom="0.19685039370078741" header="0.31496062992125984" footer="0.31496062992125984"/>
  <pageSetup paperSize="9" scale="64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workbookViewId="0">
      <selection activeCell="I1" sqref="I1"/>
    </sheetView>
  </sheetViews>
  <sheetFormatPr defaultRowHeight="15" x14ac:dyDescent="0.25"/>
  <cols>
    <col min="1" max="1" width="18.7109375" customWidth="1"/>
    <col min="2" max="2" width="0" hidden="1" customWidth="1"/>
    <col min="3" max="3" width="12.7109375" customWidth="1"/>
    <col min="4" max="4" width="0" hidden="1" customWidth="1"/>
    <col min="5" max="5" width="12.7109375" customWidth="1"/>
    <col min="6" max="6" width="0" hidden="1" customWidth="1"/>
    <col min="7" max="8" width="12.7109375" customWidth="1"/>
    <col min="11" max="11" width="18.7109375" hidden="1" customWidth="1"/>
    <col min="12" max="14" width="12.7109375" hidden="1" customWidth="1"/>
  </cols>
  <sheetData>
    <row r="1" spans="1:14" x14ac:dyDescent="0.25">
      <c r="A1" s="116" t="s">
        <v>72</v>
      </c>
    </row>
    <row r="2" spans="1:14" x14ac:dyDescent="0.25">
      <c r="A2" t="s">
        <v>70</v>
      </c>
    </row>
    <row r="3" spans="1:14" x14ac:dyDescent="0.25">
      <c r="A3" t="s">
        <v>71</v>
      </c>
      <c r="B3" s="112"/>
      <c r="C3" s="114"/>
      <c r="D3" s="112"/>
      <c r="F3" s="112"/>
      <c r="G3" s="115"/>
      <c r="H3" s="113">
        <v>91000</v>
      </c>
    </row>
    <row r="4" spans="1:14" x14ac:dyDescent="0.25">
      <c r="B4" s="112"/>
      <c r="C4" s="114"/>
      <c r="D4" s="112"/>
      <c r="F4" s="112"/>
      <c r="G4" s="115"/>
    </row>
    <row r="5" spans="1:14" ht="15.75" thickBot="1" x14ac:dyDescent="0.3">
      <c r="B5" s="112"/>
      <c r="C5" s="114"/>
      <c r="D5" s="112"/>
      <c r="F5" s="112"/>
      <c r="G5" s="115"/>
      <c r="H5" s="120" t="s">
        <v>75</v>
      </c>
    </row>
    <row r="6" spans="1:14" ht="15.75" thickBot="1" x14ac:dyDescent="0.3">
      <c r="A6" s="125"/>
      <c r="B6" s="126"/>
      <c r="C6" s="128" t="s">
        <v>61</v>
      </c>
      <c r="D6" s="129"/>
      <c r="E6" s="127" t="s">
        <v>62</v>
      </c>
      <c r="F6" s="129"/>
      <c r="G6" s="130" t="s">
        <v>63</v>
      </c>
      <c r="H6" s="124"/>
      <c r="I6" s="125"/>
    </row>
    <row r="7" spans="1:14" x14ac:dyDescent="0.25">
      <c r="A7" s="191" t="s">
        <v>33</v>
      </c>
      <c r="B7" s="194" t="s">
        <v>60</v>
      </c>
      <c r="C7" s="196" t="s">
        <v>74</v>
      </c>
      <c r="D7" s="196" t="s">
        <v>44</v>
      </c>
      <c r="E7" s="196" t="s">
        <v>44</v>
      </c>
      <c r="F7" s="196" t="s">
        <v>45</v>
      </c>
      <c r="G7" s="196" t="s">
        <v>45</v>
      </c>
      <c r="H7" s="197" t="s">
        <v>73</v>
      </c>
      <c r="K7" s="168" t="s">
        <v>33</v>
      </c>
      <c r="L7" s="171" t="s">
        <v>74</v>
      </c>
      <c r="M7" s="174" t="s">
        <v>44</v>
      </c>
      <c r="N7" s="174" t="s">
        <v>45</v>
      </c>
    </row>
    <row r="8" spans="1:14" x14ac:dyDescent="0.25">
      <c r="A8" s="192"/>
      <c r="B8" s="195"/>
      <c r="C8" s="195"/>
      <c r="D8" s="195"/>
      <c r="E8" s="195"/>
      <c r="F8" s="195"/>
      <c r="G8" s="195"/>
      <c r="H8" s="198"/>
      <c r="K8" s="169"/>
      <c r="L8" s="172"/>
      <c r="M8" s="175"/>
      <c r="N8" s="175"/>
    </row>
    <row r="9" spans="1:14" x14ac:dyDescent="0.25">
      <c r="A9" s="193"/>
      <c r="B9" s="195"/>
      <c r="C9" s="195"/>
      <c r="D9" s="195"/>
      <c r="E9" s="195"/>
      <c r="F9" s="195"/>
      <c r="G9" s="195"/>
      <c r="H9" s="198"/>
      <c r="K9" s="169"/>
      <c r="L9" s="172"/>
      <c r="M9" s="175"/>
      <c r="N9" s="175"/>
    </row>
    <row r="10" spans="1:14" x14ac:dyDescent="0.25">
      <c r="A10" s="78" t="s">
        <v>34</v>
      </c>
      <c r="B10" s="110">
        <v>37479</v>
      </c>
      <c r="C10" s="131">
        <f>SUM(H3*C6)/L24*L10</f>
        <v>7311.9810397905458</v>
      </c>
      <c r="D10" s="58">
        <v>13.24</v>
      </c>
      <c r="E10" s="59">
        <f>SUM(H3*E6)/M24*M10</f>
        <v>668.0565566953145</v>
      </c>
      <c r="F10" s="59">
        <v>1088962</v>
      </c>
      <c r="G10" s="59">
        <f>SUM(H3*G6)/N24*N10</f>
        <v>4351.7079675923078</v>
      </c>
      <c r="H10" s="117">
        <f>SUM(C10+E10+G10)</f>
        <v>12331.745564078168</v>
      </c>
      <c r="I10" s="113"/>
      <c r="K10" s="109" t="s">
        <v>34</v>
      </c>
      <c r="L10" s="110">
        <v>37237</v>
      </c>
      <c r="M10" s="58">
        <v>13.24</v>
      </c>
      <c r="N10" s="59">
        <v>1079730</v>
      </c>
    </row>
    <row r="11" spans="1:14" x14ac:dyDescent="0.25">
      <c r="A11" s="77" t="s">
        <v>14</v>
      </c>
      <c r="B11" s="110">
        <v>20825</v>
      </c>
      <c r="C11" s="131">
        <f>SUM(H3*C6)/L24*L11</f>
        <v>4083.5716546307217</v>
      </c>
      <c r="D11" s="58">
        <v>41.74</v>
      </c>
      <c r="E11" s="59">
        <f>SUM(H3*E6)/M24*M11</f>
        <v>2106.0937066814522</v>
      </c>
      <c r="F11" s="59">
        <v>881006</v>
      </c>
      <c r="G11" s="59">
        <f>SUM(H3*G6)/N24*N11</f>
        <v>3442.1146316045424</v>
      </c>
      <c r="H11" s="117">
        <f t="shared" ref="H11:H23" si="0">SUM(C11+E11+G11)</f>
        <v>9631.7799929167159</v>
      </c>
      <c r="I11" s="113"/>
      <c r="K11" s="111" t="s">
        <v>14</v>
      </c>
      <c r="L11" s="110">
        <v>20796</v>
      </c>
      <c r="M11" s="58">
        <v>41.74</v>
      </c>
      <c r="N11" s="59">
        <v>854045</v>
      </c>
    </row>
    <row r="12" spans="1:14" x14ac:dyDescent="0.25">
      <c r="A12" s="77" t="s">
        <v>8</v>
      </c>
      <c r="B12" s="110">
        <v>103882</v>
      </c>
      <c r="C12" s="131">
        <f>SUM(H3*C6)/L24*L12</f>
        <v>20209.320424662659</v>
      </c>
      <c r="D12" s="58">
        <v>16.309999999999999</v>
      </c>
      <c r="E12" s="59">
        <f>SUM(H3*E6)/M24*M12</f>
        <v>823.46548378153568</v>
      </c>
      <c r="F12" s="59">
        <v>1815970</v>
      </c>
      <c r="G12" s="59">
        <f>SUM(H3*G6)/N24*N12</f>
        <v>7298.0713587518094</v>
      </c>
      <c r="H12" s="117">
        <f t="shared" si="0"/>
        <v>28330.857267196006</v>
      </c>
      <c r="I12" s="113"/>
      <c r="K12" s="111" t="s">
        <v>8</v>
      </c>
      <c r="L12" s="110">
        <v>102918</v>
      </c>
      <c r="M12" s="58">
        <v>16.32</v>
      </c>
      <c r="N12" s="59">
        <v>1810771</v>
      </c>
    </row>
    <row r="13" spans="1:14" x14ac:dyDescent="0.25">
      <c r="A13" s="77" t="s">
        <v>11</v>
      </c>
      <c r="B13" s="110">
        <v>65692</v>
      </c>
      <c r="C13" s="131">
        <f>SUM(H3*C6)/L24*L13</f>
        <v>12780.306844664385</v>
      </c>
      <c r="D13" s="58">
        <v>13.18</v>
      </c>
      <c r="E13" s="59">
        <f>SUM(H3*E6)/M24*M13</f>
        <v>665.02911006376462</v>
      </c>
      <c r="F13" s="59">
        <v>1033753</v>
      </c>
      <c r="G13" s="59">
        <f>SUM(H3*G6)/N24*N13</f>
        <v>4159.1451016206065</v>
      </c>
      <c r="H13" s="117">
        <f t="shared" si="0"/>
        <v>17604.481056348755</v>
      </c>
      <c r="I13" s="113"/>
      <c r="K13" s="111" t="s">
        <v>11</v>
      </c>
      <c r="L13" s="110">
        <v>65085</v>
      </c>
      <c r="M13" s="58">
        <v>13.18</v>
      </c>
      <c r="N13" s="59">
        <v>1031952</v>
      </c>
    </row>
    <row r="14" spans="1:14" x14ac:dyDescent="0.25">
      <c r="A14" s="77" t="s">
        <v>18</v>
      </c>
      <c r="B14" s="110">
        <v>7584</v>
      </c>
      <c r="C14" s="131">
        <f>SUM(H3*C6)/L24*L14</f>
        <v>1492.5576142935236</v>
      </c>
      <c r="D14" s="58">
        <v>6.48</v>
      </c>
      <c r="E14" s="59">
        <f>SUM(H3*E6)/M24*M14</f>
        <v>326.45966176878278</v>
      </c>
      <c r="F14" s="59">
        <v>324528</v>
      </c>
      <c r="G14" s="59">
        <f>SUM(H3*G6)/N24*N14</f>
        <v>1304.7748331494572</v>
      </c>
      <c r="H14" s="117">
        <f t="shared" si="0"/>
        <v>3123.7921092117635</v>
      </c>
      <c r="I14" s="113"/>
      <c r="K14" s="111" t="s">
        <v>18</v>
      </c>
      <c r="L14" s="110">
        <v>7601</v>
      </c>
      <c r="M14" s="58">
        <v>6.47</v>
      </c>
      <c r="N14" s="59">
        <v>323736</v>
      </c>
    </row>
    <row r="15" spans="1:14" x14ac:dyDescent="0.25">
      <c r="A15" s="77" t="s">
        <v>15</v>
      </c>
      <c r="B15" s="110">
        <v>4081</v>
      </c>
      <c r="C15" s="131">
        <f>SUM(H3*C6)/L24*L15</f>
        <v>803.71507897689673</v>
      </c>
      <c r="D15" s="58">
        <v>13.94</v>
      </c>
      <c r="E15" s="59">
        <f>SUM(H3*E6)/M24*M15</f>
        <v>702.87219295813668</v>
      </c>
      <c r="F15" s="59">
        <v>152147</v>
      </c>
      <c r="G15" s="59">
        <f>SUM(H3*G6)/N24*N15</f>
        <v>612.63993898644696</v>
      </c>
      <c r="H15" s="117">
        <f>SUM(C15+E15+G15)</f>
        <v>2119.2272109214805</v>
      </c>
      <c r="I15" s="113"/>
      <c r="K15" s="111" t="s">
        <v>15</v>
      </c>
      <c r="L15" s="110">
        <v>4093</v>
      </c>
      <c r="M15" s="58">
        <v>13.93</v>
      </c>
      <c r="N15" s="59">
        <v>152006</v>
      </c>
    </row>
    <row r="16" spans="1:14" x14ac:dyDescent="0.25">
      <c r="A16" s="77" t="s">
        <v>35</v>
      </c>
      <c r="B16" s="110">
        <v>11876</v>
      </c>
      <c r="C16" s="131">
        <f>SUM(H3*C6)/L24*L16</f>
        <v>2327.1017349023218</v>
      </c>
      <c r="D16" s="58">
        <v>7.35</v>
      </c>
      <c r="E16" s="59">
        <f>SUM(H3*E6)/M24*M16</f>
        <v>370.86221236484602</v>
      </c>
      <c r="F16" s="59">
        <v>377694</v>
      </c>
      <c r="G16" s="59">
        <f>SUM(H3*G6)/N24*N16</f>
        <v>1521.3989890422743</v>
      </c>
      <c r="H16" s="117">
        <f t="shared" si="0"/>
        <v>4219.3629363094424</v>
      </c>
      <c r="I16" s="113"/>
      <c r="K16" s="111" t="s">
        <v>35</v>
      </c>
      <c r="L16" s="110">
        <v>11851</v>
      </c>
      <c r="M16" s="58">
        <v>7.35</v>
      </c>
      <c r="N16" s="59">
        <v>377484</v>
      </c>
    </row>
    <row r="17" spans="1:14" x14ac:dyDescent="0.25">
      <c r="A17" s="77" t="s">
        <v>9</v>
      </c>
      <c r="B17" s="110">
        <v>3105</v>
      </c>
      <c r="C17" s="131">
        <f>SUM(H3*C6)/L24*L17</f>
        <v>614.61719941306785</v>
      </c>
      <c r="D17" s="58">
        <v>3.9</v>
      </c>
      <c r="E17" s="59">
        <f>SUM(H3*E6)/M24*M17</f>
        <v>196.78403105073463</v>
      </c>
      <c r="F17" s="59">
        <v>87542</v>
      </c>
      <c r="G17" s="59">
        <f>SUM(H3*G6)/N24*N17</f>
        <v>351.97999520784958</v>
      </c>
      <c r="H17" s="117">
        <f t="shared" si="0"/>
        <v>1163.3812256716519</v>
      </c>
      <c r="I17" s="113"/>
      <c r="K17" s="111" t="s">
        <v>9</v>
      </c>
      <c r="L17" s="110">
        <v>3130</v>
      </c>
      <c r="M17" s="58">
        <v>3.9</v>
      </c>
      <c r="N17" s="59">
        <v>87332</v>
      </c>
    </row>
    <row r="18" spans="1:14" x14ac:dyDescent="0.25">
      <c r="A18" s="77" t="s">
        <v>5</v>
      </c>
      <c r="B18" s="110">
        <v>3330</v>
      </c>
      <c r="C18" s="131">
        <f>SUM(H3*C6)/L24*L18</f>
        <v>657.03167707224441</v>
      </c>
      <c r="D18" s="58">
        <v>2.89</v>
      </c>
      <c r="E18" s="59">
        <f>SUM(H3*E6)/M24*M18</f>
        <v>145.82201275298027</v>
      </c>
      <c r="F18" s="59">
        <v>126068</v>
      </c>
      <c r="G18" s="59">
        <f>SUM(H3*G6)/N24*N18</f>
        <v>508.08416291717072</v>
      </c>
      <c r="H18" s="117">
        <f t="shared" si="0"/>
        <v>1310.9378527423955</v>
      </c>
      <c r="I18" s="113"/>
      <c r="K18" s="111" t="s">
        <v>5</v>
      </c>
      <c r="L18" s="110">
        <v>3346</v>
      </c>
      <c r="M18" s="58">
        <v>2.89</v>
      </c>
      <c r="N18" s="59">
        <v>126064</v>
      </c>
    </row>
    <row r="19" spans="1:14" x14ac:dyDescent="0.25">
      <c r="A19" s="78" t="s">
        <v>36</v>
      </c>
      <c r="B19" s="110">
        <v>6320</v>
      </c>
      <c r="C19" s="131">
        <f>SUM(H3*C6)/L24*L19</f>
        <v>1242.7834680783726</v>
      </c>
      <c r="D19" s="58">
        <v>16.66</v>
      </c>
      <c r="E19" s="59">
        <f>SUM(H3*E6)/M24*M19</f>
        <v>840.62101469365098</v>
      </c>
      <c r="F19" s="59">
        <v>321355</v>
      </c>
      <c r="G19" s="59">
        <f>SUM(H3*G6)/N24*N19</f>
        <v>1293.6872940250034</v>
      </c>
      <c r="H19" s="117">
        <f t="shared" si="0"/>
        <v>3377.0917767970268</v>
      </c>
      <c r="I19" s="113"/>
      <c r="K19" s="109" t="s">
        <v>36</v>
      </c>
      <c r="L19" s="110">
        <v>6329</v>
      </c>
      <c r="M19" s="58">
        <v>16.66</v>
      </c>
      <c r="N19" s="59">
        <v>320985</v>
      </c>
    </row>
    <row r="20" spans="1:14" x14ac:dyDescent="0.25">
      <c r="A20" s="77" t="s">
        <v>2</v>
      </c>
      <c r="B20" s="110">
        <v>2599</v>
      </c>
      <c r="C20" s="131">
        <f>SUM(H3*C6)/L24*L20</f>
        <v>516.43553816497399</v>
      </c>
      <c r="D20" s="58">
        <v>6.59</v>
      </c>
      <c r="E20" s="59">
        <f>SUM(H3*E6)/M24*M20</f>
        <v>332.51455503188231</v>
      </c>
      <c r="F20" s="59">
        <v>64223</v>
      </c>
      <c r="G20" s="59">
        <f>SUM(H3*G6)/N24*N20</f>
        <v>257.71777599929845</v>
      </c>
      <c r="H20" s="117">
        <f t="shared" si="0"/>
        <v>1106.6678691961547</v>
      </c>
      <c r="I20" s="113"/>
      <c r="K20" s="111" t="s">
        <v>2</v>
      </c>
      <c r="L20" s="110">
        <v>2630</v>
      </c>
      <c r="M20" s="58">
        <v>6.59</v>
      </c>
      <c r="N20" s="59">
        <v>63944</v>
      </c>
    </row>
    <row r="21" spans="1:14" x14ac:dyDescent="0.25">
      <c r="A21" s="77" t="s">
        <v>37</v>
      </c>
      <c r="B21" s="110">
        <v>4948</v>
      </c>
      <c r="C21" s="131">
        <f>SUM(H3*C6)/L24*L21</f>
        <v>976.31843945104583</v>
      </c>
      <c r="D21" s="58">
        <v>17.25</v>
      </c>
      <c r="E21" s="59">
        <f>SUM(H3*E6)/M24*M21</f>
        <v>870.39090657055692</v>
      </c>
      <c r="F21" s="59">
        <v>151100</v>
      </c>
      <c r="G21" s="59">
        <f>SUM(H3*G6)/N24*N21</f>
        <v>608.84736380792606</v>
      </c>
      <c r="H21" s="117">
        <f t="shared" si="0"/>
        <v>2455.5567098295287</v>
      </c>
      <c r="I21" s="113"/>
      <c r="K21" s="111" t="s">
        <v>37</v>
      </c>
      <c r="L21" s="110">
        <v>4972</v>
      </c>
      <c r="M21" s="58">
        <v>17.25</v>
      </c>
      <c r="N21" s="59">
        <v>151065</v>
      </c>
    </row>
    <row r="22" spans="1:14" x14ac:dyDescent="0.25">
      <c r="A22" s="77" t="s">
        <v>1</v>
      </c>
      <c r="B22" s="110">
        <v>3687</v>
      </c>
      <c r="C22" s="131">
        <f>SUM(H3*C6)/L24*L22</f>
        <v>727.32974652587973</v>
      </c>
      <c r="D22" s="58">
        <v>9.2100000000000009</v>
      </c>
      <c r="E22" s="59">
        <f>SUM(H3*E6)/M24*M22</f>
        <v>464.71305794288872</v>
      </c>
      <c r="F22" s="59">
        <v>156362</v>
      </c>
      <c r="G22" s="59">
        <f>SUM(H3*G6)/N24*N22</f>
        <v>635.03265704368619</v>
      </c>
      <c r="H22" s="117">
        <f t="shared" si="0"/>
        <v>1827.0754615124547</v>
      </c>
      <c r="I22" s="113"/>
      <c r="K22" s="111" t="s">
        <v>1</v>
      </c>
      <c r="L22" s="110">
        <v>3704</v>
      </c>
      <c r="M22" s="58">
        <v>9.2100000000000009</v>
      </c>
      <c r="N22" s="59">
        <v>157562</v>
      </c>
    </row>
    <row r="23" spans="1:14" x14ac:dyDescent="0.25">
      <c r="A23" s="77" t="s">
        <v>16</v>
      </c>
      <c r="B23" s="110">
        <v>4364</v>
      </c>
      <c r="C23" s="131">
        <f>SUM(H3*C6)/L24*L23</f>
        <v>856.9295393733637</v>
      </c>
      <c r="D23" s="58">
        <v>11.62</v>
      </c>
      <c r="E23" s="59">
        <f>SUM(H3*E6)/M24*M23</f>
        <v>586.31549764347085</v>
      </c>
      <c r="F23" s="59">
        <v>237966</v>
      </c>
      <c r="G23" s="59">
        <f>SUM(H3*G6)/N24*N23</f>
        <v>954.79793025162337</v>
      </c>
      <c r="H23" s="117">
        <f t="shared" si="0"/>
        <v>2398.0429672684577</v>
      </c>
      <c r="I23" s="113"/>
      <c r="K23" s="111" t="s">
        <v>16</v>
      </c>
      <c r="L23" s="110">
        <v>4364</v>
      </c>
      <c r="M23" s="58">
        <v>11.62</v>
      </c>
      <c r="N23" s="59">
        <v>236901</v>
      </c>
    </row>
    <row r="24" spans="1:14" ht="15.75" thickBot="1" x14ac:dyDescent="0.3">
      <c r="A24" s="118" t="s">
        <v>38</v>
      </c>
      <c r="B24" s="119">
        <f ca="1">SUM(B10:B34)</f>
        <v>283029</v>
      </c>
      <c r="C24" s="122">
        <f>SUM(C10:C23)</f>
        <v>54600</v>
      </c>
      <c r="D24" s="121">
        <f ca="1">SUM(D10:D34)</f>
        <v>188.02</v>
      </c>
      <c r="E24" s="122">
        <f t="shared" ref="E24:H24" si="1">SUM(E10:E23)</f>
        <v>9099.9999999999964</v>
      </c>
      <c r="F24" s="122">
        <f t="shared" si="1"/>
        <v>6818676</v>
      </c>
      <c r="G24" s="122">
        <f t="shared" si="1"/>
        <v>27300.000000000004</v>
      </c>
      <c r="H24" s="122">
        <f t="shared" si="1"/>
        <v>91000</v>
      </c>
      <c r="I24" s="148"/>
      <c r="K24" s="66" t="s">
        <v>38</v>
      </c>
      <c r="L24" s="52">
        <f t="shared" ref="L24:N24" si="2">SUM(L10:L23)</f>
        <v>278056</v>
      </c>
      <c r="M24" s="53">
        <f t="shared" si="2"/>
        <v>180.35000000000005</v>
      </c>
      <c r="N24" s="54">
        <f t="shared" si="2"/>
        <v>6773577</v>
      </c>
    </row>
    <row r="25" spans="1:14" ht="15.75" thickBot="1" x14ac:dyDescent="0.3">
      <c r="H25" s="113"/>
    </row>
    <row r="26" spans="1:14" x14ac:dyDescent="0.25">
      <c r="A26" s="132" t="s">
        <v>6</v>
      </c>
      <c r="B26" s="133">
        <v>1914</v>
      </c>
      <c r="C26" s="134"/>
      <c r="D26" s="135">
        <v>7.18</v>
      </c>
      <c r="E26" s="136"/>
      <c r="F26" s="136">
        <v>51858</v>
      </c>
      <c r="G26" s="136"/>
      <c r="H26" s="137">
        <v>1000</v>
      </c>
      <c r="I26" s="108"/>
      <c r="L26" s="146">
        <v>1971</v>
      </c>
      <c r="N26" s="147">
        <v>51810</v>
      </c>
    </row>
    <row r="27" spans="1:14" x14ac:dyDescent="0.25">
      <c r="A27" s="77" t="s">
        <v>13</v>
      </c>
      <c r="B27" s="110">
        <v>1275</v>
      </c>
      <c r="C27" s="131"/>
      <c r="D27" s="58">
        <v>1.07</v>
      </c>
      <c r="E27" s="59"/>
      <c r="F27" s="59">
        <v>61976</v>
      </c>
      <c r="G27" s="59"/>
      <c r="H27" s="117">
        <v>1000</v>
      </c>
      <c r="I27" s="108"/>
      <c r="L27" s="146">
        <v>1283</v>
      </c>
      <c r="N27" s="147">
        <v>61767</v>
      </c>
    </row>
    <row r="28" spans="1:14" x14ac:dyDescent="0.25">
      <c r="A28" s="77" t="s">
        <v>3</v>
      </c>
      <c r="B28" s="110">
        <v>1316</v>
      </c>
      <c r="C28" s="131"/>
      <c r="D28" s="58">
        <v>2.14</v>
      </c>
      <c r="E28" s="59"/>
      <c r="F28" s="59">
        <v>37024</v>
      </c>
      <c r="G28" s="59"/>
      <c r="H28" s="117">
        <v>1000</v>
      </c>
      <c r="I28" s="108"/>
      <c r="L28" s="146">
        <v>1347</v>
      </c>
      <c r="N28" s="147">
        <v>37028</v>
      </c>
    </row>
    <row r="29" spans="1:14" x14ac:dyDescent="0.25">
      <c r="A29" s="77" t="s">
        <v>0</v>
      </c>
      <c r="B29" s="110">
        <v>1642</v>
      </c>
      <c r="C29" s="131"/>
      <c r="D29" s="58">
        <v>5.3</v>
      </c>
      <c r="E29" s="59"/>
      <c r="F29" s="59">
        <v>75372</v>
      </c>
      <c r="G29" s="59"/>
      <c r="H29" s="117">
        <v>1000</v>
      </c>
      <c r="I29" s="108"/>
      <c r="L29" s="146">
        <v>1641</v>
      </c>
      <c r="N29" s="147">
        <v>75013</v>
      </c>
    </row>
    <row r="30" spans="1:14" x14ac:dyDescent="0.25">
      <c r="A30" s="77" t="s">
        <v>7</v>
      </c>
      <c r="B30" s="110">
        <v>705</v>
      </c>
      <c r="C30" s="131"/>
      <c r="D30" s="58">
        <v>3.07</v>
      </c>
      <c r="E30" s="59"/>
      <c r="F30" s="59">
        <v>46029</v>
      </c>
      <c r="G30" s="59"/>
      <c r="H30" s="117">
        <v>1000</v>
      </c>
      <c r="I30" s="108"/>
      <c r="L30" s="146">
        <v>693</v>
      </c>
      <c r="N30" s="147">
        <v>46039</v>
      </c>
    </row>
    <row r="31" spans="1:14" x14ac:dyDescent="0.25">
      <c r="A31" s="77" t="s">
        <v>12</v>
      </c>
      <c r="B31" s="110">
        <v>1214</v>
      </c>
      <c r="C31" s="131"/>
      <c r="D31" s="58">
        <v>3.43</v>
      </c>
      <c r="E31" s="59"/>
      <c r="F31" s="59">
        <v>29064</v>
      </c>
      <c r="G31" s="59"/>
      <c r="H31" s="117">
        <v>1000</v>
      </c>
      <c r="I31" s="108"/>
      <c r="L31" s="146">
        <v>1218</v>
      </c>
      <c r="N31" s="147">
        <v>30432</v>
      </c>
    </row>
    <row r="32" spans="1:14" x14ac:dyDescent="0.25">
      <c r="A32" s="77" t="s">
        <v>4</v>
      </c>
      <c r="B32" s="110">
        <v>1112</v>
      </c>
      <c r="C32" s="131"/>
      <c r="D32" s="58">
        <v>4.03</v>
      </c>
      <c r="E32" s="59"/>
      <c r="F32" s="59">
        <v>53204</v>
      </c>
      <c r="G32" s="59"/>
      <c r="H32" s="117">
        <v>1000</v>
      </c>
      <c r="I32" s="108"/>
      <c r="L32" s="146">
        <v>1140</v>
      </c>
      <c r="N32" s="147">
        <v>53626</v>
      </c>
    </row>
    <row r="33" spans="1:14" x14ac:dyDescent="0.25">
      <c r="A33" s="77" t="s">
        <v>17</v>
      </c>
      <c r="B33" s="110">
        <v>1852</v>
      </c>
      <c r="C33" s="131"/>
      <c r="D33" s="58">
        <v>2.82</v>
      </c>
      <c r="E33" s="59"/>
      <c r="F33" s="59">
        <v>90427</v>
      </c>
      <c r="G33" s="59"/>
      <c r="H33" s="117">
        <v>1000</v>
      </c>
      <c r="I33" s="108"/>
      <c r="L33" s="146">
        <v>1850</v>
      </c>
      <c r="N33" s="147">
        <v>90254</v>
      </c>
    </row>
    <row r="34" spans="1:14" x14ac:dyDescent="0.25">
      <c r="A34" s="77" t="s">
        <v>10</v>
      </c>
      <c r="B34" s="110">
        <v>1405</v>
      </c>
      <c r="C34" s="131"/>
      <c r="D34" s="58">
        <v>4.84</v>
      </c>
      <c r="E34" s="59"/>
      <c r="F34" s="59">
        <v>38480</v>
      </c>
      <c r="G34" s="59"/>
      <c r="H34" s="117">
        <v>1000</v>
      </c>
      <c r="I34" s="108"/>
      <c r="L34" s="146">
        <v>1417</v>
      </c>
      <c r="N34" s="147">
        <v>37504</v>
      </c>
    </row>
    <row r="35" spans="1:14" ht="15.75" thickBot="1" x14ac:dyDescent="0.3">
      <c r="A35" s="118" t="s">
        <v>64</v>
      </c>
      <c r="B35" s="119"/>
      <c r="C35" s="122"/>
      <c r="D35" s="121"/>
      <c r="E35" s="122"/>
      <c r="F35" s="123"/>
      <c r="G35" s="123"/>
      <c r="H35" s="138">
        <f>SUM(H26:H34)</f>
        <v>9000</v>
      </c>
      <c r="I35" s="139"/>
    </row>
    <row r="36" spans="1:14" ht="15.75" thickBot="1" x14ac:dyDescent="0.3"/>
    <row r="37" spans="1:14" ht="15.75" thickBot="1" x14ac:dyDescent="0.3">
      <c r="A37" s="140" t="s">
        <v>65</v>
      </c>
      <c r="B37" s="141"/>
      <c r="C37" s="142"/>
      <c r="D37" s="143"/>
      <c r="E37" s="142"/>
      <c r="F37" s="144"/>
      <c r="G37" s="144"/>
      <c r="H37" s="145">
        <f>SUM(H24+H35)</f>
        <v>100000</v>
      </c>
      <c r="I37" s="116"/>
      <c r="L37" s="113">
        <f>SUM(L24:L34)</f>
        <v>290616</v>
      </c>
      <c r="N37" s="113">
        <f>SUM(N24:N34)</f>
        <v>7257050</v>
      </c>
    </row>
    <row r="39" spans="1:14" x14ac:dyDescent="0.25">
      <c r="A39" t="s">
        <v>66</v>
      </c>
    </row>
    <row r="40" spans="1:14" x14ac:dyDescent="0.25">
      <c r="A40" t="s">
        <v>67</v>
      </c>
    </row>
    <row r="41" spans="1:14" x14ac:dyDescent="0.25">
      <c r="A41" t="s">
        <v>68</v>
      </c>
    </row>
    <row r="42" spans="1:14" x14ac:dyDescent="0.25">
      <c r="A42" t="s">
        <v>69</v>
      </c>
    </row>
    <row r="56" spans="1:3" ht="15.75" x14ac:dyDescent="0.25">
      <c r="A56" s="149" t="s">
        <v>76</v>
      </c>
    </row>
    <row r="57" spans="1:3" ht="15.75" x14ac:dyDescent="0.25">
      <c r="A57" s="149" t="s">
        <v>77</v>
      </c>
    </row>
    <row r="58" spans="1:3" ht="15.75" x14ac:dyDescent="0.25">
      <c r="A58" s="149"/>
    </row>
    <row r="59" spans="1:3" ht="15.75" thickBot="1" x14ac:dyDescent="0.3">
      <c r="B59" s="150" t="s">
        <v>58</v>
      </c>
    </row>
    <row r="60" spans="1:3" x14ac:dyDescent="0.25">
      <c r="A60" s="187" t="s">
        <v>78</v>
      </c>
      <c r="B60" s="189" t="s">
        <v>79</v>
      </c>
      <c r="C60" s="151" t="s">
        <v>80</v>
      </c>
    </row>
    <row r="61" spans="1:3" x14ac:dyDescent="0.25">
      <c r="A61" s="188"/>
      <c r="B61" s="190"/>
      <c r="C61" s="152" t="s">
        <v>81</v>
      </c>
    </row>
    <row r="62" spans="1:3" x14ac:dyDescent="0.25">
      <c r="A62" s="153" t="s">
        <v>14</v>
      </c>
      <c r="B62" s="154">
        <v>5470</v>
      </c>
      <c r="C62" s="117">
        <v>5470</v>
      </c>
    </row>
    <row r="63" spans="1:3" x14ac:dyDescent="0.25">
      <c r="A63" s="153" t="s">
        <v>8</v>
      </c>
      <c r="B63" s="154">
        <v>17887</v>
      </c>
      <c r="C63" s="117">
        <v>17887</v>
      </c>
    </row>
    <row r="64" spans="1:3" x14ac:dyDescent="0.25">
      <c r="A64" s="153" t="s">
        <v>11</v>
      </c>
      <c r="B64" s="154">
        <v>5000</v>
      </c>
      <c r="C64" s="117">
        <v>5000</v>
      </c>
    </row>
    <row r="65" spans="1:3" x14ac:dyDescent="0.25">
      <c r="A65" s="153" t="s">
        <v>13</v>
      </c>
      <c r="B65" s="154">
        <v>387</v>
      </c>
      <c r="C65" s="117">
        <v>387</v>
      </c>
    </row>
    <row r="66" spans="1:3" x14ac:dyDescent="0.25">
      <c r="A66" s="153" t="s">
        <v>0</v>
      </c>
      <c r="B66" s="154">
        <v>36</v>
      </c>
      <c r="C66" s="117">
        <v>36</v>
      </c>
    </row>
    <row r="67" spans="1:3" x14ac:dyDescent="0.25">
      <c r="A67" s="153" t="s">
        <v>12</v>
      </c>
      <c r="B67" s="154">
        <v>11</v>
      </c>
      <c r="C67" s="117">
        <v>11</v>
      </c>
    </row>
    <row r="68" spans="1:3" x14ac:dyDescent="0.25">
      <c r="A68" s="153" t="s">
        <v>2</v>
      </c>
      <c r="B68" s="154">
        <v>431</v>
      </c>
      <c r="C68" s="117">
        <v>431</v>
      </c>
    </row>
    <row r="69" spans="1:3" x14ac:dyDescent="0.25">
      <c r="A69" s="153" t="s">
        <v>22</v>
      </c>
      <c r="B69" s="154">
        <v>658</v>
      </c>
      <c r="C69" s="117">
        <v>658</v>
      </c>
    </row>
    <row r="70" spans="1:3" x14ac:dyDescent="0.25">
      <c r="A70" s="153" t="s">
        <v>1</v>
      </c>
      <c r="B70" s="154">
        <v>1811</v>
      </c>
      <c r="C70" s="117">
        <v>1811</v>
      </c>
    </row>
    <row r="71" spans="1:3" x14ac:dyDescent="0.25">
      <c r="A71" s="153" t="s">
        <v>16</v>
      </c>
      <c r="B71" s="154">
        <v>824</v>
      </c>
      <c r="C71" s="117">
        <v>824</v>
      </c>
    </row>
    <row r="72" spans="1:3" x14ac:dyDescent="0.25">
      <c r="A72" s="153" t="s">
        <v>17</v>
      </c>
      <c r="B72" s="154">
        <v>580</v>
      </c>
      <c r="C72" s="117">
        <v>580</v>
      </c>
    </row>
    <row r="73" spans="1:3" ht="15.75" thickBot="1" x14ac:dyDescent="0.3">
      <c r="A73" s="155" t="s">
        <v>10</v>
      </c>
      <c r="B73" s="156">
        <v>700</v>
      </c>
      <c r="C73" s="157">
        <v>700</v>
      </c>
    </row>
    <row r="74" spans="1:3" ht="16.5" thickTop="1" thickBot="1" x14ac:dyDescent="0.3">
      <c r="A74" s="158" t="s">
        <v>23</v>
      </c>
      <c r="B74" s="159">
        <f>SUM(B62:B73)</f>
        <v>33795</v>
      </c>
      <c r="C74" s="160">
        <f>SUM(C62:C73)</f>
        <v>33795</v>
      </c>
    </row>
    <row r="76" spans="1:3" x14ac:dyDescent="0.25">
      <c r="A76" s="161" t="s">
        <v>82</v>
      </c>
    </row>
  </sheetData>
  <mergeCells count="14">
    <mergeCell ref="A60:A61"/>
    <mergeCell ref="B60:B61"/>
    <mergeCell ref="N7:N9"/>
    <mergeCell ref="A7:A9"/>
    <mergeCell ref="B7:B9"/>
    <mergeCell ref="C7:C9"/>
    <mergeCell ref="D7:D9"/>
    <mergeCell ref="E7:E9"/>
    <mergeCell ref="F7:F9"/>
    <mergeCell ref="G7:G9"/>
    <mergeCell ref="H7:H9"/>
    <mergeCell ref="K7:K9"/>
    <mergeCell ref="L7:L9"/>
    <mergeCell ref="M7:M9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Rozdělení neinvest. dotace MO</vt:lpstr>
      <vt:lpstr>k 1. 10.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WHO</cp:lastModifiedBy>
  <cp:lastPrinted>2016-11-29T09:40:25Z</cp:lastPrinted>
  <dcterms:created xsi:type="dcterms:W3CDTF">2015-08-10T14:08:21Z</dcterms:created>
  <dcterms:modified xsi:type="dcterms:W3CDTF">2016-11-29T09:53:34Z</dcterms:modified>
</cp:coreProperties>
</file>