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20" windowWidth="15480" windowHeight="3570" tabRatio="820" activeTab="0"/>
  </bookViews>
  <sheets>
    <sheet name="SUMÁŘ DLE §" sheetId="1" r:id="rId1"/>
    <sheet name="PODLE §" sheetId="2" r:id="rId2"/>
    <sheet name="Příloha B - Pitná voda" sheetId="3" r:id="rId3"/>
    <sheet name="Příloha C - kanalizace" sheetId="4" r:id="rId4"/>
  </sheets>
  <definedNames>
    <definedName name="_xlnm.Print_Titles" localSheetId="1">'PODLE §'!$6:$9</definedName>
    <definedName name="_xlnm.Print_Titles" localSheetId="2">'Příloha B - Pitná voda'!$5:$8</definedName>
    <definedName name="_xlnm.Print_Titles" localSheetId="3">'Příloha C - kanalizace'!$6:$9</definedName>
    <definedName name="_xlnm.Print_Titles" localSheetId="0">'SUMÁŘ DLE §'!$2:$6</definedName>
    <definedName name="_xlnm.Print_Area" localSheetId="1">'PODLE §'!$C$1:$AA$382</definedName>
    <definedName name="_xlnm.Print_Area" localSheetId="2">'Příloha B - Pitná voda'!$C$1:$Z$38</definedName>
    <definedName name="_xlnm.Print_Area" localSheetId="3">'Příloha C - kanalizace'!$C$1:$Z$76</definedName>
  </definedNames>
  <calcPr fullCalcOnLoad="1"/>
</workbook>
</file>

<file path=xl/comments2.xml><?xml version="1.0" encoding="utf-8"?>
<comments xmlns="http://schemas.openxmlformats.org/spreadsheetml/2006/main">
  <authors>
    <author>Kanclíř Dalibor</author>
  </authors>
  <commentList>
    <comment ref="E87" authorId="0">
      <text>
        <r>
          <rPr>
            <b/>
            <sz val="9"/>
            <rFont val="Tahoma"/>
            <family val="2"/>
          </rPr>
          <t>Kanclíř Dalibor:</t>
        </r>
        <r>
          <rPr>
            <sz val="9"/>
            <rFont val="Tahoma"/>
            <family val="2"/>
          </rPr>
          <t xml:space="preserve">
Fa AT38 DÚR 726+ IČ 61 = 787 tisKč ?!</t>
        </r>
      </text>
    </comment>
    <comment ref="L87" authorId="0">
      <text>
        <r>
          <rPr>
            <b/>
            <sz val="9"/>
            <rFont val="Tahoma"/>
            <family val="2"/>
          </rPr>
          <t>Kanclíř Dalibor:</t>
        </r>
        <r>
          <rPr>
            <sz val="9"/>
            <rFont val="Tahoma"/>
            <family val="2"/>
          </rPr>
          <t xml:space="preserve">
celé DÚR-převod?</t>
        </r>
      </text>
    </comment>
  </commentList>
</comments>
</file>

<file path=xl/sharedStrings.xml><?xml version="1.0" encoding="utf-8"?>
<sst xmlns="http://schemas.openxmlformats.org/spreadsheetml/2006/main" count="1055" uniqueCount="634">
  <si>
    <t>MMO - odbor školství a sportu - Klíče pro budoucnost našich dětí ve školských zařízeních města Ostravy II. (projekt EU)</t>
  </si>
  <si>
    <t>MMO - odbor strategického rozvoje - Zavedení bikesharingu v Ostravě</t>
  </si>
  <si>
    <t>MMO - odbor ochrany životního prostředí - Adaptační opatření</t>
  </si>
  <si>
    <t>Rekonstrukce vodovodu Přemyšov-Poruba</t>
  </si>
  <si>
    <t>Odpa - 2223- Bezpečnost silničního provozu</t>
  </si>
  <si>
    <t xml:space="preserve">  § 2223 - C E L K E M</t>
  </si>
  <si>
    <t>2223 - Bezpečnost silničního provozu</t>
  </si>
  <si>
    <t>MMO - odbor kultury a volnočasových aktivit - Pavilon "G" Černá louka</t>
  </si>
  <si>
    <t>Odpa - 3312 - Hudební činnost</t>
  </si>
  <si>
    <t>MMO - odbor kultury a volnočasovýck aktivit - Fond pro koncertní halu</t>
  </si>
  <si>
    <t>3312 - Hudební činnost</t>
  </si>
  <si>
    <t>Požadavek na rok 2019</t>
  </si>
  <si>
    <t>Kapitálový výhled na léta 2020 - 2022</t>
  </si>
  <si>
    <t>r. 2022</t>
  </si>
  <si>
    <t>Rozšíření útulku pro psy v Třebovicích</t>
  </si>
  <si>
    <t>Přednádraží Ostrava-Přívoz, Terminál Jirská</t>
  </si>
  <si>
    <t>SSZ K 3030 Výškovická x Pavlovova</t>
  </si>
  <si>
    <t>Rekonstrukce lesní cesty v Bělském lese</t>
  </si>
  <si>
    <t>Propojovací větev mezi rampou ze sil. I/56 a ul. Paskovskou na MOK u Makra</t>
  </si>
  <si>
    <t>Přednádraží Ostrava-Přívoz, Prodloužená ul. Skladištní</t>
  </si>
  <si>
    <t>Prodloužená Porážková IV. etapa (DÚR)</t>
  </si>
  <si>
    <t>Křižovatka ul. Plzeňská - napojení areálu Střelnice</t>
  </si>
  <si>
    <t>POR
SVI</t>
  </si>
  <si>
    <t>Okružní křižovatka Výstavní - Zelená</t>
  </si>
  <si>
    <t>MOP   MHH</t>
  </si>
  <si>
    <t>Nový příjezd k areálu Planetária Ostrava</t>
  </si>
  <si>
    <t>Rekonstrukce Sokolské třídy</t>
  </si>
  <si>
    <t>Přechody pro chodce v ul. Čujkovova v Ostravě</t>
  </si>
  <si>
    <t>Silnice III/4787 Ostrava, ulice Výškovická, mosty 4787-3, 4787-4 (vypořádání SO mezi MSK a SMO)</t>
  </si>
  <si>
    <t>Rekonstrukce ul.Hájkova</t>
  </si>
  <si>
    <t>Autobusová zastávka  MK ul. Karla Svobody</t>
  </si>
  <si>
    <t xml:space="preserve">Nábřeží Ostravice - lokalita Most Miloše Sýkory </t>
  </si>
  <si>
    <t xml:space="preserve">Cyklistická trasa E Hrušov - Vrbice (součást projektu "Zpřístupnění Odry a Olše") </t>
  </si>
  <si>
    <t>VÍT</t>
  </si>
  <si>
    <t>Parkoviště Hlubina</t>
  </si>
  <si>
    <t>MOP
VIT</t>
  </si>
  <si>
    <t>Cyklistická trasa J,V - úsek Radvanice - Michálkovice</t>
  </si>
  <si>
    <t>Přestupní uzel Hulváky, II. etapa, tramvajové zastávky</t>
  </si>
  <si>
    <t>Ekologizace veřejné dopravy, Ostrava-Poruba</t>
  </si>
  <si>
    <t>Rekonstrukce a revitalizace Nám. republiky</t>
  </si>
  <si>
    <t>Inteligentní zastávky - II. etapa</t>
  </si>
  <si>
    <t>Zkušební plocha pro motocykly Ostrava - Přívoz</t>
  </si>
  <si>
    <t>Výstavba nové tramvajové smyčky Ostrava - Výstaviště</t>
  </si>
  <si>
    <t>MOP SLO</t>
  </si>
  <si>
    <t>Dětské dopravní hřiště v areálu ZŠ Bílovecká ve Svinově</t>
  </si>
  <si>
    <t xml:space="preserve">Zpřístupnění školských p.o. </t>
  </si>
  <si>
    <t>Rekonstrukce divadelního sálu vč. předsálí Ostrčilova</t>
  </si>
  <si>
    <t>Divadlo loutek - fasády, okna, dřevěné prvky</t>
  </si>
  <si>
    <t xml:space="preserve">  § 3311 -  C E L K E M</t>
  </si>
  <si>
    <t xml:space="preserve">  § 3314 -  C E L K E M</t>
  </si>
  <si>
    <t xml:space="preserve">  § 3315 -  C E L K E M</t>
  </si>
  <si>
    <t>Odpa - 3319 - Ostatní záležitosti kultury</t>
  </si>
  <si>
    <t xml:space="preserve">  § 3319 -  C E L K E M</t>
  </si>
  <si>
    <t>Rekonstrukce historické budovy bývalých městských jatek pro účely galerie PLATO Ostrava</t>
  </si>
  <si>
    <t>Sportovní areál u ZŠ Bílovecká</t>
  </si>
  <si>
    <t>Rekonstrukce sportovního areálu Poruba I.etapa</t>
  </si>
  <si>
    <t>Sportovní hala Sokolovna Svinov</t>
  </si>
  <si>
    <t>Oprava fotbalového trávniku FK Stará Běla</t>
  </si>
  <si>
    <t>Dopravní hřiště Orebitská</t>
  </si>
  <si>
    <t>Odpa - 3522 - Ostatní nemocnice</t>
  </si>
  <si>
    <t>Nemocnice Fifejdy energetické hospodářství - rekonstrukce</t>
  </si>
  <si>
    <t>MNO - Výstavba nového objektu s hyperbarickou komorou</t>
  </si>
  <si>
    <t>Městská nemocnice - rekonstrukce rozvodů VN 22 kV</t>
  </si>
  <si>
    <t>Městská nemocnice - rekonstrukce rozvoden VN 22 kV</t>
  </si>
  <si>
    <t>Městská nemocnice - rekonstrukce venkovního osvětlení</t>
  </si>
  <si>
    <t>Odpa - 3524 - Léčebny dlouhodobě nemocných</t>
  </si>
  <si>
    <t>MNO-LDN Radvanice - zateplení obvodového pláště, výměna oken a dveří, oprava balkónu</t>
  </si>
  <si>
    <t>Dětské centrum Domeček - energetické hospodářství</t>
  </si>
  <si>
    <t>Dětské centrum Domeček - transformace centra</t>
  </si>
  <si>
    <t>Stavební úpravy objektu č.p.75,ul.Střelniční 8</t>
  </si>
  <si>
    <t>Rekonstrukce budovy restaurace Spolek, Nádražní 143/13, Ostrava</t>
  </si>
  <si>
    <t>PD a příprava staveb VO</t>
  </si>
  <si>
    <t>SLE</t>
  </si>
  <si>
    <t>Veřejné osvětlení Ostrava-Heřmanice, ul. Požární</t>
  </si>
  <si>
    <t>Veřejné osvětlení Ostrava-Heřmanice, ul. Vrbická</t>
  </si>
  <si>
    <t>Veřejné osvětlení Ostrava-Zábřeh, Družstvo</t>
  </si>
  <si>
    <t>Veřejné osvětlení Ostrava, ul. U Hrůbků</t>
  </si>
  <si>
    <t>Veřejné osvětlení Ostrava - Zábřeh, oblast Šaldova</t>
  </si>
  <si>
    <t>Veřejné osvětlení Ostrava - Michálkovice, ul. Radniční</t>
  </si>
  <si>
    <t>Veřejné osvětlení Ostrava - Muglinov, oblast Sklářova</t>
  </si>
  <si>
    <t>Veřejné osvětlení Ostrava - Nová Ves , ul. Novoveská</t>
  </si>
  <si>
    <t xml:space="preserve">  § 3322 -  C E L K E M</t>
  </si>
  <si>
    <t xml:space="preserve">  § 3312 -  C E L K E M</t>
  </si>
  <si>
    <t xml:space="preserve">  § 3392 -  C E L K E M</t>
  </si>
  <si>
    <t xml:space="preserve">  § 3412 -  C E L K E M</t>
  </si>
  <si>
    <t>Odpa - 3392 - Zájmové činnosti v kultuře</t>
  </si>
  <si>
    <t>Odpa  - 1014 - Ozdravování hospodářských zvířat, polních a speciálních plodin a zvláštní veterinární péče</t>
  </si>
  <si>
    <t xml:space="preserve">  § 3421 -  C E L K E M</t>
  </si>
  <si>
    <t xml:space="preserve">  § 3522 -  C E L K E M</t>
  </si>
  <si>
    <t xml:space="preserve">  § 3529 -  C E L K E M</t>
  </si>
  <si>
    <t xml:space="preserve">  § 3612 -  C E L K E M</t>
  </si>
  <si>
    <t>Odpa - 3612 - Bytové hospodářství</t>
  </si>
  <si>
    <t>Odpa - 3613 - Nebytové hospodářství</t>
  </si>
  <si>
    <t xml:space="preserve">  § 3613 -  C E L K E M</t>
  </si>
  <si>
    <t>Odpa - 3631 - Veřejné osvětlení</t>
  </si>
  <si>
    <t xml:space="preserve">  § 3631 -  C E L K E M</t>
  </si>
  <si>
    <t>Odpa - 3632 - Pohřebnictví</t>
  </si>
  <si>
    <t xml:space="preserve">  § 3635 -  C E L K E M</t>
  </si>
  <si>
    <t>Odpa - 3635 - Územní plánování</t>
  </si>
  <si>
    <t>Odpa - 3639 - Komunální služby a územní rozvoj jinde nezařazené</t>
  </si>
  <si>
    <t xml:space="preserve">  § 3639 -  C E L K E M</t>
  </si>
  <si>
    <t xml:space="preserve">  § 3699 -  C E L K E M</t>
  </si>
  <si>
    <t>Odpa - 3699 - Ostatní záležitosti bydlení, komunálních služeb a územního rozvoje</t>
  </si>
  <si>
    <t xml:space="preserve">  § 3741 -  C E L K E M</t>
  </si>
  <si>
    <t>Odpa - 3741 - Ochrana druhů a stanovišť</t>
  </si>
  <si>
    <t>Odpa - 3744 - Protierozní, protilavinová a protipož. ochrana</t>
  </si>
  <si>
    <t xml:space="preserve">  § 3744 -  C E L K E M</t>
  </si>
  <si>
    <t>Odpa - 3745 - Péče o vzhled obcí a veřejnou zeleň</t>
  </si>
  <si>
    <t xml:space="preserve">  § 3745 -  C E L K E M</t>
  </si>
  <si>
    <t xml:space="preserve">  § 4357 -  C E L K E M</t>
  </si>
  <si>
    <t xml:space="preserve">  § 4359 -  C E L K E M</t>
  </si>
  <si>
    <t>Odpa - 4359 - Ostatní služby a činnosti v oblasti sociální péče</t>
  </si>
  <si>
    <t xml:space="preserve">  § 4374 -  C E L K E M</t>
  </si>
  <si>
    <t>Odpa - 5299 - Ostatní záležitosti požární ochrany a integrovaného záchranného systému</t>
  </si>
  <si>
    <t xml:space="preserve">  § 5299 -  C E L K E M</t>
  </si>
  <si>
    <t xml:space="preserve">  § 5311 -  C E L K E M</t>
  </si>
  <si>
    <t xml:space="preserve">  § 5511 -  C E L K E M</t>
  </si>
  <si>
    <t xml:space="preserve">  § 5522 -  C E L K E M</t>
  </si>
  <si>
    <t>Odpa - 6171 - Činnost místní správa</t>
  </si>
  <si>
    <t>Odpa - 5522 - Ostatní činnosti v integrovaném záchranném systému</t>
  </si>
  <si>
    <t>Odpa - 5311 - Bezpečnost a veřejný pořádek</t>
  </si>
  <si>
    <t>Odpa - 6409 - Ostatní činnosti jinde nezařazené</t>
  </si>
  <si>
    <t xml:space="preserve">  § 6409 -  C E L K E M</t>
  </si>
  <si>
    <t>Krytí rozpočtem SMO</t>
  </si>
  <si>
    <t>3613 - Nebytové hospodářství</t>
  </si>
  <si>
    <t>Veřejné osvětlení Ostrava - Poruba, oblast V Zahradách, I. etapa</t>
  </si>
  <si>
    <t>Veřejné osvětlení Ostrava -Vítkovice, most ul. Rudná</t>
  </si>
  <si>
    <t>Veřejné osvětlení Na Zvoničce</t>
  </si>
  <si>
    <t>Věcná břemena ukončených staveb</t>
  </si>
  <si>
    <t>Energeticky úsporné akce na objektech města</t>
  </si>
  <si>
    <t>Černá louka - rekonstrukce komunikací a zp.ploch II.et</t>
  </si>
  <si>
    <t>SPZ Ostrava Mošnov - TI - II. et., plynárenské zařízení</t>
  </si>
  <si>
    <t>Nové lauby</t>
  </si>
  <si>
    <t>ZOO - energetické hospodářství</t>
  </si>
  <si>
    <t>ZOO - voliéra kondora</t>
  </si>
  <si>
    <t>ZOO expozice makaka lvího</t>
  </si>
  <si>
    <t>ZOO - expozice giboni a kopytníci</t>
  </si>
  <si>
    <t>MHaH</t>
  </si>
  <si>
    <t>NV</t>
  </si>
  <si>
    <t>Úprava výsadbových míst Prokešovo náměstí</t>
  </si>
  <si>
    <t>Revitalizace lesoparku Benátky a Hulváckého kopce</t>
  </si>
  <si>
    <t>POR
PUS</t>
  </si>
  <si>
    <t>Areál Zábřeh - energie</t>
  </si>
  <si>
    <t>Domov pro seniory Korýtko - rekonstrukce domova</t>
  </si>
  <si>
    <t>Domov Sluníčko - rekonstrukce zdroje energie</t>
  </si>
  <si>
    <t>Solární systém pro přípravu teplé vody pro Domov pro seniory Kamenec</t>
  </si>
  <si>
    <t>Transformace Domova Barevný svět II.etapa</t>
  </si>
  <si>
    <t>Transformace Domova Na Liščině II.etapa</t>
  </si>
  <si>
    <t>Domov pro seniory Sluníčko - kamerové systémy</t>
  </si>
  <si>
    <t>Domovy pro seniory - úpravny vody</t>
  </si>
  <si>
    <t>Dům pro rodinu a sociální péči</t>
  </si>
  <si>
    <t>Rekonstrukce budovy Nové radnice</t>
  </si>
  <si>
    <t>NR - rekonstrukce fasády a oken</t>
  </si>
  <si>
    <t>Budova Nová radnice - trafostanice</t>
  </si>
  <si>
    <t xml:space="preserve">Nová radnice - klimatizace </t>
  </si>
  <si>
    <t xml:space="preserve">Nová radnice – náhradní zdroj elektrické energie   </t>
  </si>
  <si>
    <t>Nová radnice - vnitřní rozvody NN - rekonstrukce</t>
  </si>
  <si>
    <t>Administrativní budova Janáčkova</t>
  </si>
  <si>
    <t>Archív města - rozšíření</t>
  </si>
  <si>
    <t>3319 - Ostatní záležitosti kultury</t>
  </si>
  <si>
    <t>3522 - Ostatní nemocnice</t>
  </si>
  <si>
    <t>3524 - Léčebny dlouhodobě nemocných</t>
  </si>
  <si>
    <t>Příprava vodohospodářských staveb - ZJ</t>
  </si>
  <si>
    <t>Příprava vodohospodářských staveb - PH</t>
  </si>
  <si>
    <t>Příprava vodohospodářských staveb - LM</t>
  </si>
  <si>
    <t>Odkanal. O.-přívozu na ÚČOV-1.et.,2.č.(V)</t>
  </si>
  <si>
    <t>Přepojování kanal.přípojek při výstavbě oddílné kanalizace</t>
  </si>
  <si>
    <t>Rekonstrukce kanalizace v ulici 1. máje u plynojemu MAN</t>
  </si>
  <si>
    <t>Obnovení DVT Muglinovský potok</t>
  </si>
  <si>
    <t>Dostavba kanalizace a rekonstrukce vodovodu Pikartská</t>
  </si>
  <si>
    <t>Dostavba kanalizace v ul. Na Svém</t>
  </si>
  <si>
    <t>MMO- útvar hlavního architekta a tavebního řádu - arch. soutěže</t>
  </si>
  <si>
    <t>MMO-odbor dopravy – podzemní parkoviště u DKMO</t>
  </si>
  <si>
    <t>Okružní křižovatka Francouzská - Jilemnického nám.</t>
  </si>
  <si>
    <t>Okružní křiž. Novinářská - Hornopolní - Novoveská</t>
  </si>
  <si>
    <t>MOR</t>
  </si>
  <si>
    <t>Kapitálový rozpočet statutárního města Ostravy pro rok 2019 - členění dle §</t>
  </si>
  <si>
    <t>MMO-odbor dopravy - Rekonstrukce přednádražního prostoru hl. nádraží</t>
  </si>
  <si>
    <t>MMO-odbor dopravy - Nová linka MHD (DOV-Karolina-centrum)</t>
  </si>
  <si>
    <t xml:space="preserve">MMO-odbor dopravy - Inteligentní zastávky, II. etapa </t>
  </si>
  <si>
    <t>MMO-odbor dopravy - Revitalizace městského mobiliáře - přístřešky</t>
  </si>
  <si>
    <t>MMO-odbor dopravy - Humanizace tramvajových tratí - zatrávnění</t>
  </si>
  <si>
    <t>MMO-odbor dopravy - Přemístění autobusové provozovny Poruba</t>
  </si>
  <si>
    <t xml:space="preserve">MMO-odbor dopravy - Prvky zvýšení bezpečnosti veřejné dopravy </t>
  </si>
  <si>
    <t>MMO-odbor dopravy - Zvýšení kvality prostředí v tramvajích</t>
  </si>
  <si>
    <t>MMO-odbor dopravy - Humanizace tramv. tratí - omezení negativních vlivů</t>
  </si>
  <si>
    <t>MMO - odbor školství a sportu - Zateplení objektu Krytý bazén Ostrava-Poruba (střechy, fasády, vstupní předprostor)</t>
  </si>
  <si>
    <t>MMO - odbor školství a sportu - Zateplení objektu Sportovní hala Ostrava (střechy, fasády, dveřní a okenní výplně)</t>
  </si>
  <si>
    <t>MMO - odbor školství a sportu - Zateplení bazénové haly Vodní svět SAREZA (střecha, fasáda, prosklená plocha, výměna VZT)</t>
  </si>
  <si>
    <t>MMO -odbor dopravně spravních činností - Výcvikový modul pro nácvik jízdy z prudkého klesání</t>
  </si>
  <si>
    <t>MMO -odbor dopravně spravních činností - Rozšíření infrastruktury centa bezpečné jízdy</t>
  </si>
  <si>
    <t>3632 - Pohřebnictví</t>
  </si>
  <si>
    <t>MMO - odbor životního prostředí - Budování veřejných WC na území města Ostravy</t>
  </si>
  <si>
    <t>MMO - odbor životního prostředí  - Rekonstrukce Krematoria Ostrava</t>
  </si>
  <si>
    <t>Odpa - 5511- Požární ochrana</t>
  </si>
  <si>
    <t>MMO - kancelář primátora - Automobilový žebřík se záchrannou výškou 30 m pro HS 1 - obměna 1 ks</t>
  </si>
  <si>
    <t>5511- Požární ochrana</t>
  </si>
  <si>
    <t>LEGENDA:</t>
  </si>
  <si>
    <t>akce nasmlouvané se zhotovitelem stavby</t>
  </si>
  <si>
    <t>vázáno jinou smlouvou, usnesením RM, ZM, apod.</t>
  </si>
  <si>
    <t>finanční údaje v tis. Kč</t>
  </si>
  <si>
    <t>(1)</t>
  </si>
  <si>
    <t>(2)</t>
  </si>
  <si>
    <t>(3)</t>
  </si>
  <si>
    <t>(4)</t>
  </si>
  <si>
    <t>(5)</t>
  </si>
  <si>
    <t>(6)</t>
  </si>
  <si>
    <t>(8)</t>
  </si>
  <si>
    <t>(9)</t>
  </si>
  <si>
    <t>(10)</t>
  </si>
  <si>
    <t>(12)</t>
  </si>
  <si>
    <t>(13)</t>
  </si>
  <si>
    <t>(14)</t>
  </si>
  <si>
    <t>(16)</t>
  </si>
  <si>
    <t>(17)</t>
  </si>
  <si>
    <t>(18)</t>
  </si>
  <si>
    <t>(20)</t>
  </si>
  <si>
    <t>(21)</t>
  </si>
  <si>
    <t>(22)</t>
  </si>
  <si>
    <t>Org.</t>
  </si>
  <si>
    <t>Název stavby</t>
  </si>
  <si>
    <t>Lokalita stavby</t>
  </si>
  <si>
    <t>Investor</t>
  </si>
  <si>
    <t>Rok</t>
  </si>
  <si>
    <t>Celkové rozpočtové náklady stavby</t>
  </si>
  <si>
    <t>Skutečné</t>
  </si>
  <si>
    <t>Očekávané</t>
  </si>
  <si>
    <t>Celková</t>
  </si>
  <si>
    <t>§</t>
  </si>
  <si>
    <t>Pol.</t>
  </si>
  <si>
    <t>zahájení</t>
  </si>
  <si>
    <t>dokončení</t>
  </si>
  <si>
    <t>krytí rozpočtem SMO</t>
  </si>
  <si>
    <t>Veřejné rozpočty (stát, EU)</t>
  </si>
  <si>
    <t>r. 2020</t>
  </si>
  <si>
    <t>Statutární město Ostrava</t>
  </si>
  <si>
    <t>Veřejné rozpočty (stát/EU)</t>
  </si>
  <si>
    <t>Jiné zdroje (vlastní zdroje, ÚMOb.)</t>
  </si>
  <si>
    <t>OdPa - 2321 - Odvádění a čištění odpadních vod a nakládání s kaly</t>
  </si>
  <si>
    <t>SBE</t>
  </si>
  <si>
    <t>Plošná kanalizace - Michálkovice, 1. a 2. et. (SANACE)</t>
  </si>
  <si>
    <t>RAB</t>
  </si>
  <si>
    <t>MIC</t>
  </si>
  <si>
    <t>PLE</t>
  </si>
  <si>
    <t>Kanalizace Krásné Pole - II. et.</t>
  </si>
  <si>
    <t>KPO</t>
  </si>
  <si>
    <t>PET</t>
  </si>
  <si>
    <t>NVE</t>
  </si>
  <si>
    <t>MOP</t>
  </si>
  <si>
    <t>Kanal. Hrabová - 4., 5., 6. stavba + odleh. (V)</t>
  </si>
  <si>
    <t>HRA</t>
  </si>
  <si>
    <t>Rekonstrukce ÚČOV Ostrava</t>
  </si>
  <si>
    <t>Kanalizace Petřkovice - B, IV. a V. etapa</t>
  </si>
  <si>
    <t>Kanalizace splašková Plesná - II. et., 2. část</t>
  </si>
  <si>
    <t>SLO</t>
  </si>
  <si>
    <t>SVI</t>
  </si>
  <si>
    <t>Kanalizace Proskovice - propojení</t>
  </si>
  <si>
    <t>PRO</t>
  </si>
  <si>
    <t>Kanalizace a vodovod ul. Frankova</t>
  </si>
  <si>
    <t>Kanalizace Nová Bělá</t>
  </si>
  <si>
    <t>NBE</t>
  </si>
  <si>
    <t>MHH</t>
  </si>
  <si>
    <t>Příprava vodohospodářských staveb - LJ</t>
  </si>
  <si>
    <t>OVA</t>
  </si>
  <si>
    <t>Příprava vodohospodářských staveb - PN</t>
  </si>
  <si>
    <t>Příprava vodohospodářských staveb - RK</t>
  </si>
  <si>
    <t>VIT</t>
  </si>
  <si>
    <t>Oprava kanalizace ul. Hradní (SANACE)</t>
  </si>
  <si>
    <t>Rek. kanalizace ul. Mánesova (SANACE)</t>
  </si>
  <si>
    <t>Příprava vodohospodářských staveb - DK</t>
  </si>
  <si>
    <t>Rekonstrukce DN 1 a 3</t>
  </si>
  <si>
    <t>Kanalizace Hrušov - osady</t>
  </si>
  <si>
    <t>Rek. kanalizace ul. Křižíkova</t>
  </si>
  <si>
    <t>OJI</t>
  </si>
  <si>
    <t>Rek. kanal. ul. Hrušovská a ul. U Parku</t>
  </si>
  <si>
    <t>TRE</t>
  </si>
  <si>
    <t xml:space="preserve">Mariánské Hory a Hulváky - rekonstrukce kanalizace  </t>
  </si>
  <si>
    <t xml:space="preserve">Rekonstrukce kanalizace ul. Soukenická, Valchařská a Gorkého  </t>
  </si>
  <si>
    <t>Odlehčovací stoka Muglinovská</t>
  </si>
  <si>
    <t>Rekonstrukce kanalizace a vodovodu ul. Moravská</t>
  </si>
  <si>
    <t>Rekonstrukce kanalizace ul. Klasná</t>
  </si>
  <si>
    <t>Rekonstrukce ČS Provozní</t>
  </si>
  <si>
    <t>Rekonstrukce kanalizace Jahodová</t>
  </si>
  <si>
    <t>ČOV Heřmanice I – česle</t>
  </si>
  <si>
    <t>Rekonstrukce vodovodu a kanalizace Radvanice a Bartovice vč. komunikace</t>
  </si>
  <si>
    <t>BAR</t>
  </si>
  <si>
    <t>POR</t>
  </si>
  <si>
    <t>Příprava VH staveb - PH</t>
  </si>
  <si>
    <t>Rek. vod. a kanal. v ul. Sokola Tůmy</t>
  </si>
  <si>
    <t>Rek.kanalizace ul.Hájkova</t>
  </si>
  <si>
    <t>Rozšíření veř. kan. sítě v areálu DIZ v Ostravě -Vítkovicích</t>
  </si>
  <si>
    <t>OdPa - 2310 - Pitná voda</t>
  </si>
  <si>
    <t xml:space="preserve">Rekonstrukce ÚV Nová Ves </t>
  </si>
  <si>
    <t>Rekonstrukce vodovodu ul. Staňkova</t>
  </si>
  <si>
    <t>Vodojem Záhumenice - nápajecí kabel</t>
  </si>
  <si>
    <t>Rek. vodovodu a kanalizace Martinovská</t>
  </si>
  <si>
    <t>MAR</t>
  </si>
  <si>
    <t>Rek. vodovodu VTP Ostrčilova</t>
  </si>
  <si>
    <t>Vodovod P. Křičky</t>
  </si>
  <si>
    <t>Rek. vod. ul. Michálkovická, Petřvaldská</t>
  </si>
  <si>
    <t>Rekonstrukce násosek Důlňák</t>
  </si>
  <si>
    <t>vázano jinou smlouvou, usnesením RM, ZM apod.</t>
  </si>
  <si>
    <t>2. PRŮMYSLOVÁ A OSTATNÍ ODVĚTVÍ HOSPODÁŘSTVÍ</t>
  </si>
  <si>
    <t>Odpa - 2212 - Silnice</t>
  </si>
  <si>
    <t>Zastávka MHD Kotva na ul. Výškovická</t>
  </si>
  <si>
    <t>SSZ Dr. Slabihoudka x 17. listopadu</t>
  </si>
  <si>
    <t>SSZ Studentská x Opavská</t>
  </si>
  <si>
    <t xml:space="preserve"> </t>
  </si>
  <si>
    <t>POL</t>
  </si>
  <si>
    <t>Komunikace - Severní spoj (DÚR)</t>
  </si>
  <si>
    <t>PUS</t>
  </si>
  <si>
    <t>MMO-odbor dopravy – Automatizovaný systém řízení městského silničního provozu</t>
  </si>
  <si>
    <t xml:space="preserve">  § 2212 - C E L K E M</t>
  </si>
  <si>
    <t>Odpa - 2219 - Ostatní záležitosti pozemních komunikací</t>
  </si>
  <si>
    <t>Cyklotrasa M přes Svinovské mosty</t>
  </si>
  <si>
    <t>Rekonstrukce komunikace pro pěší v bermě řeky Ostravice</t>
  </si>
  <si>
    <t>Cyklotrasa P - průchodnost Starobní, Provaznická, Dr. Martínka</t>
  </si>
  <si>
    <t>Cyklistická trasa U - U Výtopny, Pavlovova</t>
  </si>
  <si>
    <t>Cyklistická stezka Proskovická, Blanická</t>
  </si>
  <si>
    <t>Cyklostezka Nová Ves - vodárna</t>
  </si>
  <si>
    <t>Cyklostezka Polanka nad Odrou - železniční přejezd, ul. K Pile</t>
  </si>
  <si>
    <t>Cyklostezka Hornopolní x Varenská x Hollarova</t>
  </si>
  <si>
    <t>Cyklistické řešení na ul. Na Rovince</t>
  </si>
  <si>
    <t>Cyklostezka W Poruba - Krásné Pole</t>
  </si>
  <si>
    <t>Cyklistické propojení ul. 17.listopadu, VTP</t>
  </si>
  <si>
    <t>Cyklotrasa F - Hulváky, Stojanovo náměstí</t>
  </si>
  <si>
    <t>Cyklotrasa R - Svinov, Polanka</t>
  </si>
  <si>
    <t>Cyklotrasa F, U - Kaminského, Ječmínkova</t>
  </si>
  <si>
    <t>Cyklotrasa M - ul. 1.máje, Sokola Tůmy</t>
  </si>
  <si>
    <t>Cyklistické propojení ul. Poděbradova, Horova</t>
  </si>
  <si>
    <t>Cyklotrasa S,M - Mečníkovova, Žákovská</t>
  </si>
  <si>
    <t>Cyklostezka ul. Želivského, Na Rovince</t>
  </si>
  <si>
    <t>Propojení cyklostezek Petřkovice</t>
  </si>
  <si>
    <t>Parkoviště Most Českobratrská</t>
  </si>
  <si>
    <t>Parkovací objekty DK POKLAD</t>
  </si>
  <si>
    <t>MMO-odbor dopravy – Nákup parkovacích automatů</t>
  </si>
  <si>
    <t xml:space="preserve">  § 2219 - C E L K E M</t>
  </si>
  <si>
    <t>Odpa - 2221 - Provoz veřejné silniční dopravy</t>
  </si>
  <si>
    <t xml:space="preserve">  § 2221 - C E L K E M</t>
  </si>
  <si>
    <t>Odpa - 2229 - Ostatní záležitosti v silniční dopravě</t>
  </si>
  <si>
    <t xml:space="preserve">  § 2229 - C E L K E M</t>
  </si>
  <si>
    <t>Odpa - 2271 - Ostatní dráhy</t>
  </si>
  <si>
    <t xml:space="preserve">  § 2271 - C E L K E M</t>
  </si>
  <si>
    <t>Odpa - 2334 - Revitalizace říčních systémů</t>
  </si>
  <si>
    <t xml:space="preserve">  § 2334 -  C E L K E M</t>
  </si>
  <si>
    <t>3. SLUŽBY PRO OBYVATELSTVO</t>
  </si>
  <si>
    <t>Mateřské školy - vytápění - regulace po zateplení</t>
  </si>
  <si>
    <t xml:space="preserve">  § 3111 -  C E L K E M</t>
  </si>
  <si>
    <t>Odpa - 3113 - Základní školy</t>
  </si>
  <si>
    <t>Základní  školy - vytápění - regulace po zateplení</t>
  </si>
  <si>
    <t xml:space="preserve">  § 3113 -  C E L K E M</t>
  </si>
  <si>
    <t>Odpa - 3233 - Střediska volného času</t>
  </si>
  <si>
    <t xml:space="preserve">  § 3233 -  C E L K E M</t>
  </si>
  <si>
    <t>Odpa - 3311 - Divadelní činnost</t>
  </si>
  <si>
    <t>Odpa - 3314 - Činnosti knihovnické</t>
  </si>
  <si>
    <t>Revitalizace knihovny Podroužkova - rek. vnitřních prostor</t>
  </si>
  <si>
    <t>Odpa - 3315 - Činnosti muzeí a galerií</t>
  </si>
  <si>
    <t>Ostravské muzeum MHD</t>
  </si>
  <si>
    <t>Skořápka - centrum uměleckých terapií</t>
  </si>
  <si>
    <t>Odpa - 3412- Sportovní zařízení v majetku obce</t>
  </si>
  <si>
    <t>Odpa - 3529- Ostatní ústavní péče</t>
  </si>
  <si>
    <t xml:space="preserve">Multifunkční parkovací dům u MNO p.o. </t>
  </si>
  <si>
    <t>4. SOCIÁLNÍ VĚCI A POLITIKA ZAMĚSTNANOSTI</t>
  </si>
  <si>
    <t>Domovy pro seniory ochrana proti přepětí</t>
  </si>
  <si>
    <t>Domov pro seniory Hulváky</t>
  </si>
  <si>
    <t>Domov pro seniory Čujkovova - vzduchotechnika - rekonstrukce</t>
  </si>
  <si>
    <t>5. BEZPEČNOST STÁTU A PRÁVNÍ OCHRANA</t>
  </si>
  <si>
    <t>Revitalizace areálu kasáren Hranečník - technická a dopravní infrastruktura (III.etapa)</t>
  </si>
  <si>
    <t>Revitalizace areálu kasáren Hranečník - garáže HZS(V.etapa)</t>
  </si>
  <si>
    <t>Revitalizace areálu kasáren Hranečník - garáže MPO (IV.etapa)</t>
  </si>
  <si>
    <t>Revitalizace areálu bývalých kasáren Hranečník - SO 02 Budova PČR, SO 03 garáže PČR</t>
  </si>
  <si>
    <t>6. VŠEOBECNÁ VEŘEJNÁ SPRÁVA A SLUŽBY</t>
  </si>
  <si>
    <t xml:space="preserve">Nová radnice - ochrana proti přepětí </t>
  </si>
  <si>
    <t>MMO - ÚHA - Územní plán</t>
  </si>
  <si>
    <t>MMO - ÚHA - Územně plánovací dokumentace a územně plánovací podklady</t>
  </si>
  <si>
    <t>MMO - odbor IT outsourcing (ORJ 133)</t>
  </si>
  <si>
    <t>0000</t>
  </si>
  <si>
    <t>Kap. rezerva odboru investičního</t>
  </si>
  <si>
    <t>ODPA</t>
  </si>
  <si>
    <t xml:space="preserve">Jiné zdroje (směnky, vlastní zdroje ÚMOb., spol.) </t>
  </si>
  <si>
    <t>Jiné zdroje (směnky,vlastní zdroje, ÚMOb.)</t>
  </si>
  <si>
    <t>Jiné zdroje (směnky, vlastní zdroje, ÚMOb.)</t>
  </si>
  <si>
    <t>2.  PRŮMYSLOVÁ  A OSTATNÍ  ODVĚTVÍ  HOSPODÁŘSTVÍ</t>
  </si>
  <si>
    <t>2212 - Silnice</t>
  </si>
  <si>
    <t>2219 - Ostatní záležitosti pozemních komunikací</t>
  </si>
  <si>
    <t>2221 - Provoz veřejné silniční dopravy</t>
  </si>
  <si>
    <t>2229 - Ostatní záležitosti v silniční dopravě</t>
  </si>
  <si>
    <t>2271 - Ostatní dráhy</t>
  </si>
  <si>
    <t>2334 - Revitalizace říčních systémů</t>
  </si>
  <si>
    <t>3.  SLUŽBY  PRO  OBYVATELSTVO</t>
  </si>
  <si>
    <t>3111 - Předškolní zařízení</t>
  </si>
  <si>
    <t>3113 - Základní školy</t>
  </si>
  <si>
    <t>3233 - Střediska volného času</t>
  </si>
  <si>
    <t>3311 - Divadelní činnost</t>
  </si>
  <si>
    <t>3314 - Činnosti knihovnické</t>
  </si>
  <si>
    <t>3315 - Činnosti muzeí a galerií</t>
  </si>
  <si>
    <t>3392 - Zájmová činnost v kultuře</t>
  </si>
  <si>
    <t>3412 - Sportovní zařízení v majetku obce</t>
  </si>
  <si>
    <t>3529 - Ostatní ústavní péče</t>
  </si>
  <si>
    <t>3612 - Bytové hospodářství</t>
  </si>
  <si>
    <t>3631 - Veřejné osvětlení</t>
  </si>
  <si>
    <t>3635 - Územní plánování</t>
  </si>
  <si>
    <t>3639 - Komunální služby a územní rozvoj jinde nezařazené</t>
  </si>
  <si>
    <t>3741 - Ochrana druhů a stanovišť</t>
  </si>
  <si>
    <t>3744 - Protierozní, protilavinová a protipožární ochrana</t>
  </si>
  <si>
    <t>4.  SOCIÁLNÍ  VĚCI  A  POLITIKA  ZAMĚSTNANOSTI</t>
  </si>
  <si>
    <t>5.  BEZPEČNOST  STÁTU  A  PRÁVNÍ  OCHRANA</t>
  </si>
  <si>
    <t>5311 - Bezpečnost a veřejný pořádek</t>
  </si>
  <si>
    <t>5522 - Ost. činnosti v integrovaném záchranném systému</t>
  </si>
  <si>
    <t>6.  VŠEOBECNÁ  VEŘEJNÁ  SPRÁVA  A  SLUŽBY</t>
  </si>
  <si>
    <t>6171 - Činnost místní správy</t>
  </si>
  <si>
    <t>6409 - Ostatní činnosti jinde nezařazené</t>
  </si>
  <si>
    <t xml:space="preserve">      C   E   L   K   E   M - mezisoučet bez fondů</t>
  </si>
  <si>
    <t xml:space="preserve">      C   E   L   K   E   M   včetně fondů</t>
  </si>
  <si>
    <t>Kapitálové výdaje SMO</t>
  </si>
  <si>
    <t>Navržené krytí kapitálových výdajů</t>
  </si>
  <si>
    <t>Městská policie - Obnova vozového parku</t>
  </si>
  <si>
    <t>MMO - odbor majektový - Výkupy staveb dle potřeb SMO</t>
  </si>
  <si>
    <t>Odpa - 4357- Domovy pro osoby se zdravotním postižením a domovy se zvláštním režimem</t>
  </si>
  <si>
    <t xml:space="preserve">MMO-odbor dopravy - Spolufinancování investičních staveb </t>
  </si>
  <si>
    <t>4357 - Domovy pro osoby se zdravotním postižením a domovy se zvláštním režimem</t>
  </si>
  <si>
    <t>1. ZEMĚDĚLSTVÍ, LESNÍ HOSPODÁŘSTVÍ A RYBÁŘSTVÍ</t>
  </si>
  <si>
    <t xml:space="preserve">  § 1014 - C E L K E M</t>
  </si>
  <si>
    <t>1.  ZEMEDĚLSTVÍ, LESNÍ  HOSPODÁŘSTVÍ a RYBAŘSTVÍ</t>
  </si>
  <si>
    <t>1014 - Ozdravování hospodářských zvířat, polních a speciálních plodin a zvláštní veterinární péče</t>
  </si>
  <si>
    <t>SSZ K 1021 Sokolská x Českobratrská</t>
  </si>
  <si>
    <t xml:space="preserve">  § 2310 - C E L K E M</t>
  </si>
  <si>
    <t xml:space="preserve">  § 2321 - C E L K E M</t>
  </si>
  <si>
    <t>ORJ</t>
  </si>
  <si>
    <t>SAREZA - Modernizace a revitalizace venk. areálu Krytého bazénu Ostrava-Poruba   III. etapa</t>
  </si>
  <si>
    <t>Odpa - 3111 - Předškolní zařízení</t>
  </si>
  <si>
    <t>PD a příprava staveb zajišťovaných OI MMO</t>
  </si>
  <si>
    <t>MMO - odbor kultury a volnočasových aktivit - Rekonstrukce a modernizace DK POKLAD</t>
  </si>
  <si>
    <t>MMO - odbor kultury a volnočasových aktivit - Interiéry DK POKLAD</t>
  </si>
  <si>
    <t>Vícepodlažní parkování u ZOO Ostrava</t>
  </si>
  <si>
    <t>ZDROJE VLASTNÍ</t>
  </si>
  <si>
    <t>Jiné zdroje (vlastní zdroje, ÚMOb., spol.)</t>
  </si>
  <si>
    <t xml:space="preserve">Cyklopropojení centra s DOV </t>
  </si>
  <si>
    <t>Hasičská zbrojnice Pustkovec</t>
  </si>
  <si>
    <t>MMO - odbor ochrany životního prostředí - Protipovodňová opatření pro zástavbu Polanky nad Odrou</t>
  </si>
  <si>
    <t>3745 - Péče o vzhled obcí a veřejnou zeleň</t>
  </si>
  <si>
    <t>r. 2021</t>
  </si>
  <si>
    <t>(7)</t>
  </si>
  <si>
    <t>(11)</t>
  </si>
  <si>
    <t>(15)</t>
  </si>
  <si>
    <t>Rekonstrukce celého chirurgického oddělení a oddělení ARO v části monobloku E2 a E4 v areálu MNO</t>
  </si>
  <si>
    <t>Stavební úpravy v pavilonu H2 - zřízení metabolické JIP a nové chráněné únikové cesty v pavilonu H1 a H2</t>
  </si>
  <si>
    <t>Energetické úspory MNO - Lékařská pohotovostní služba a autodílny MNO</t>
  </si>
  <si>
    <t>Energetické úspory MNO - Centrální sklad, sklad oddělení zásobování</t>
  </si>
  <si>
    <t>Stavební úpravy objektu na ul. Nemocniční 947/18</t>
  </si>
  <si>
    <t>Stavební úpravy objektu na ul. Hornopolní 1169/7</t>
  </si>
  <si>
    <t>Výstavba pavilonu X a pavilonu Y</t>
  </si>
  <si>
    <t>Energetické úspory LDN Radvanice</t>
  </si>
  <si>
    <t>Úprava přechodu na silnici I/58 ul. Plzeňská</t>
  </si>
  <si>
    <t>Rekonstrukce ul. Mánesova</t>
  </si>
  <si>
    <t>Rek. vod. a kanalizace na ul. Čs. legií a nám. Msgre Šrámka</t>
  </si>
  <si>
    <t>Posílení vodovodu ul. Na Rovince, DN 300</t>
  </si>
  <si>
    <t>Rek. vod. a kanal. ul. Českobratrská a Sadová a Úprava povrchů ul. Českobratrská v úseku Nádražní-Sokolská třída, č.2-ul.Sadová</t>
  </si>
  <si>
    <t>Rek. kanalizace ul. Cihelní</t>
  </si>
  <si>
    <t>Dostavba kanalizace v ul. Chrobákova</t>
  </si>
  <si>
    <t xml:space="preserve">Rekonstrukce kanalizace ul. Výstavní </t>
  </si>
  <si>
    <t>Odkanal. ulic K Odře a Smrčkova vč. komunikace</t>
  </si>
  <si>
    <t>Rekonstrukce tramvajové zastávky Důl Odra</t>
  </si>
  <si>
    <t>Revitalizace Pustkoveckého údolí</t>
  </si>
  <si>
    <t>Záchytné parkoviště Kolonie Jeremenko - ul. Moravská, ul. Místecká</t>
  </si>
  <si>
    <t>Revitalizace zahrady Armády spásy</t>
  </si>
  <si>
    <t>Městečko bezpečí</t>
  </si>
  <si>
    <t>Domov Magnolie - vzduchotechniky - rekonstrukce</t>
  </si>
  <si>
    <t>Domov Korýtko - rekonstrukce ležatých rozvodů SV + TUV</t>
  </si>
  <si>
    <t>Domov Korýtko - rekonstrukce výměníkové stanice</t>
  </si>
  <si>
    <t>Domovy IRIS a Kamenec - přechod NN na VN</t>
  </si>
  <si>
    <t>Rekonstrukce a prodloužení ulice Thomayerova, Ostrava</t>
  </si>
  <si>
    <t>Rekonstrukce VO - stavby se sítí NN</t>
  </si>
  <si>
    <t>Rekonstrukce VO nám. Jana Nerudy</t>
  </si>
  <si>
    <t>Rekonstrukce VO Porubská - B. Martinů</t>
  </si>
  <si>
    <t>Rekonstrukce VO oblast Kafkova - Nemocniční</t>
  </si>
  <si>
    <t>Rekonstrukce VO oblast Garbova - Sněžná</t>
  </si>
  <si>
    <t>Rekonstrukce VO oblast Slívova</t>
  </si>
  <si>
    <t>Rekonstrukce VO lesopark Bělský les</t>
  </si>
  <si>
    <t>Rekonstrukce VO oblast Petruškova</t>
  </si>
  <si>
    <t>Veřejné osvětlení Mjr. Nováka</t>
  </si>
  <si>
    <t>Veřejné osvětlení V. Košaře</t>
  </si>
  <si>
    <t>Rekonstrukce objektu Husova 7</t>
  </si>
  <si>
    <t>Parkoviště v Ostravě-Přívoze u tramvajové smyčky Hlučínská</t>
  </si>
  <si>
    <t>Revitalizace okolí řeky Ostravice (Havlíčkovo nábřeží)</t>
  </si>
  <si>
    <t>Rekonstrukce podchodu pod ul. Místeckou</t>
  </si>
  <si>
    <t>Propojení cyklostezek Polanka nad Odrou - Stará Bělá</t>
  </si>
  <si>
    <t>Využití řek Ostravice, Odry a Opavy pro sportovní plavbu</t>
  </si>
  <si>
    <t>Odpa - 3322 - Zachování a obnova kulturních památek</t>
  </si>
  <si>
    <t>3322 - Zachování a obnova kulturních památek</t>
  </si>
  <si>
    <t>3699 - Ostatní záležitosti bydlení, komunálních služeb a územního rozvoje</t>
  </si>
  <si>
    <t>4374 - Azylové domy, nízkoprahová denní centra a noclehárny</t>
  </si>
  <si>
    <t>Odpa - 4374 - Azylové domy, nízkoprahová denní centra a noclehárny</t>
  </si>
  <si>
    <t>5299 - Ostatní činnosti v integrovaném záchranném systému</t>
  </si>
  <si>
    <t>4359 - Ostatní služby a činnosti v oblasti sociální péče</t>
  </si>
  <si>
    <t>Propojení Francouzská-Rudná</t>
  </si>
  <si>
    <t>MMO - odbor strategického rozvoje - MSIC investice</t>
  </si>
  <si>
    <t>Odpa - 3421 - Využití volného času dětí a mládeže</t>
  </si>
  <si>
    <t>3421 - Využití volného času dětí a mládeže</t>
  </si>
  <si>
    <t>Odkanal. lokality Na Pastvinách</t>
  </si>
  <si>
    <t>Modernizace podchodu u tramvajové zastávky Důl Hlubina</t>
  </si>
  <si>
    <t>JIH</t>
  </si>
  <si>
    <t>Fond pro rozvoj Městské nemocnice Ostrava</t>
  </si>
  <si>
    <t>Jiné spolifinancování</t>
  </si>
  <si>
    <t>Kanalizace Bartovice (V)</t>
  </si>
  <si>
    <t>Kanalizace Kunčičky (V)</t>
  </si>
  <si>
    <t>Kanalizace Hrušov (V)</t>
  </si>
  <si>
    <t>Odkanalizování jižní části Svinova (SANACE) (V)</t>
  </si>
  <si>
    <t>Kanaliz. Heřmanice (Vrbická, Záblatská) (SANACE) (V)</t>
  </si>
  <si>
    <t>Kanalizace Koblov (SANACE) (V)</t>
  </si>
  <si>
    <t>Kanalizace ul. Zvěřinská (V)</t>
  </si>
  <si>
    <t>Rek.kanalizace ul.Slívova a Jan Marie (V)</t>
  </si>
  <si>
    <t>Kanalizace Heřmanice - Bučina (V)</t>
  </si>
  <si>
    <t>Zrušení vyústění kanalizace Na Sovinci (V)</t>
  </si>
  <si>
    <t>Rek. ČSOV Pašerových, kanal. v ul. Grmelova (V)</t>
  </si>
  <si>
    <t>Kanalizace a ČOV Koblov (V)</t>
  </si>
  <si>
    <t>Propojení kanalizace  ul.Trnkovecká a Těšínská na sběrač B (V)</t>
  </si>
  <si>
    <t>Revitalizace knihovny Podroužkova - zpevněné plochy</t>
  </si>
  <si>
    <t>MMO - odbor kultury a volnočasových aktivit - ND moravskoslezské - Oprava dvorních fasád DJM</t>
  </si>
  <si>
    <t xml:space="preserve">MMO – odbor školství a sportu -   Bazaly – rekonstrukce stadionu                          </t>
  </si>
  <si>
    <t>MMO – odbor školství a sportu - Stavební úpravy OSTRAVAR ARÉNA</t>
  </si>
  <si>
    <t xml:space="preserve">MMO - odbor hospodářské správy (ORJ 136) </t>
  </si>
  <si>
    <t>MMO - odbor IT outsourcing (ORJ 134)</t>
  </si>
  <si>
    <t>Třebovice - sportovní víceúčelová hala</t>
  </si>
  <si>
    <t>Mezinárodní kulturní centrum - budova č.p.3204, ul. Stodolní, Moravská Ostrav (meet factory)</t>
  </si>
  <si>
    <t>Nová Bělá - sportovní hala</t>
  </si>
  <si>
    <t>MMO - odbor dopravy - Silnice II/478 prodloužená Mostní II. etapa (dotace SMO MSK)</t>
  </si>
  <si>
    <t>MMO - odbor dopravy - Tunel pro tranzitní dopravu ul. Bohumínská</t>
  </si>
  <si>
    <t>Veřejné osvětlení Plesná</t>
  </si>
  <si>
    <t>NOB</t>
  </si>
  <si>
    <t>MMO - odbor kultury a volnočasových aktivit - ND moravskoslezské - Rekonstrukce areálu DJM</t>
  </si>
  <si>
    <t>Revitalizace vodní plochy Radvanice</t>
  </si>
  <si>
    <t>Stavební úpravy opevnění bermy řeky Ostravice</t>
  </si>
  <si>
    <t>Stavební úpravy Jantarové stezky v k.ú. Martinov ve Slezsku</t>
  </si>
  <si>
    <t>Regulační vodárenský uzel PZ Mošnov 
(PZ Mošnov - SPZ Ostrava Mošnov TI – II.etapa, vodovody)</t>
  </si>
  <si>
    <t>Moš</t>
  </si>
  <si>
    <t>Prodloužení sběrače B do Radvanic (SANACE) (V)</t>
  </si>
  <si>
    <t xml:space="preserve">  § 3524 -  C E L K E M</t>
  </si>
  <si>
    <t>Odpa - 3599- Ostatní činnosti ve zdravotnictví</t>
  </si>
  <si>
    <t xml:space="preserve">  § 3599 -  C E L K E M</t>
  </si>
  <si>
    <t>3599 - Ostatní činnosti ve zdravotnictví</t>
  </si>
  <si>
    <t xml:space="preserve">  § 3632 -  C E L K E M</t>
  </si>
  <si>
    <t xml:space="preserve">  § 6171 -  C E L K E M</t>
  </si>
  <si>
    <t>Rekonstrukce VO oblast B. Nikodéma</t>
  </si>
  <si>
    <t>Rekonstrukce VO oblast Lumírova Charvatská</t>
  </si>
  <si>
    <t>Rekonjstrukce VO oblast Šeříkova - na Výspě</t>
  </si>
  <si>
    <t>Doplnění VO ul. Podolí</t>
  </si>
  <si>
    <t>Osvětlení přechodů pro chodce ul. Nádražní</t>
  </si>
  <si>
    <t>Rekonstrukce VO Červeného kříže - Bozděchova</t>
  </si>
  <si>
    <t>Doplnění VO hřbitov Radvanice a modernizace ul. Paculova</t>
  </si>
  <si>
    <t>Doplnění VO Hvězdná</t>
  </si>
  <si>
    <r>
      <t>Plnění po r.</t>
    </r>
    <r>
      <rPr>
        <b/>
        <sz val="11"/>
        <rFont val="Arial"/>
        <family val="2"/>
      </rPr>
      <t>2022</t>
    </r>
  </si>
  <si>
    <r>
      <t xml:space="preserve">plnění do </t>
    </r>
    <r>
      <rPr>
        <b/>
        <sz val="11"/>
        <rFont val="Arial"/>
        <family val="2"/>
      </rPr>
      <t>12/2017</t>
    </r>
  </si>
  <si>
    <r>
      <t>plnění v roce</t>
    </r>
    <r>
      <rPr>
        <b/>
        <sz val="9"/>
        <rFont val="Arial"/>
        <family val="2"/>
      </rPr>
      <t xml:space="preserve"> </t>
    </r>
    <r>
      <rPr>
        <b/>
        <sz val="11"/>
        <rFont val="Arial"/>
        <family val="2"/>
      </rPr>
      <t>2018</t>
    </r>
  </si>
  <si>
    <r>
      <t>finanční potřeba na rok</t>
    </r>
    <r>
      <rPr>
        <b/>
        <sz val="9"/>
        <rFont val="Arial"/>
        <family val="2"/>
      </rPr>
      <t xml:space="preserve"> </t>
    </r>
    <r>
      <rPr>
        <b/>
        <sz val="11"/>
        <rFont val="Arial"/>
        <family val="2"/>
      </rPr>
      <t>2019</t>
    </r>
  </si>
  <si>
    <r>
      <t>Předpokl. nedočerpané prostředky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r.2018</t>
    </r>
  </si>
  <si>
    <t>Příprava vodohospodářských staveb -PH</t>
  </si>
  <si>
    <r>
      <t xml:space="preserve">Příprava vodohospodářských staveb 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PH</t>
    </r>
  </si>
  <si>
    <t>MMO-odbor dopravy – Parkovací dům Porážková - Švabinského</t>
  </si>
  <si>
    <t>MMO-odbor dopravy – Parkovací dům - Plynárny</t>
  </si>
  <si>
    <t>MMO-odbor dopravy - Inteligentní parkovací systém</t>
  </si>
  <si>
    <t>Domovy pro seniory - LEGIONELLA</t>
  </si>
  <si>
    <t>Heřmanice - rekonstrukce vodovodu a kanalizace, lokalita Bučina</t>
  </si>
  <si>
    <t xml:space="preserve">Rekonstrukce vodovodu Marianskohorská ÚV Nová Ves </t>
  </si>
  <si>
    <t>Nouzové napájení úpravny vody a prameniště Nová Ves</t>
  </si>
  <si>
    <t>Kanalizace Plesná - Žižkov</t>
  </si>
  <si>
    <t>Rekonstrukce sběrače D</t>
  </si>
  <si>
    <t>Rekonstrukce vodovodu a kanalizace ul. Českobratrská a Sadová a Úprava povrchů ul. Českobratrská v úseku Nádražní-Sokolská třída</t>
  </si>
  <si>
    <t>MO</t>
  </si>
  <si>
    <t>Domovy pro seniory-rekonstrukce trafostanic</t>
  </si>
  <si>
    <t>Rekonstrukce vily na Zapadlém (Grossmanova vila)</t>
  </si>
  <si>
    <t>Odpa - 3722 - Sběr a svoz komunálních odpadů</t>
  </si>
  <si>
    <t xml:space="preserve">  § 3722 -  C E L K E M</t>
  </si>
  <si>
    <t>3722 - Sběr a svoz komunálního odpadu</t>
  </si>
  <si>
    <t>Odpa - 3419 - Ostatní tělovýchovná činnost</t>
  </si>
  <si>
    <t>3419 - Ostatní tělovýchovná činnost</t>
  </si>
  <si>
    <t>MMO – odbor školství a sportu - SKSB - ME v softballu žen</t>
  </si>
  <si>
    <t>MMO – odbor školství a sportu - Stavební úpravy Městský stadion</t>
  </si>
  <si>
    <t>- nedočerpané prostředky odboru investičního (ORJ 230)</t>
  </si>
  <si>
    <t>- nedočerpané prostředky odboru kultury a volnočasových aktivit  - Fond pro koncertní halu (ORJ 160, § 3312)</t>
  </si>
  <si>
    <t xml:space="preserve">- nedočerpané odboru investičního - Fond pro rozvoj Městské nemocnice Ostrava (ORJ 230, § 3522, § 3524) </t>
  </si>
  <si>
    <t xml:space="preserve">- nedočerpané prostředky odboru sociální věcí a zdravotnictví - Fond pro rozvoj Městské nemocnice Ostrava (ORJ 170, § 3599) </t>
  </si>
  <si>
    <t>- nedočerpané prostředky odboru školství a sportu (ORJ 161, § 3412)</t>
  </si>
  <si>
    <t>MMO - odbor ochrany životního prostředí - Vybudování podzemních kontejnerů na odpad</t>
  </si>
  <si>
    <t xml:space="preserve">MÚK Místecká - Moravská </t>
  </si>
  <si>
    <t>Rekonstrukce křižovatky ul. 28. října, sil. II/479 s MK ul. Železárenská a Sokola Tůmy</t>
  </si>
  <si>
    <t>Městský mobiliář Smetanovo náměstí</t>
  </si>
  <si>
    <t xml:space="preserve">MOP </t>
  </si>
  <si>
    <t xml:space="preserve">Změny uspořádání areálu Provoz kanalizační sítě v Ostravě - Třebovicích vyvolané stavbou severního spoje                                                                                        </t>
  </si>
  <si>
    <t xml:space="preserve">MMO - odbor majetkový - Výkupy pozemků dle potřeb SMO </t>
  </si>
  <si>
    <r>
      <t xml:space="preserve">MMO - odbor hospodářské správy (ORJ 130)   </t>
    </r>
    <r>
      <rPr>
        <sz val="10"/>
        <color indexed="10"/>
        <rFont val="Arial"/>
        <family val="2"/>
      </rPr>
      <t xml:space="preserve">            </t>
    </r>
  </si>
  <si>
    <t xml:space="preserve">Revitalizace parku u Biskupství                                                                     </t>
  </si>
  <si>
    <r>
      <t xml:space="preserve">Cingrův sad </t>
    </r>
    <r>
      <rPr>
        <sz val="10"/>
        <color indexed="10"/>
        <rFont val="Arial"/>
        <family val="2"/>
      </rPr>
      <t xml:space="preserve">                                                                                                                 </t>
    </r>
  </si>
  <si>
    <t xml:space="preserve">Park U Boříka)                                                                                                    </t>
  </si>
  <si>
    <r>
      <t xml:space="preserve">Parková úprava na Prokešově náměstí                                                               </t>
    </r>
    <r>
      <rPr>
        <sz val="10"/>
        <color indexed="10"/>
        <rFont val="Arial"/>
        <family val="2"/>
      </rPr>
      <t xml:space="preserve"> </t>
    </r>
  </si>
  <si>
    <t xml:space="preserve">Smetanův sad                                                                                                              </t>
  </si>
  <si>
    <t xml:space="preserve">Park u Zámku Zábřeh                                                                                      </t>
  </si>
  <si>
    <t xml:space="preserve">Parková úprava za Poliklinikou Hrabůvka                                           </t>
  </si>
  <si>
    <t>MMO - odbor dopravy - Zvýšení propustnosti křižovatek v Ostravě</t>
  </si>
  <si>
    <t>MMO – odbor školství a sportu - Hala pro míčové sporty</t>
  </si>
  <si>
    <t>- nedočerpané prostředky odboru majetkového (ORJ 137, § 3639)</t>
  </si>
  <si>
    <t>MMO - odbo hospodářské správy (ORJ 130)</t>
  </si>
  <si>
    <t>MMO - útvar hlavního architekta a tavebního řádu - IZ pro koncertní halu</t>
  </si>
  <si>
    <t>- nedočerpané prostředky odboru školství a sportu  (ORJ 140, § 3233)</t>
  </si>
  <si>
    <t>MMO - odbor sociálních věcí a zdravotnictví - Městská nemocnice -ostatní projekty</t>
  </si>
  <si>
    <t>Srovnání zdrojů x kapitálových výdajů statutárního města Ostravy v roce 2019</t>
  </si>
  <si>
    <t>Nedočerpané prostředky r.2018</t>
  </si>
  <si>
    <t>MMO - odbor kultury a volnočasových aktivit - Divadlo loutek - Modernizace světelného parku a dokončení modernizace zvukového parku - digitalizace (2.etapa) v Hlavním sále</t>
  </si>
  <si>
    <r>
      <t xml:space="preserve">Kapitálový rozpočet statutárního města Ostravy pro rok 2019 </t>
    </r>
    <r>
      <rPr>
        <sz val="22"/>
        <rFont val="Arial"/>
        <family val="2"/>
      </rPr>
      <t xml:space="preserve">- </t>
    </r>
    <r>
      <rPr>
        <u val="single"/>
        <sz val="22"/>
        <rFont val="Arial"/>
        <family val="2"/>
      </rPr>
      <t>členění dle § rozpočtové skladby (OdPa)</t>
    </r>
  </si>
  <si>
    <t>- nedočerpané prostředky odboru  ochrany životního prostředí ( ORJ 190, § 3745)</t>
  </si>
  <si>
    <t>- nedočerpané prostředky odboru hospodářské správy (ORJ 130, § 5311, § 6171)</t>
  </si>
  <si>
    <t>- nedočerpané prostředky  útvar hlavního architekta a tavebního řádu (ORJ 210, § 3312)</t>
  </si>
  <si>
    <t>Financování z předpokládaného přebytek 2018</t>
  </si>
  <si>
    <t xml:space="preserve">  § 3419 -  C E L K E M</t>
  </si>
  <si>
    <t>MMO - odbor dopravy - Silnice II/478 prodloužená Mostní I. etapa (dotace SMO MSK)</t>
  </si>
  <si>
    <t>MMO - odbor dopravy - MÚK Bazaly - II. Etapa (dotace SMO MSK)</t>
  </si>
  <si>
    <t xml:space="preserve">MMO - odbor financí a rozpočtu - Rezerva - Výkupy pozemků dle potřeb SMO </t>
  </si>
  <si>
    <t>MMO - odbor dopravy - Nová Krmelínská (dotace SMO MSK)</t>
  </si>
  <si>
    <t>MMO - odbor dopravy - Okružní křižovatka Mostní Frýdecká (dotace SMO MSK)</t>
  </si>
  <si>
    <t>- rezerva  - Výkupy pozemků dle potřeb SMO (ORJ 120, § 3639)</t>
  </si>
  <si>
    <t xml:space="preserve"> Příloha č. 7</t>
  </si>
  <si>
    <t>MMO - odbor sociálních věcí a zdravotnictví - Transformace pobytových služeb Čtyřlístek I. etapa</t>
  </si>
  <si>
    <t>MMO - odbor sociálních věcí a zdravotnictví  - Transformace pobytových služeb Čtyřlístek 2b.etapa</t>
  </si>
  <si>
    <t>Odpa  - 1031 - Pěstební činnost</t>
  </si>
  <si>
    <t>1031 - Pěstební činnost</t>
  </si>
  <si>
    <t xml:space="preserve">  § 1031 - C E L K E M</t>
  </si>
  <si>
    <t>Odpa - 3793 - Ekologie v dopravě</t>
  </si>
  <si>
    <t xml:space="preserve">  § 3793 -  C E L K E M</t>
  </si>
  <si>
    <t>3793 - Ekologie v dopravě</t>
  </si>
  <si>
    <t>MMO - odbor ochrany životního prostředí - Adaptační opatření - pítka</t>
  </si>
  <si>
    <t>PŘÍLOHA C - Fond pro kanalizace, § 2321</t>
  </si>
  <si>
    <t>PŘÍLOHA B - Fond pro vodovody, § 2310</t>
  </si>
  <si>
    <t>Fond pro vodovody (§2310)</t>
  </si>
  <si>
    <t>Fond pro kanalizace (§2321)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</si>
</sst>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96">
    <font>
      <sz val="10"/>
      <name val="Arial"/>
      <family val="2"/>
    </font>
    <font>
      <sz val="10"/>
      <name val="Arial CE"/>
      <family val="2"/>
    </font>
    <font>
      <b/>
      <sz val="20"/>
      <name val="Arial CE"/>
      <family val="2"/>
    </font>
    <font>
      <b/>
      <sz val="24"/>
      <name val="Arial"/>
      <family val="2"/>
    </font>
    <font>
      <b/>
      <sz val="13"/>
      <name val="Arial CE"/>
      <family val="2"/>
    </font>
    <font>
      <sz val="11"/>
      <name val="Arial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sz val="11"/>
      <name val="Arial CE"/>
      <family val="2"/>
    </font>
    <font>
      <sz val="14"/>
      <name val="Arial"/>
      <family val="2"/>
    </font>
    <font>
      <sz val="12"/>
      <name val="Arial"/>
      <family val="2"/>
    </font>
    <font>
      <sz val="13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3"/>
      <name val="Arial"/>
      <family val="2"/>
    </font>
    <font>
      <sz val="10"/>
      <color indexed="62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sz val="7"/>
      <name val="Arial"/>
      <family val="2"/>
    </font>
    <font>
      <sz val="11"/>
      <color indexed="16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trike/>
      <sz val="10"/>
      <name val="Arial"/>
      <family val="2"/>
    </font>
    <font>
      <b/>
      <sz val="18"/>
      <color indexed="53"/>
      <name val="Arial"/>
      <family val="2"/>
    </font>
    <font>
      <sz val="18"/>
      <color indexed="53"/>
      <name val="Arial"/>
      <family val="2"/>
    </font>
    <font>
      <b/>
      <sz val="10"/>
      <color indexed="8"/>
      <name val="Arial"/>
      <family val="2"/>
    </font>
    <font>
      <b/>
      <sz val="16"/>
      <color indexed="17"/>
      <name val="Arial"/>
      <family val="2"/>
    </font>
    <font>
      <b/>
      <sz val="13"/>
      <color indexed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u val="single"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2"/>
      <color indexed="40"/>
      <name val="Arial"/>
      <family val="2"/>
    </font>
    <font>
      <b/>
      <sz val="10"/>
      <color indexed="4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2"/>
      <color rgb="FF00B0F0"/>
      <name val="Arial"/>
      <family val="2"/>
    </font>
    <font>
      <b/>
      <sz val="10"/>
      <color rgb="FF00B0F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30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hair">
        <color indexed="16"/>
      </right>
      <top style="thin"/>
      <bottom style="hair">
        <color indexed="16"/>
      </bottom>
    </border>
    <border>
      <left style="hair">
        <color indexed="16"/>
      </left>
      <right>
        <color indexed="63"/>
      </right>
      <top style="thin"/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>
        <color indexed="16"/>
      </right>
      <top style="medium"/>
      <bottom style="hair">
        <color indexed="16"/>
      </bottom>
    </border>
    <border>
      <left style="hair">
        <color indexed="16"/>
      </left>
      <right>
        <color indexed="63"/>
      </right>
      <top style="medium"/>
      <bottom style="hair">
        <color indexed="16"/>
      </bottom>
    </border>
    <border>
      <left style="thin"/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 style="thin"/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37"/>
      </right>
      <top style="hair">
        <color indexed="8"/>
      </top>
      <bottom style="hair">
        <color indexed="8"/>
      </bottom>
    </border>
    <border>
      <left style="hair">
        <color indexed="37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hair">
        <color indexed="16"/>
      </right>
      <top style="thin"/>
      <bottom style="thin"/>
    </border>
    <border>
      <left style="hair">
        <color indexed="16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>
        <color indexed="63"/>
      </right>
      <top style="hair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hair">
        <color indexed="16"/>
      </right>
      <top style="medium"/>
      <bottom style="thin"/>
    </border>
    <border>
      <left style="hair">
        <color indexed="16"/>
      </left>
      <right>
        <color indexed="63"/>
      </right>
      <top style="medium"/>
      <bottom style="thin"/>
    </border>
    <border>
      <left style="thin"/>
      <right style="hair">
        <color indexed="16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hair">
        <color indexed="16"/>
      </right>
      <top>
        <color indexed="63"/>
      </top>
      <bottom style="thin"/>
    </border>
    <border>
      <left style="hair">
        <color indexed="16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hair">
        <color indexed="16"/>
      </right>
      <top style="hair">
        <color indexed="16"/>
      </top>
      <bottom style="thin"/>
    </border>
    <border>
      <left style="hair">
        <color indexed="16"/>
      </left>
      <right>
        <color indexed="63"/>
      </right>
      <top style="hair">
        <color indexed="16"/>
      </top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medium"/>
      <top style="thin">
        <color rgb="FF000000"/>
      </top>
      <bottom style="thin"/>
    </border>
    <border>
      <left style="hair">
        <color indexed="16"/>
      </left>
      <right>
        <color indexed="63"/>
      </right>
      <top style="hair">
        <color indexed="16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medium"/>
      <top style="hair">
        <color indexed="16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hair">
        <color indexed="16"/>
      </left>
      <right style="hair">
        <color indexed="16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>
        <color indexed="16"/>
      </right>
      <top style="hair"/>
      <bottom style="hair"/>
    </border>
    <border>
      <left style="hair">
        <color indexed="16"/>
      </left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37"/>
      </right>
      <top style="medium">
        <color indexed="8"/>
      </top>
      <bottom style="hair">
        <color indexed="8"/>
      </bottom>
    </border>
    <border>
      <left style="hair">
        <color indexed="37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/>
      <right style="hair">
        <color indexed="16"/>
      </right>
      <top style="hair">
        <color indexed="8"/>
      </top>
      <bottom style="hair">
        <color indexed="8"/>
      </bottom>
    </border>
    <border>
      <left style="hair">
        <color indexed="16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37"/>
      </right>
      <top style="hair">
        <color indexed="8"/>
      </top>
      <bottom>
        <color indexed="63"/>
      </bottom>
    </border>
    <border>
      <left style="hair">
        <color indexed="37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37"/>
      </right>
      <top>
        <color indexed="63"/>
      </top>
      <bottom style="thin">
        <color indexed="8"/>
      </bottom>
    </border>
    <border>
      <left style="hair">
        <color indexed="37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37"/>
      </right>
      <top style="thin">
        <color indexed="8"/>
      </top>
      <bottom style="thin">
        <color indexed="8"/>
      </bottom>
    </border>
    <border>
      <left style="hair">
        <color indexed="37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5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160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14" fillId="0" borderId="11" xfId="0" applyFont="1" applyFill="1" applyBorder="1" applyAlignment="1">
      <alignment horizontal="left" wrapText="1"/>
    </xf>
    <xf numFmtId="3" fontId="0" fillId="0" borderId="0" xfId="0" applyNumberFormat="1" applyAlignment="1">
      <alignment/>
    </xf>
    <xf numFmtId="3" fontId="16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3" fontId="12" fillId="0" borderId="16" xfId="0" applyNumberFormat="1" applyFont="1" applyFill="1" applyBorder="1" applyAlignment="1" applyProtection="1">
      <alignment/>
      <protection/>
    </xf>
    <xf numFmtId="3" fontId="12" fillId="0" borderId="17" xfId="0" applyNumberFormat="1" applyFont="1" applyFill="1" applyBorder="1" applyAlignment="1" applyProtection="1">
      <alignment/>
      <protection locked="0"/>
    </xf>
    <xf numFmtId="3" fontId="12" fillId="0" borderId="18" xfId="0" applyNumberFormat="1" applyFont="1" applyFill="1" applyBorder="1" applyAlignment="1" applyProtection="1">
      <alignment/>
      <protection locked="0"/>
    </xf>
    <xf numFmtId="3" fontId="12" fillId="33" borderId="19" xfId="0" applyNumberFormat="1" applyFont="1" applyFill="1" applyBorder="1" applyAlignment="1" applyProtection="1">
      <alignment/>
      <protection/>
    </xf>
    <xf numFmtId="3" fontId="12" fillId="33" borderId="17" xfId="0" applyNumberFormat="1" applyFont="1" applyFill="1" applyBorder="1" applyAlignment="1" applyProtection="1">
      <alignment/>
      <protection locked="0"/>
    </xf>
    <xf numFmtId="3" fontId="17" fillId="33" borderId="14" xfId="0" applyNumberFormat="1" applyFont="1" applyFill="1" applyBorder="1" applyAlignment="1" applyProtection="1">
      <alignment/>
      <protection locked="0"/>
    </xf>
    <xf numFmtId="3" fontId="12" fillId="0" borderId="14" xfId="0" applyNumberFormat="1" applyFont="1" applyFill="1" applyBorder="1" applyAlignment="1" applyProtection="1">
      <alignment/>
      <protection locked="0"/>
    </xf>
    <xf numFmtId="3" fontId="12" fillId="34" borderId="13" xfId="0" applyNumberFormat="1" applyFont="1" applyFill="1" applyBorder="1" applyAlignment="1" applyProtection="1">
      <alignment/>
      <protection locked="0"/>
    </xf>
    <xf numFmtId="3" fontId="12" fillId="0" borderId="19" xfId="0" applyNumberFormat="1" applyFont="1" applyFill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3" fontId="12" fillId="0" borderId="23" xfId="0" applyNumberFormat="1" applyFont="1" applyFill="1" applyBorder="1" applyAlignment="1" applyProtection="1">
      <alignment/>
      <protection/>
    </xf>
    <xf numFmtId="3" fontId="12" fillId="0" borderId="24" xfId="0" applyNumberFormat="1" applyFont="1" applyFill="1" applyBorder="1" applyAlignment="1" applyProtection="1">
      <alignment/>
      <protection locked="0"/>
    </xf>
    <xf numFmtId="3" fontId="12" fillId="0" borderId="25" xfId="0" applyNumberFormat="1" applyFont="1" applyFill="1" applyBorder="1" applyAlignment="1" applyProtection="1">
      <alignment/>
      <protection locked="0"/>
    </xf>
    <xf numFmtId="3" fontId="12" fillId="33" borderId="26" xfId="0" applyNumberFormat="1" applyFont="1" applyFill="1" applyBorder="1" applyAlignment="1" applyProtection="1">
      <alignment/>
      <protection/>
    </xf>
    <xf numFmtId="3" fontId="12" fillId="33" borderId="24" xfId="0" applyNumberFormat="1" applyFont="1" applyFill="1" applyBorder="1" applyAlignment="1" applyProtection="1">
      <alignment/>
      <protection locked="0"/>
    </xf>
    <xf numFmtId="3" fontId="12" fillId="0" borderId="21" xfId="0" applyNumberFormat="1" applyFont="1" applyFill="1" applyBorder="1" applyAlignment="1" applyProtection="1">
      <alignment/>
      <protection locked="0"/>
    </xf>
    <xf numFmtId="3" fontId="12" fillId="34" borderId="20" xfId="0" applyNumberFormat="1" applyFont="1" applyFill="1" applyBorder="1" applyAlignment="1" applyProtection="1">
      <alignment/>
      <protection locked="0"/>
    </xf>
    <xf numFmtId="3" fontId="12" fillId="0" borderId="26" xfId="0" applyNumberFormat="1" applyFont="1" applyFill="1" applyBorder="1" applyAlignment="1" applyProtection="1">
      <alignment/>
      <protection locked="0"/>
    </xf>
    <xf numFmtId="3" fontId="12" fillId="0" borderId="27" xfId="0" applyNumberFormat="1" applyFont="1" applyFill="1" applyBorder="1" applyAlignment="1" applyProtection="1">
      <alignment/>
      <protection/>
    </xf>
    <xf numFmtId="3" fontId="12" fillId="0" borderId="28" xfId="0" applyNumberFormat="1" applyFont="1" applyFill="1" applyBorder="1" applyAlignment="1" applyProtection="1">
      <alignment/>
      <protection locked="0"/>
    </xf>
    <xf numFmtId="3" fontId="12" fillId="0" borderId="29" xfId="0" applyNumberFormat="1" applyFont="1" applyFill="1" applyBorder="1" applyAlignment="1" applyProtection="1">
      <alignment/>
      <protection locked="0"/>
    </xf>
    <xf numFmtId="3" fontId="12" fillId="33" borderId="30" xfId="0" applyNumberFormat="1" applyFont="1" applyFill="1" applyBorder="1" applyAlignment="1" applyProtection="1">
      <alignment/>
      <protection/>
    </xf>
    <xf numFmtId="3" fontId="12" fillId="33" borderId="28" xfId="0" applyNumberFormat="1" applyFont="1" applyFill="1" applyBorder="1" applyAlignment="1" applyProtection="1">
      <alignment/>
      <protection locked="0"/>
    </xf>
    <xf numFmtId="3" fontId="12" fillId="0" borderId="31" xfId="0" applyNumberFormat="1" applyFont="1" applyFill="1" applyBorder="1" applyAlignment="1" applyProtection="1">
      <alignment/>
      <protection locked="0"/>
    </xf>
    <xf numFmtId="3" fontId="12" fillId="34" borderId="32" xfId="0" applyNumberFormat="1" applyFont="1" applyFill="1" applyBorder="1" applyAlignment="1" applyProtection="1">
      <alignment/>
      <protection locked="0"/>
    </xf>
    <xf numFmtId="3" fontId="12" fillId="0" borderId="33" xfId="0" applyNumberFormat="1" applyFont="1" applyFill="1" applyBorder="1" applyAlignment="1" applyProtection="1">
      <alignment/>
      <protection locked="0"/>
    </xf>
    <xf numFmtId="3" fontId="12" fillId="0" borderId="34" xfId="0" applyNumberFormat="1" applyFont="1" applyFill="1" applyBorder="1" applyAlignment="1" applyProtection="1">
      <alignment/>
      <protection/>
    </xf>
    <xf numFmtId="3" fontId="12" fillId="0" borderId="35" xfId="0" applyNumberFormat="1" applyFont="1" applyFill="1" applyBorder="1" applyAlignment="1" applyProtection="1">
      <alignment/>
      <protection locked="0"/>
    </xf>
    <xf numFmtId="3" fontId="12" fillId="0" borderId="36" xfId="0" applyNumberFormat="1" applyFont="1" applyFill="1" applyBorder="1" applyAlignment="1" applyProtection="1">
      <alignment/>
      <protection locked="0"/>
    </xf>
    <xf numFmtId="3" fontId="12" fillId="33" borderId="34" xfId="0" applyNumberFormat="1" applyFont="1" applyFill="1" applyBorder="1" applyAlignment="1" applyProtection="1">
      <alignment/>
      <protection/>
    </xf>
    <xf numFmtId="3" fontId="12" fillId="33" borderId="35" xfId="0" applyNumberFormat="1" applyFont="1" applyFill="1" applyBorder="1" applyAlignment="1" applyProtection="1">
      <alignment/>
      <protection locked="0"/>
    </xf>
    <xf numFmtId="3" fontId="12" fillId="0" borderId="37" xfId="0" applyNumberFormat="1" applyFont="1" applyFill="1" applyBorder="1" applyAlignment="1" applyProtection="1">
      <alignment/>
      <protection locked="0"/>
    </xf>
    <xf numFmtId="3" fontId="12" fillId="34" borderId="38" xfId="0" applyNumberFormat="1" applyFont="1" applyFill="1" applyBorder="1" applyAlignment="1" applyProtection="1">
      <alignment/>
      <protection locked="0"/>
    </xf>
    <xf numFmtId="3" fontId="12" fillId="0" borderId="39" xfId="0" applyNumberFormat="1" applyFont="1" applyFill="1" applyBorder="1" applyAlignment="1" applyProtection="1">
      <alignment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40" xfId="0" applyFont="1" applyBorder="1" applyAlignment="1" applyProtection="1">
      <alignment horizontal="center"/>
      <protection locked="0"/>
    </xf>
    <xf numFmtId="3" fontId="17" fillId="33" borderId="31" xfId="0" applyNumberFormat="1" applyFont="1" applyFill="1" applyBorder="1" applyAlignment="1" applyProtection="1">
      <alignment/>
      <protection locked="0"/>
    </xf>
    <xf numFmtId="3" fontId="17" fillId="33" borderId="37" xfId="0" applyNumberFormat="1" applyFont="1" applyFill="1" applyBorder="1" applyAlignment="1" applyProtection="1">
      <alignment/>
      <protection locked="0"/>
    </xf>
    <xf numFmtId="0" fontId="9" fillId="0" borderId="38" xfId="0" applyFont="1" applyBorder="1" applyAlignment="1" applyProtection="1">
      <alignment horizontal="center"/>
      <protection locked="0"/>
    </xf>
    <xf numFmtId="0" fontId="9" fillId="0" borderId="37" xfId="0" applyFont="1" applyBorder="1" applyAlignment="1" applyProtection="1">
      <alignment horizontal="center"/>
      <protection locked="0"/>
    </xf>
    <xf numFmtId="0" fontId="9" fillId="0" borderId="41" xfId="0" applyFont="1" applyBorder="1" applyAlignment="1" applyProtection="1">
      <alignment horizontal="center"/>
      <protection locked="0"/>
    </xf>
    <xf numFmtId="0" fontId="19" fillId="0" borderId="34" xfId="51" applyFont="1" applyFill="1" applyBorder="1" applyAlignment="1" applyProtection="1">
      <alignment wrapText="1"/>
      <protection locked="0"/>
    </xf>
    <xf numFmtId="0" fontId="9" fillId="0" borderId="42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3" fontId="12" fillId="0" borderId="44" xfId="0" applyNumberFormat="1" applyFont="1" applyFill="1" applyBorder="1" applyAlignment="1" applyProtection="1">
      <alignment/>
      <protection/>
    </xf>
    <xf numFmtId="3" fontId="12" fillId="0" borderId="45" xfId="0" applyNumberFormat="1" applyFont="1" applyFill="1" applyBorder="1" applyAlignment="1" applyProtection="1">
      <alignment/>
      <protection locked="0"/>
    </xf>
    <xf numFmtId="3" fontId="12" fillId="0" borderId="46" xfId="0" applyNumberFormat="1" applyFont="1" applyFill="1" applyBorder="1" applyAlignment="1" applyProtection="1">
      <alignment/>
      <protection locked="0"/>
    </xf>
    <xf numFmtId="3" fontId="12" fillId="33" borderId="44" xfId="0" applyNumberFormat="1" applyFont="1" applyFill="1" applyBorder="1" applyAlignment="1" applyProtection="1">
      <alignment/>
      <protection/>
    </xf>
    <xf numFmtId="3" fontId="12" fillId="33" borderId="45" xfId="0" applyNumberFormat="1" applyFont="1" applyFill="1" applyBorder="1" applyAlignment="1" applyProtection="1">
      <alignment/>
      <protection locked="0"/>
    </xf>
    <xf numFmtId="3" fontId="17" fillId="33" borderId="42" xfId="0" applyNumberFormat="1" applyFont="1" applyFill="1" applyBorder="1" applyAlignment="1" applyProtection="1">
      <alignment/>
      <protection locked="0"/>
    </xf>
    <xf numFmtId="3" fontId="12" fillId="0" borderId="42" xfId="0" applyNumberFormat="1" applyFont="1" applyFill="1" applyBorder="1" applyAlignment="1" applyProtection="1">
      <alignment/>
      <protection locked="0"/>
    </xf>
    <xf numFmtId="3" fontId="12" fillId="34" borderId="47" xfId="0" applyNumberFormat="1" applyFont="1" applyFill="1" applyBorder="1" applyAlignment="1" applyProtection="1">
      <alignment/>
      <protection locked="0"/>
    </xf>
    <xf numFmtId="3" fontId="12" fillId="0" borderId="48" xfId="0" applyNumberFormat="1" applyFont="1" applyFill="1" applyBorder="1" applyAlignment="1" applyProtection="1">
      <alignment/>
      <protection locked="0"/>
    </xf>
    <xf numFmtId="0" fontId="9" fillId="0" borderId="28" xfId="0" applyFont="1" applyBorder="1" applyAlignment="1" applyProtection="1">
      <alignment horizontal="center"/>
      <protection locked="0"/>
    </xf>
    <xf numFmtId="3" fontId="12" fillId="33" borderId="27" xfId="0" applyNumberFormat="1" applyFont="1" applyFill="1" applyBorder="1" applyAlignment="1" applyProtection="1">
      <alignment/>
      <protection/>
    </xf>
    <xf numFmtId="0" fontId="9" fillId="0" borderId="35" xfId="0" applyFont="1" applyBorder="1" applyAlignment="1" applyProtection="1">
      <alignment horizontal="center"/>
      <protection locked="0"/>
    </xf>
    <xf numFmtId="3" fontId="12" fillId="33" borderId="49" xfId="0" applyNumberFormat="1" applyFont="1" applyFill="1" applyBorder="1" applyAlignment="1" applyProtection="1">
      <alignment/>
      <protection/>
    </xf>
    <xf numFmtId="3" fontId="17" fillId="33" borderId="21" xfId="0" applyNumberFormat="1" applyFont="1" applyFill="1" applyBorder="1" applyAlignment="1" applyProtection="1">
      <alignment/>
      <protection locked="0"/>
    </xf>
    <xf numFmtId="0" fontId="9" fillId="0" borderId="37" xfId="0" applyFont="1" applyFill="1" applyBorder="1" applyAlignment="1" applyProtection="1">
      <alignment horizontal="center"/>
      <protection locked="0"/>
    </xf>
    <xf numFmtId="0" fontId="9" fillId="0" borderId="41" xfId="0" applyFont="1" applyFill="1" applyBorder="1" applyAlignment="1" applyProtection="1">
      <alignment horizontal="center"/>
      <protection locked="0"/>
    </xf>
    <xf numFmtId="0" fontId="25" fillId="0" borderId="37" xfId="0" applyFont="1" applyBorder="1" applyAlignment="1" applyProtection="1">
      <alignment horizontal="center"/>
      <protection locked="0"/>
    </xf>
    <xf numFmtId="0" fontId="25" fillId="0" borderId="41" xfId="0" applyFont="1" applyBorder="1" applyAlignment="1" applyProtection="1">
      <alignment horizontal="center"/>
      <protection locked="0"/>
    </xf>
    <xf numFmtId="3" fontId="26" fillId="0" borderId="34" xfId="0" applyNumberFormat="1" applyFont="1" applyFill="1" applyBorder="1" applyAlignment="1" applyProtection="1">
      <alignment/>
      <protection/>
    </xf>
    <xf numFmtId="3" fontId="12" fillId="0" borderId="41" xfId="0" applyNumberFormat="1" applyFont="1" applyFill="1" applyBorder="1" applyAlignment="1" applyProtection="1">
      <alignment/>
      <protection locked="0"/>
    </xf>
    <xf numFmtId="3" fontId="12" fillId="34" borderId="50" xfId="0" applyNumberFormat="1" applyFont="1" applyFill="1" applyBorder="1" applyAlignment="1" applyProtection="1">
      <alignment/>
      <protection locked="0"/>
    </xf>
    <xf numFmtId="3" fontId="12" fillId="34" borderId="35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45" xfId="0" applyFont="1" applyBorder="1" applyAlignment="1" applyProtection="1">
      <alignment horizontal="center"/>
      <protection locked="0"/>
    </xf>
    <xf numFmtId="3" fontId="12" fillId="33" borderId="23" xfId="0" applyNumberFormat="1" applyFont="1" applyFill="1" applyBorder="1" applyAlignment="1" applyProtection="1">
      <alignment/>
      <protection/>
    </xf>
    <xf numFmtId="0" fontId="9" fillId="0" borderId="51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3" fontId="12" fillId="0" borderId="54" xfId="0" applyNumberFormat="1" applyFont="1" applyFill="1" applyBorder="1" applyAlignment="1" applyProtection="1">
      <alignment/>
      <protection/>
    </xf>
    <xf numFmtId="3" fontId="12" fillId="0" borderId="55" xfId="0" applyNumberFormat="1" applyFont="1" applyFill="1" applyBorder="1" applyAlignment="1" applyProtection="1">
      <alignment/>
      <protection locked="0"/>
    </xf>
    <xf numFmtId="3" fontId="12" fillId="0" borderId="56" xfId="0" applyNumberFormat="1" applyFont="1" applyFill="1" applyBorder="1" applyAlignment="1" applyProtection="1">
      <alignment/>
      <protection locked="0"/>
    </xf>
    <xf numFmtId="3" fontId="12" fillId="33" borderId="54" xfId="0" applyNumberFormat="1" applyFont="1" applyFill="1" applyBorder="1" applyAlignment="1" applyProtection="1">
      <alignment/>
      <protection/>
    </xf>
    <xf numFmtId="3" fontId="12" fillId="33" borderId="55" xfId="0" applyNumberFormat="1" applyFont="1" applyFill="1" applyBorder="1" applyAlignment="1" applyProtection="1">
      <alignment/>
      <protection locked="0"/>
    </xf>
    <xf numFmtId="3" fontId="17" fillId="33" borderId="52" xfId="0" applyNumberFormat="1" applyFont="1" applyFill="1" applyBorder="1" applyAlignment="1" applyProtection="1">
      <alignment/>
      <protection locked="0"/>
    </xf>
    <xf numFmtId="3" fontId="12" fillId="0" borderId="52" xfId="0" applyNumberFormat="1" applyFont="1" applyFill="1" applyBorder="1" applyAlignment="1" applyProtection="1">
      <alignment/>
      <protection locked="0"/>
    </xf>
    <xf numFmtId="3" fontId="12" fillId="34" borderId="51" xfId="0" applyNumberFormat="1" applyFont="1" applyFill="1" applyBorder="1" applyAlignment="1" applyProtection="1">
      <alignment/>
      <protection locked="0"/>
    </xf>
    <xf numFmtId="3" fontId="12" fillId="0" borderId="57" xfId="0" applyNumberFormat="1" applyFont="1" applyFill="1" applyBorder="1" applyAlignment="1" applyProtection="1">
      <alignment/>
      <protection locked="0"/>
    </xf>
    <xf numFmtId="0" fontId="19" fillId="0" borderId="16" xfId="51" applyFont="1" applyFill="1" applyBorder="1" applyAlignment="1" applyProtection="1">
      <alignment wrapText="1"/>
      <protection locked="0"/>
    </xf>
    <xf numFmtId="3" fontId="12" fillId="33" borderId="16" xfId="0" applyNumberFormat="1" applyFont="1" applyFill="1" applyBorder="1" applyAlignment="1" applyProtection="1">
      <alignment/>
      <protection/>
    </xf>
    <xf numFmtId="0" fontId="25" fillId="0" borderId="21" xfId="0" applyFont="1" applyBorder="1" applyAlignment="1" applyProtection="1">
      <alignment horizontal="center"/>
      <protection locked="0"/>
    </xf>
    <xf numFmtId="0" fontId="25" fillId="0" borderId="22" xfId="0" applyFont="1" applyBorder="1" applyAlignment="1" applyProtection="1">
      <alignment horizontal="center"/>
      <protection locked="0"/>
    </xf>
    <xf numFmtId="3" fontId="12" fillId="34" borderId="58" xfId="0" applyNumberFormat="1" applyFont="1" applyFill="1" applyBorder="1" applyAlignment="1" applyProtection="1">
      <alignment/>
      <protection locked="0"/>
    </xf>
    <xf numFmtId="3" fontId="12" fillId="35" borderId="22" xfId="0" applyNumberFormat="1" applyFont="1" applyFill="1" applyBorder="1" applyAlignment="1" applyProtection="1">
      <alignment/>
      <protection locked="0"/>
    </xf>
    <xf numFmtId="3" fontId="12" fillId="35" borderId="25" xfId="0" applyNumberFormat="1" applyFont="1" applyFill="1" applyBorder="1" applyAlignment="1" applyProtection="1">
      <alignment/>
      <protection locked="0"/>
    </xf>
    <xf numFmtId="3" fontId="12" fillId="35" borderId="21" xfId="0" applyNumberFormat="1" applyFont="1" applyFill="1" applyBorder="1" applyAlignment="1" applyProtection="1">
      <alignment/>
      <protection locked="0"/>
    </xf>
    <xf numFmtId="3" fontId="12" fillId="34" borderId="59" xfId="0" applyNumberFormat="1" applyFont="1" applyFill="1" applyBorder="1" applyAlignment="1" applyProtection="1">
      <alignment/>
      <protection locked="0"/>
    </xf>
    <xf numFmtId="3" fontId="12" fillId="35" borderId="26" xfId="0" applyNumberFormat="1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 horizontal="left" wrapText="1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9" fillId="0" borderId="60" xfId="51" applyFont="1" applyFill="1" applyBorder="1" applyAlignment="1" applyProtection="1">
      <alignment wrapText="1"/>
      <protection locked="0"/>
    </xf>
    <xf numFmtId="0" fontId="9" fillId="0" borderId="14" xfId="0" applyNumberFormat="1" applyFont="1" applyBorder="1" applyAlignment="1" applyProtection="1">
      <alignment horizontal="center"/>
      <protection locked="0"/>
    </xf>
    <xf numFmtId="0" fontId="0" fillId="0" borderId="61" xfId="0" applyFont="1" applyFill="1" applyBorder="1" applyAlignment="1">
      <alignment horizontal="center"/>
    </xf>
    <xf numFmtId="3" fontId="12" fillId="33" borderId="20" xfId="0" applyNumberFormat="1" applyFont="1" applyFill="1" applyBorder="1" applyAlignment="1" applyProtection="1">
      <alignment/>
      <protection locked="0"/>
    </xf>
    <xf numFmtId="3" fontId="12" fillId="0" borderId="22" xfId="0" applyNumberFormat="1" applyFont="1" applyFill="1" applyBorder="1" applyAlignment="1" applyProtection="1">
      <alignment/>
      <protection locked="0"/>
    </xf>
    <xf numFmtId="3" fontId="12" fillId="34" borderId="24" xfId="0" applyNumberFormat="1" applyFont="1" applyFill="1" applyBorder="1" applyAlignment="1" applyProtection="1">
      <alignment/>
      <protection locked="0"/>
    </xf>
    <xf numFmtId="0" fontId="25" fillId="0" borderId="31" xfId="0" applyFont="1" applyBorder="1" applyAlignment="1" applyProtection="1">
      <alignment horizontal="center"/>
      <protection locked="0"/>
    </xf>
    <xf numFmtId="3" fontId="12" fillId="0" borderId="38" xfId="0" applyNumberFormat="1" applyFont="1" applyFill="1" applyBorder="1" applyAlignment="1" applyProtection="1">
      <alignment/>
      <protection locked="0"/>
    </xf>
    <xf numFmtId="3" fontId="12" fillId="33" borderId="38" xfId="0" applyNumberFormat="1" applyFont="1" applyFill="1" applyBorder="1" applyAlignment="1" applyProtection="1">
      <alignment/>
      <protection locked="0"/>
    </xf>
    <xf numFmtId="3" fontId="17" fillId="33" borderId="35" xfId="0" applyNumberFormat="1" applyFont="1" applyFill="1" applyBorder="1" applyAlignment="1" applyProtection="1">
      <alignment/>
      <protection locked="0"/>
    </xf>
    <xf numFmtId="3" fontId="12" fillId="0" borderId="32" xfId="0" applyNumberFormat="1" applyFont="1" applyFill="1" applyBorder="1" applyAlignment="1" applyProtection="1">
      <alignment/>
      <protection locked="0"/>
    </xf>
    <xf numFmtId="3" fontId="12" fillId="33" borderId="62" xfId="0" applyNumberFormat="1" applyFont="1" applyFill="1" applyBorder="1" applyAlignment="1" applyProtection="1">
      <alignment/>
      <protection/>
    </xf>
    <xf numFmtId="3" fontId="12" fillId="33" borderId="63" xfId="0" applyNumberFormat="1" applyFont="1" applyFill="1" applyBorder="1" applyAlignment="1" applyProtection="1">
      <alignment/>
      <protection/>
    </xf>
    <xf numFmtId="3" fontId="12" fillId="33" borderId="10" xfId="0" applyNumberFormat="1" applyFont="1" applyFill="1" applyBorder="1" applyAlignment="1" applyProtection="1">
      <alignment/>
      <protection locked="0"/>
    </xf>
    <xf numFmtId="3" fontId="12" fillId="0" borderId="50" xfId="0" applyNumberFormat="1" applyFont="1" applyFill="1" applyBorder="1" applyAlignment="1" applyProtection="1">
      <alignment/>
      <protection locked="0"/>
    </xf>
    <xf numFmtId="3" fontId="12" fillId="0" borderId="12" xfId="0" applyNumberFormat="1" applyFont="1" applyFill="1" applyBorder="1" applyAlignment="1" applyProtection="1">
      <alignment/>
      <protection locked="0"/>
    </xf>
    <xf numFmtId="3" fontId="12" fillId="34" borderId="11" xfId="0" applyNumberFormat="1" applyFont="1" applyFill="1" applyBorder="1" applyAlignment="1" applyProtection="1">
      <alignment/>
      <protection locked="0"/>
    </xf>
    <xf numFmtId="3" fontId="12" fillId="0" borderId="4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49" applyFont="1">
      <alignment/>
      <protection/>
    </xf>
    <xf numFmtId="0" fontId="5" fillId="0" borderId="0" xfId="49" applyFont="1">
      <alignment/>
      <protection/>
    </xf>
    <xf numFmtId="0" fontId="23" fillId="0" borderId="0" xfId="49" applyFont="1">
      <alignment/>
      <protection/>
    </xf>
    <xf numFmtId="0" fontId="9" fillId="0" borderId="64" xfId="0" applyFont="1" applyBorder="1" applyAlignment="1" applyProtection="1">
      <alignment horizontal="center"/>
      <protection locked="0"/>
    </xf>
    <xf numFmtId="3" fontId="12" fillId="34" borderId="65" xfId="0" applyNumberFormat="1" applyFont="1" applyFill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center" wrapText="1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9" fillId="0" borderId="66" xfId="0" applyFont="1" applyBorder="1" applyAlignment="1" applyProtection="1">
      <alignment horizontal="center"/>
      <protection locked="0"/>
    </xf>
    <xf numFmtId="3" fontId="12" fillId="0" borderId="62" xfId="0" applyNumberFormat="1" applyFont="1" applyFill="1" applyBorder="1" applyAlignment="1" applyProtection="1">
      <alignment/>
      <protection/>
    </xf>
    <xf numFmtId="3" fontId="12" fillId="0" borderId="67" xfId="0" applyNumberFormat="1" applyFont="1" applyFill="1" applyBorder="1" applyAlignment="1" applyProtection="1">
      <alignment/>
      <protection locked="0"/>
    </xf>
    <xf numFmtId="3" fontId="12" fillId="0" borderId="68" xfId="0" applyNumberFormat="1" applyFont="1" applyFill="1" applyBorder="1" applyAlignment="1" applyProtection="1">
      <alignment/>
      <protection locked="0"/>
    </xf>
    <xf numFmtId="3" fontId="12" fillId="33" borderId="67" xfId="0" applyNumberFormat="1" applyFont="1" applyFill="1" applyBorder="1" applyAlignment="1" applyProtection="1">
      <alignment/>
      <protection locked="0"/>
    </xf>
    <xf numFmtId="3" fontId="12" fillId="0" borderId="66" xfId="0" applyNumberFormat="1" applyFont="1" applyFill="1" applyBorder="1" applyAlignment="1" applyProtection="1">
      <alignment/>
      <protection locked="0"/>
    </xf>
    <xf numFmtId="3" fontId="12" fillId="34" borderId="69" xfId="0" applyNumberFormat="1" applyFont="1" applyFill="1" applyBorder="1" applyAlignment="1" applyProtection="1">
      <alignment/>
      <protection locked="0"/>
    </xf>
    <xf numFmtId="3" fontId="12" fillId="0" borderId="49" xfId="0" applyNumberFormat="1" applyFont="1" applyFill="1" applyBorder="1" applyAlignment="1" applyProtection="1">
      <alignment/>
      <protection locked="0"/>
    </xf>
    <xf numFmtId="0" fontId="9" fillId="0" borderId="69" xfId="0" applyFont="1" applyBorder="1" applyAlignment="1" applyProtection="1">
      <alignment horizontal="center"/>
      <protection locked="0"/>
    </xf>
    <xf numFmtId="0" fontId="9" fillId="0" borderId="68" xfId="0" applyFont="1" applyBorder="1" applyAlignment="1" applyProtection="1">
      <alignment horizontal="center"/>
      <protection locked="0"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52" xfId="0" applyFont="1" applyBorder="1" applyAlignment="1">
      <alignment horizontal="center"/>
    </xf>
    <xf numFmtId="0" fontId="9" fillId="0" borderId="35" xfId="0" applyFont="1" applyFill="1" applyBorder="1" applyAlignment="1" applyProtection="1">
      <alignment horizontal="center"/>
      <protection locked="0"/>
    </xf>
    <xf numFmtId="3" fontId="12" fillId="0" borderId="10" xfId="0" applyNumberFormat="1" applyFont="1" applyFill="1" applyBorder="1" applyAlignment="1" applyProtection="1">
      <alignment/>
      <protection locked="0"/>
    </xf>
    <xf numFmtId="3" fontId="12" fillId="0" borderId="23" xfId="0" applyNumberFormat="1" applyFont="1" applyFill="1" applyBorder="1" applyAlignment="1" applyProtection="1">
      <alignment/>
      <protection locked="0"/>
    </xf>
    <xf numFmtId="3" fontId="12" fillId="0" borderId="34" xfId="0" applyNumberFormat="1" applyFont="1" applyFill="1" applyBorder="1" applyAlignment="1" applyProtection="1">
      <alignment/>
      <protection locked="0"/>
    </xf>
    <xf numFmtId="3" fontId="12" fillId="0" borderId="27" xfId="0" applyNumberFormat="1" applyFont="1" applyFill="1" applyBorder="1" applyAlignment="1" applyProtection="1">
      <alignment/>
      <protection locked="0"/>
    </xf>
    <xf numFmtId="3" fontId="12" fillId="34" borderId="70" xfId="0" applyNumberFormat="1" applyFont="1" applyFill="1" applyBorder="1" applyAlignment="1" applyProtection="1">
      <alignment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4" fillId="0" borderId="36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3" fontId="12" fillId="0" borderId="71" xfId="0" applyNumberFormat="1" applyFont="1" applyFill="1" applyBorder="1" applyAlignment="1" applyProtection="1">
      <alignment/>
      <protection locked="0"/>
    </xf>
    <xf numFmtId="3" fontId="12" fillId="0" borderId="63" xfId="0" applyNumberFormat="1" applyFont="1" applyFill="1" applyBorder="1" applyAlignment="1" applyProtection="1">
      <alignment/>
      <protection/>
    </xf>
    <xf numFmtId="3" fontId="12" fillId="0" borderId="72" xfId="0" applyNumberFormat="1" applyFont="1" applyFill="1" applyBorder="1" applyAlignment="1" applyProtection="1">
      <alignment/>
      <protection locked="0"/>
    </xf>
    <xf numFmtId="3" fontId="12" fillId="33" borderId="72" xfId="0" applyNumberFormat="1" applyFont="1" applyFill="1" applyBorder="1" applyAlignment="1" applyProtection="1">
      <alignment/>
      <protection locked="0"/>
    </xf>
    <xf numFmtId="3" fontId="12" fillId="33" borderId="73" xfId="0" applyNumberFormat="1" applyFont="1" applyFill="1" applyBorder="1" applyAlignment="1" applyProtection="1">
      <alignment/>
      <protection locked="0"/>
    </xf>
    <xf numFmtId="3" fontId="12" fillId="0" borderId="73" xfId="0" applyNumberFormat="1" applyFont="1" applyFill="1" applyBorder="1" applyAlignment="1" applyProtection="1">
      <alignment/>
      <protection locked="0"/>
    </xf>
    <xf numFmtId="3" fontId="12" fillId="0" borderId="74" xfId="0" applyNumberFormat="1" applyFont="1" applyFill="1" applyBorder="1" applyAlignment="1" applyProtection="1">
      <alignment/>
      <protection locked="0"/>
    </xf>
    <xf numFmtId="3" fontId="12" fillId="34" borderId="72" xfId="0" applyNumberFormat="1" applyFont="1" applyFill="1" applyBorder="1" applyAlignment="1" applyProtection="1">
      <alignment/>
      <protection locked="0"/>
    </xf>
    <xf numFmtId="3" fontId="12" fillId="0" borderId="75" xfId="0" applyNumberFormat="1" applyFont="1" applyFill="1" applyBorder="1" applyAlignment="1" applyProtection="1">
      <alignment/>
      <protection locked="0"/>
    </xf>
    <xf numFmtId="3" fontId="17" fillId="33" borderId="73" xfId="0" applyNumberFormat="1" applyFont="1" applyFill="1" applyBorder="1" applyAlignment="1" applyProtection="1">
      <alignment/>
      <protection locked="0"/>
    </xf>
    <xf numFmtId="0" fontId="19" fillId="0" borderId="39" xfId="51" applyFont="1" applyFill="1" applyBorder="1" applyAlignment="1" applyProtection="1">
      <alignment wrapText="1"/>
      <protection locked="0"/>
    </xf>
    <xf numFmtId="0" fontId="19" fillId="0" borderId="33" xfId="51" applyFont="1" applyFill="1" applyBorder="1" applyAlignment="1" applyProtection="1">
      <alignment horizontal="left" vertical="center" wrapText="1"/>
      <protection locked="0"/>
    </xf>
    <xf numFmtId="0" fontId="19" fillId="0" borderId="48" xfId="51" applyFont="1" applyFill="1" applyBorder="1" applyAlignment="1" applyProtection="1">
      <alignment wrapText="1"/>
      <protection locked="0"/>
    </xf>
    <xf numFmtId="0" fontId="19" fillId="0" borderId="57" xfId="51" applyFont="1" applyFill="1" applyBorder="1" applyAlignment="1" applyProtection="1">
      <alignment wrapText="1"/>
      <protection locked="0"/>
    </xf>
    <xf numFmtId="0" fontId="0" fillId="0" borderId="39" xfId="0" applyFont="1" applyFill="1" applyBorder="1" applyAlignment="1" applyProtection="1">
      <alignment horizontal="left" vertical="center" wrapText="1"/>
      <protection locked="0"/>
    </xf>
    <xf numFmtId="0" fontId="20" fillId="0" borderId="12" xfId="0" applyFont="1" applyFill="1" applyBorder="1" applyAlignment="1">
      <alignment/>
    </xf>
    <xf numFmtId="0" fontId="20" fillId="0" borderId="76" xfId="0" applyFont="1" applyBorder="1" applyAlignment="1">
      <alignment/>
    </xf>
    <xf numFmtId="0" fontId="14" fillId="36" borderId="60" xfId="0" applyFont="1" applyFill="1" applyBorder="1" applyAlignment="1">
      <alignment horizontal="left" wrapText="1"/>
    </xf>
    <xf numFmtId="0" fontId="14" fillId="36" borderId="77" xfId="0" applyFont="1" applyFill="1" applyBorder="1" applyAlignment="1">
      <alignment horizontal="left" wrapText="1"/>
    </xf>
    <xf numFmtId="0" fontId="14" fillId="0" borderId="78" xfId="0" applyFont="1" applyFill="1" applyBorder="1" applyAlignment="1">
      <alignment/>
    </xf>
    <xf numFmtId="0" fontId="9" fillId="0" borderId="35" xfId="0" applyFont="1" applyBorder="1" applyAlignment="1" applyProtection="1">
      <alignment horizontal="center" wrapText="1"/>
      <protection locked="0"/>
    </xf>
    <xf numFmtId="0" fontId="19" fillId="0" borderId="27" xfId="51" applyFont="1" applyFill="1" applyBorder="1" applyAlignment="1" applyProtection="1">
      <alignment wrapText="1"/>
      <protection locked="0"/>
    </xf>
    <xf numFmtId="0" fontId="0" fillId="37" borderId="27" xfId="0" applyFont="1" applyFill="1" applyBorder="1" applyAlignment="1" applyProtection="1">
      <alignment wrapText="1"/>
      <protection locked="0"/>
    </xf>
    <xf numFmtId="0" fontId="0" fillId="0" borderId="34" xfId="0" applyFont="1" applyBorder="1" applyAlignment="1" applyProtection="1">
      <alignment horizontal="left" wrapText="1"/>
      <protection locked="0"/>
    </xf>
    <xf numFmtId="0" fontId="0" fillId="0" borderId="35" xfId="0" applyFont="1" applyFill="1" applyBorder="1" applyAlignment="1">
      <alignment horizontal="center"/>
    </xf>
    <xf numFmtId="0" fontId="0" fillId="0" borderId="54" xfId="0" applyFont="1" applyBorder="1" applyAlignment="1" applyProtection="1">
      <alignment wrapText="1"/>
      <protection locked="0"/>
    </xf>
    <xf numFmtId="0" fontId="0" fillId="0" borderId="57" xfId="0" applyFont="1" applyFill="1" applyBorder="1" applyAlignment="1">
      <alignment horizontal="left" vertical="center" wrapText="1"/>
    </xf>
    <xf numFmtId="0" fontId="9" fillId="0" borderId="55" xfId="0" applyFont="1" applyBorder="1" applyAlignment="1" applyProtection="1">
      <alignment horizontal="center"/>
      <protection locked="0"/>
    </xf>
    <xf numFmtId="0" fontId="19" fillId="0" borderId="33" xfId="51" applyFont="1" applyFill="1" applyBorder="1" applyAlignment="1" applyProtection="1">
      <alignment wrapText="1"/>
      <protection locked="0"/>
    </xf>
    <xf numFmtId="49" fontId="0" fillId="38" borderId="79" xfId="47" applyNumberFormat="1" applyFont="1" applyFill="1" applyBorder="1" applyAlignment="1">
      <alignment horizontal="left" wrapText="1"/>
      <protection/>
    </xf>
    <xf numFmtId="0" fontId="19" fillId="0" borderId="48" xfId="51" applyFont="1" applyFill="1" applyBorder="1" applyAlignment="1" applyProtection="1">
      <alignment horizontal="left" wrapText="1"/>
      <protection locked="0"/>
    </xf>
    <xf numFmtId="0" fontId="0" fillId="37" borderId="57" xfId="0" applyFont="1" applyFill="1" applyBorder="1" applyAlignment="1" applyProtection="1">
      <alignment vertical="center" wrapText="1"/>
      <protection locked="0"/>
    </xf>
    <xf numFmtId="0" fontId="0" fillId="37" borderId="79" xfId="0" applyFont="1" applyFill="1" applyBorder="1" applyAlignment="1" applyProtection="1">
      <alignment vertical="center" wrapText="1"/>
      <protection locked="0"/>
    </xf>
    <xf numFmtId="3" fontId="0" fillId="0" borderId="37" xfId="0" applyNumberFormat="1" applyFont="1" applyFill="1" applyBorder="1" applyAlignment="1" applyProtection="1">
      <alignment/>
      <protection locked="0"/>
    </xf>
    <xf numFmtId="3" fontId="0" fillId="0" borderId="36" xfId="0" applyNumberFormat="1" applyFont="1" applyFill="1" applyBorder="1" applyAlignment="1" applyProtection="1">
      <alignment/>
      <protection locked="0"/>
    </xf>
    <xf numFmtId="0" fontId="25" fillId="0" borderId="29" xfId="0" applyFont="1" applyBorder="1" applyAlignment="1" applyProtection="1">
      <alignment horizontal="center"/>
      <protection locked="0"/>
    </xf>
    <xf numFmtId="3" fontId="26" fillId="0" borderId="27" xfId="0" applyNumberFormat="1" applyFont="1" applyFill="1" applyBorder="1" applyAlignment="1" applyProtection="1">
      <alignment/>
      <protection/>
    </xf>
    <xf numFmtId="3" fontId="12" fillId="33" borderId="32" xfId="0" applyNumberFormat="1" applyFont="1" applyFill="1" applyBorder="1" applyAlignment="1" applyProtection="1">
      <alignment/>
      <protection locked="0"/>
    </xf>
    <xf numFmtId="3" fontId="12" fillId="34" borderId="28" xfId="0" applyNumberFormat="1" applyFont="1" applyFill="1" applyBorder="1" applyAlignment="1" applyProtection="1">
      <alignment/>
      <protection locked="0"/>
    </xf>
    <xf numFmtId="0" fontId="5" fillId="39" borderId="41" xfId="0" applyFont="1" applyFill="1" applyBorder="1" applyAlignment="1">
      <alignment/>
    </xf>
    <xf numFmtId="3" fontId="12" fillId="34" borderId="12" xfId="0" applyNumberFormat="1" applyFont="1" applyFill="1" applyBorder="1" applyAlignment="1" applyProtection="1">
      <alignment/>
      <protection locked="0"/>
    </xf>
    <xf numFmtId="3" fontId="26" fillId="0" borderId="62" xfId="0" applyNumberFormat="1" applyFont="1" applyFill="1" applyBorder="1" applyAlignment="1" applyProtection="1">
      <alignment/>
      <protection/>
    </xf>
    <xf numFmtId="0" fontId="25" fillId="0" borderId="40" xfId="0" applyFont="1" applyBorder="1" applyAlignment="1" applyProtection="1">
      <alignment horizontal="center"/>
      <protection locked="0"/>
    </xf>
    <xf numFmtId="3" fontId="12" fillId="35" borderId="40" xfId="0" applyNumberFormat="1" applyFont="1" applyFill="1" applyBorder="1" applyAlignment="1" applyProtection="1">
      <alignment/>
      <protection locked="0"/>
    </xf>
    <xf numFmtId="3" fontId="12" fillId="35" borderId="29" xfId="0" applyNumberFormat="1" applyFont="1" applyFill="1" applyBorder="1" applyAlignment="1" applyProtection="1">
      <alignment/>
      <protection locked="0"/>
    </xf>
    <xf numFmtId="3" fontId="12" fillId="35" borderId="31" xfId="0" applyNumberFormat="1" applyFont="1" applyFill="1" applyBorder="1" applyAlignment="1" applyProtection="1">
      <alignment/>
      <protection locked="0"/>
    </xf>
    <xf numFmtId="3" fontId="12" fillId="35" borderId="33" xfId="0" applyNumberFormat="1" applyFont="1" applyFill="1" applyBorder="1" applyAlignment="1" applyProtection="1">
      <alignment/>
      <protection locked="0"/>
    </xf>
    <xf numFmtId="3" fontId="12" fillId="0" borderId="43" xfId="0" applyNumberFormat="1" applyFont="1" applyFill="1" applyBorder="1" applyAlignment="1" applyProtection="1">
      <alignment/>
      <protection locked="0"/>
    </xf>
    <xf numFmtId="0" fontId="0" fillId="36" borderId="27" xfId="0" applyFont="1" applyFill="1" applyBorder="1" applyAlignment="1" applyProtection="1">
      <alignment horizontal="left" wrapText="1"/>
      <protection locked="0"/>
    </xf>
    <xf numFmtId="0" fontId="0" fillId="37" borderId="27" xfId="0" applyFont="1" applyFill="1" applyBorder="1" applyAlignment="1" applyProtection="1">
      <alignment horizontal="left" wrapText="1"/>
      <protection locked="0"/>
    </xf>
    <xf numFmtId="0" fontId="0" fillId="37" borderId="34" xfId="0" applyFont="1" applyFill="1" applyBorder="1" applyAlignment="1" applyProtection="1">
      <alignment horizontal="left" wrapText="1"/>
      <protection locked="0"/>
    </xf>
    <xf numFmtId="4" fontId="0" fillId="37" borderId="27" xfId="0" applyNumberFormat="1" applyFont="1" applyFill="1" applyBorder="1" applyAlignment="1" applyProtection="1">
      <alignment horizontal="left"/>
      <protection locked="0"/>
    </xf>
    <xf numFmtId="4" fontId="0" fillId="37" borderId="34" xfId="0" applyNumberFormat="1" applyFont="1" applyFill="1" applyBorder="1" applyAlignment="1" applyProtection="1">
      <alignment horizontal="left"/>
      <protection locked="0"/>
    </xf>
    <xf numFmtId="0" fontId="0" fillId="37" borderId="34" xfId="0" applyNumberFormat="1" applyFont="1" applyFill="1" applyBorder="1" applyAlignment="1" applyProtection="1">
      <alignment horizontal="left"/>
      <protection locked="0"/>
    </xf>
    <xf numFmtId="0" fontId="19" fillId="37" borderId="34" xfId="51" applyFont="1" applyFill="1" applyBorder="1" applyAlignment="1" applyProtection="1">
      <alignment wrapText="1"/>
      <protection locked="0"/>
    </xf>
    <xf numFmtId="0" fontId="0" fillId="37" borderId="34" xfId="0" applyFont="1" applyFill="1" applyBorder="1" applyAlignment="1" applyProtection="1">
      <alignment wrapText="1"/>
      <protection locked="0"/>
    </xf>
    <xf numFmtId="0" fontId="19" fillId="0" borderId="34" xfId="0" applyFont="1" applyBorder="1" applyAlignment="1" applyProtection="1">
      <alignment horizontal="left" wrapText="1"/>
      <protection locked="0"/>
    </xf>
    <xf numFmtId="0" fontId="0" fillId="0" borderId="27" xfId="0" applyFont="1" applyFill="1" applyBorder="1" applyAlignment="1" applyProtection="1">
      <alignment wrapText="1"/>
      <protection locked="0"/>
    </xf>
    <xf numFmtId="0" fontId="0" fillId="0" borderId="44" xfId="0" applyFont="1" applyFill="1" applyBorder="1" applyAlignment="1" applyProtection="1">
      <alignment horizontal="left" vertical="center" wrapText="1"/>
      <protection locked="0"/>
    </xf>
    <xf numFmtId="0" fontId="0" fillId="0" borderId="34" xfId="0" applyFont="1" applyFill="1" applyBorder="1" applyAlignment="1" applyProtection="1">
      <alignment wrapText="1"/>
      <protection locked="0"/>
    </xf>
    <xf numFmtId="3" fontId="12" fillId="0" borderId="44" xfId="0" applyNumberFormat="1" applyFont="1" applyFill="1" applyBorder="1" applyAlignment="1" applyProtection="1">
      <alignment/>
      <protection locked="0"/>
    </xf>
    <xf numFmtId="0" fontId="9" fillId="0" borderId="72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3" fontId="3" fillId="0" borderId="0" xfId="0" applyNumberFormat="1" applyFont="1" applyFill="1" applyAlignment="1">
      <alignment horizontal="center" wrapText="1"/>
    </xf>
    <xf numFmtId="0" fontId="20" fillId="0" borderId="0" xfId="0" applyFont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40" borderId="8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5" fillId="41" borderId="81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3" fontId="9" fillId="0" borderId="82" xfId="0" applyNumberFormat="1" applyFont="1" applyFill="1" applyBorder="1" applyAlignment="1">
      <alignment horizontal="center" vertical="center"/>
    </xf>
    <xf numFmtId="0" fontId="9" fillId="42" borderId="83" xfId="0" applyFont="1" applyFill="1" applyBorder="1" applyAlignment="1">
      <alignment horizontal="center" vertical="center"/>
    </xf>
    <xf numFmtId="0" fontId="5" fillId="0" borderId="37" xfId="0" applyFont="1" applyBorder="1" applyAlignment="1">
      <alignment/>
    </xf>
    <xf numFmtId="0" fontId="15" fillId="43" borderId="84" xfId="0" applyFont="1" applyFill="1" applyBorder="1" applyAlignment="1">
      <alignment horizontal="center" vertical="center" wrapText="1"/>
    </xf>
    <xf numFmtId="3" fontId="32" fillId="0" borderId="85" xfId="0" applyNumberFormat="1" applyFont="1" applyFill="1" applyBorder="1" applyAlignment="1">
      <alignment horizontal="center" vertical="center" wrapText="1"/>
    </xf>
    <xf numFmtId="3" fontId="31" fillId="0" borderId="86" xfId="0" applyNumberFormat="1" applyFont="1" applyFill="1" applyBorder="1" applyAlignment="1">
      <alignment horizontal="center" vertical="center" wrapText="1"/>
    </xf>
    <xf numFmtId="3" fontId="15" fillId="43" borderId="84" xfId="0" applyNumberFormat="1" applyFont="1" applyFill="1" applyBorder="1" applyAlignment="1">
      <alignment horizontal="center" vertical="center" wrapText="1"/>
    </xf>
    <xf numFmtId="3" fontId="31" fillId="0" borderId="87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33" fillId="0" borderId="88" xfId="0" applyFont="1" applyFill="1" applyBorder="1" applyAlignment="1">
      <alignment/>
    </xf>
    <xf numFmtId="0" fontId="9" fillId="0" borderId="0" xfId="0" applyFont="1" applyBorder="1" applyAlignment="1">
      <alignment horizontal="center" textRotation="90" wrapText="1"/>
    </xf>
    <xf numFmtId="0" fontId="15" fillId="0" borderId="0" xfId="0" applyFont="1" applyFill="1" applyBorder="1" applyAlignment="1">
      <alignment horizontal="center" textRotation="90"/>
    </xf>
    <xf numFmtId="0" fontId="15" fillId="0" borderId="0" xfId="0" applyFont="1" applyFill="1" applyBorder="1" applyAlignment="1">
      <alignment horizontal="center" textRotation="90" wrapText="1"/>
    </xf>
    <xf numFmtId="0" fontId="14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/>
    </xf>
    <xf numFmtId="0" fontId="9" fillId="44" borderId="89" xfId="0" applyFont="1" applyFill="1" applyBorder="1" applyAlignment="1" applyProtection="1">
      <alignment/>
      <protection locked="0"/>
    </xf>
    <xf numFmtId="0" fontId="9" fillId="44" borderId="90" xfId="0" applyFont="1" applyFill="1" applyBorder="1" applyAlignment="1" applyProtection="1">
      <alignment/>
      <protection locked="0"/>
    </xf>
    <xf numFmtId="0" fontId="5" fillId="41" borderId="16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0" borderId="91" xfId="0" applyFont="1" applyBorder="1" applyAlignment="1">
      <alignment/>
    </xf>
    <xf numFmtId="0" fontId="9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3" fontId="23" fillId="40" borderId="77" xfId="0" applyNumberFormat="1" applyFont="1" applyFill="1" applyBorder="1" applyAlignment="1">
      <alignment/>
    </xf>
    <xf numFmtId="3" fontId="23" fillId="40" borderId="56" xfId="0" applyNumberFormat="1" applyFont="1" applyFill="1" applyBorder="1" applyAlignment="1">
      <alignment/>
    </xf>
    <xf numFmtId="3" fontId="23" fillId="40" borderId="51" xfId="0" applyNumberFormat="1" applyFont="1" applyFill="1" applyBorder="1" applyAlignment="1">
      <alignment/>
    </xf>
    <xf numFmtId="3" fontId="23" fillId="40" borderId="52" xfId="0" applyNumberFormat="1" applyFont="1" applyFill="1" applyBorder="1" applyAlignment="1">
      <alignment/>
    </xf>
    <xf numFmtId="3" fontId="23" fillId="40" borderId="55" xfId="0" applyNumberFormat="1" applyFont="1" applyFill="1" applyBorder="1" applyAlignment="1">
      <alignment/>
    </xf>
    <xf numFmtId="3" fontId="23" fillId="40" borderId="53" xfId="0" applyNumberFormat="1" applyFont="1" applyFill="1" applyBorder="1" applyAlignment="1">
      <alignment/>
    </xf>
    <xf numFmtId="3" fontId="23" fillId="40" borderId="54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0" fontId="5" fillId="0" borderId="16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/>
    </xf>
    <xf numFmtId="0" fontId="9" fillId="44" borderId="92" xfId="0" applyFont="1" applyFill="1" applyBorder="1" applyAlignment="1" applyProtection="1">
      <alignment/>
      <protection locked="0"/>
    </xf>
    <xf numFmtId="0" fontId="9" fillId="44" borderId="93" xfId="0" applyFont="1" applyFill="1" applyBorder="1" applyAlignment="1" applyProtection="1">
      <alignment/>
      <protection locked="0"/>
    </xf>
    <xf numFmtId="0" fontId="5" fillId="41" borderId="62" xfId="0" applyFont="1" applyFill="1" applyBorder="1" applyAlignment="1">
      <alignment/>
    </xf>
    <xf numFmtId="0" fontId="0" fillId="41" borderId="26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9" fillId="45" borderId="89" xfId="0" applyFont="1" applyFill="1" applyBorder="1" applyAlignment="1" applyProtection="1">
      <alignment/>
      <protection locked="0"/>
    </xf>
    <xf numFmtId="0" fontId="9" fillId="45" borderId="90" xfId="0" applyFont="1" applyFill="1" applyBorder="1" applyAlignment="1" applyProtection="1">
      <alignment/>
      <protection locked="0"/>
    </xf>
    <xf numFmtId="0" fontId="5" fillId="0" borderId="34" xfId="0" applyFont="1" applyFill="1" applyBorder="1" applyAlignment="1" applyProtection="1">
      <alignment/>
      <protection locked="0"/>
    </xf>
    <xf numFmtId="0" fontId="9" fillId="0" borderId="32" xfId="0" applyFont="1" applyFill="1" applyBorder="1" applyAlignment="1" applyProtection="1">
      <alignment horizontal="center"/>
      <protection locked="0"/>
    </xf>
    <xf numFmtId="0" fontId="9" fillId="0" borderId="31" xfId="0" applyFont="1" applyFill="1" applyBorder="1" applyAlignment="1" applyProtection="1">
      <alignment horizontal="center"/>
      <protection locked="0"/>
    </xf>
    <xf numFmtId="0" fontId="9" fillId="0" borderId="40" xfId="0" applyFont="1" applyFill="1" applyBorder="1" applyAlignment="1" applyProtection="1">
      <alignment horizontal="center"/>
      <protection locked="0"/>
    </xf>
    <xf numFmtId="0" fontId="9" fillId="46" borderId="94" xfId="0" applyFont="1" applyFill="1" applyBorder="1" applyAlignment="1" applyProtection="1">
      <alignment/>
      <protection locked="0"/>
    </xf>
    <xf numFmtId="0" fontId="9" fillId="46" borderId="95" xfId="0" applyFont="1" applyFill="1" applyBorder="1" applyAlignment="1" applyProtection="1">
      <alignment/>
      <protection locked="0"/>
    </xf>
    <xf numFmtId="0" fontId="5" fillId="37" borderId="34" xfId="0" applyFont="1" applyFill="1" applyBorder="1" applyAlignment="1" applyProtection="1">
      <alignment/>
      <protection locked="0"/>
    </xf>
    <xf numFmtId="0" fontId="9" fillId="44" borderId="96" xfId="0" applyFont="1" applyFill="1" applyBorder="1" applyAlignment="1" applyProtection="1">
      <alignment/>
      <protection locked="0"/>
    </xf>
    <xf numFmtId="0" fontId="9" fillId="44" borderId="97" xfId="0" applyFont="1" applyFill="1" applyBorder="1" applyAlignment="1" applyProtection="1">
      <alignment/>
      <protection locked="0"/>
    </xf>
    <xf numFmtId="0" fontId="19" fillId="37" borderId="33" xfId="51" applyFont="1" applyFill="1" applyBorder="1" applyAlignment="1" applyProtection="1">
      <alignment wrapText="1"/>
      <protection locked="0"/>
    </xf>
    <xf numFmtId="0" fontId="9" fillId="45" borderId="94" xfId="0" applyFont="1" applyFill="1" applyBorder="1" applyAlignment="1" applyProtection="1">
      <alignment/>
      <protection locked="0"/>
    </xf>
    <xf numFmtId="0" fontId="9" fillId="45" borderId="95" xfId="0" applyFont="1" applyFill="1" applyBorder="1" applyAlignment="1" applyProtection="1">
      <alignment/>
      <protection locked="0"/>
    </xf>
    <xf numFmtId="0" fontId="9" fillId="44" borderId="94" xfId="0" applyFont="1" applyFill="1" applyBorder="1" applyAlignment="1" applyProtection="1">
      <alignment/>
      <protection locked="0"/>
    </xf>
    <xf numFmtId="0" fontId="9" fillId="44" borderId="95" xfId="0" applyFont="1" applyFill="1" applyBorder="1" applyAlignment="1" applyProtection="1">
      <alignment/>
      <protection locked="0"/>
    </xf>
    <xf numFmtId="0" fontId="5" fillId="41" borderId="98" xfId="0" applyFont="1" applyFill="1" applyBorder="1" applyAlignment="1">
      <alignment/>
    </xf>
    <xf numFmtId="0" fontId="5" fillId="40" borderId="99" xfId="0" applyFont="1" applyFill="1" applyBorder="1" applyAlignment="1">
      <alignment/>
    </xf>
    <xf numFmtId="0" fontId="0" fillId="40" borderId="100" xfId="0" applyFont="1" applyFill="1" applyBorder="1" applyAlignment="1">
      <alignment/>
    </xf>
    <xf numFmtId="0" fontId="9" fillId="47" borderId="101" xfId="47" applyFont="1" applyFill="1" applyBorder="1" applyAlignment="1">
      <alignment/>
      <protection/>
    </xf>
    <xf numFmtId="0" fontId="9" fillId="47" borderId="102" xfId="47" applyFont="1" applyFill="1" applyBorder="1" applyAlignment="1">
      <alignment/>
      <protection/>
    </xf>
    <xf numFmtId="0" fontId="5" fillId="36" borderId="34" xfId="47" applyFont="1" applyFill="1" applyBorder="1" applyAlignment="1">
      <alignment/>
      <protection/>
    </xf>
    <xf numFmtId="0" fontId="9" fillId="38" borderId="103" xfId="47" applyFont="1" applyFill="1" applyBorder="1" applyAlignment="1">
      <alignment horizontal="center"/>
      <protection/>
    </xf>
    <xf numFmtId="0" fontId="9" fillId="0" borderId="80" xfId="47" applyFont="1" applyBorder="1" applyAlignment="1">
      <alignment horizontal="center"/>
      <protection/>
    </xf>
    <xf numFmtId="0" fontId="9" fillId="0" borderId="104" xfId="47" applyFont="1" applyBorder="1" applyAlignment="1">
      <alignment horizontal="center"/>
      <protection/>
    </xf>
    <xf numFmtId="3" fontId="12" fillId="0" borderId="34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/>
    </xf>
    <xf numFmtId="3" fontId="12" fillId="0" borderId="36" xfId="0" applyNumberFormat="1" applyFont="1" applyFill="1" applyBorder="1" applyAlignment="1">
      <alignment/>
    </xf>
    <xf numFmtId="3" fontId="12" fillId="33" borderId="34" xfId="0" applyNumberFormat="1" applyFont="1" applyFill="1" applyBorder="1" applyAlignment="1">
      <alignment/>
    </xf>
    <xf numFmtId="3" fontId="12" fillId="33" borderId="35" xfId="0" applyNumberFormat="1" applyFont="1" applyFill="1" applyBorder="1" applyAlignment="1">
      <alignment/>
    </xf>
    <xf numFmtId="3" fontId="17" fillId="33" borderId="37" xfId="0" applyNumberFormat="1" applyFont="1" applyFill="1" applyBorder="1" applyAlignment="1">
      <alignment/>
    </xf>
    <xf numFmtId="3" fontId="12" fillId="0" borderId="73" xfId="0" applyNumberFormat="1" applyFont="1" applyFill="1" applyBorder="1" applyAlignment="1">
      <alignment/>
    </xf>
    <xf numFmtId="3" fontId="12" fillId="0" borderId="71" xfId="0" applyNumberFormat="1" applyFont="1" applyFill="1" applyBorder="1" applyAlignment="1">
      <alignment/>
    </xf>
    <xf numFmtId="3" fontId="12" fillId="34" borderId="28" xfId="0" applyNumberFormat="1" applyFont="1" applyFill="1" applyBorder="1" applyAlignment="1">
      <alignment/>
    </xf>
    <xf numFmtId="3" fontId="12" fillId="0" borderId="75" xfId="0" applyNumberFormat="1" applyFont="1" applyFill="1" applyBorder="1" applyAlignment="1">
      <alignment/>
    </xf>
    <xf numFmtId="0" fontId="9" fillId="0" borderId="35" xfId="0" applyFont="1" applyBorder="1" applyAlignment="1" applyProtection="1">
      <alignment horizontal="center" vertical="top" wrapText="1"/>
      <protection locked="0"/>
    </xf>
    <xf numFmtId="0" fontId="9" fillId="44" borderId="105" xfId="0" applyFont="1" applyFill="1" applyBorder="1" applyAlignment="1" applyProtection="1">
      <alignment/>
      <protection locked="0"/>
    </xf>
    <xf numFmtId="0" fontId="9" fillId="44" borderId="106" xfId="0" applyFont="1" applyFill="1" applyBorder="1" applyAlignment="1" applyProtection="1">
      <alignment/>
      <protection locked="0"/>
    </xf>
    <xf numFmtId="0" fontId="5" fillId="37" borderId="34" xfId="0" applyFont="1" applyFill="1" applyBorder="1" applyAlignment="1" applyProtection="1">
      <alignment/>
      <protection locked="0"/>
    </xf>
    <xf numFmtId="0" fontId="0" fillId="0" borderId="35" xfId="0" applyNumberFormat="1" applyFont="1" applyFill="1" applyBorder="1" applyAlignment="1" applyProtection="1">
      <alignment horizontal="right"/>
      <protection locked="0"/>
    </xf>
    <xf numFmtId="0" fontId="9" fillId="38" borderId="107" xfId="47" applyFont="1" applyFill="1" applyBorder="1" applyAlignment="1">
      <alignment horizontal="center"/>
      <protection/>
    </xf>
    <xf numFmtId="0" fontId="9" fillId="0" borderId="108" xfId="47" applyFont="1" applyBorder="1" applyAlignment="1">
      <alignment horizontal="center"/>
      <protection/>
    </xf>
    <xf numFmtId="0" fontId="9" fillId="0" borderId="109" xfId="47" applyFont="1" applyBorder="1" applyAlignment="1">
      <alignment horizontal="center"/>
      <protection/>
    </xf>
    <xf numFmtId="3" fontId="12" fillId="0" borderId="27" xfId="0" applyNumberFormat="1" applyFont="1" applyFill="1" applyBorder="1" applyAlignment="1">
      <alignment/>
    </xf>
    <xf numFmtId="3" fontId="12" fillId="0" borderId="28" xfId="0" applyNumberFormat="1" applyFont="1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12" fillId="33" borderId="27" xfId="0" applyNumberFormat="1" applyFont="1" applyFill="1" applyBorder="1" applyAlignment="1">
      <alignment/>
    </xf>
    <xf numFmtId="3" fontId="12" fillId="33" borderId="28" xfId="0" applyNumberFormat="1" applyFont="1" applyFill="1" applyBorder="1" applyAlignment="1">
      <alignment/>
    </xf>
    <xf numFmtId="3" fontId="17" fillId="33" borderId="31" xfId="0" applyNumberFormat="1" applyFont="1" applyFill="1" applyBorder="1" applyAlignment="1">
      <alignment/>
    </xf>
    <xf numFmtId="3" fontId="12" fillId="0" borderId="31" xfId="0" applyNumberFormat="1" applyFont="1" applyFill="1" applyBorder="1" applyAlignment="1">
      <alignment/>
    </xf>
    <xf numFmtId="3" fontId="12" fillId="34" borderId="32" xfId="0" applyNumberFormat="1" applyFont="1" applyFill="1" applyBorder="1" applyAlignment="1">
      <alignment/>
    </xf>
    <xf numFmtId="3" fontId="12" fillId="0" borderId="33" xfId="0" applyNumberFormat="1" applyFont="1" applyFill="1" applyBorder="1" applyAlignment="1">
      <alignment/>
    </xf>
    <xf numFmtId="0" fontId="5" fillId="0" borderId="34" xfId="47" applyFont="1" applyFill="1" applyBorder="1" applyAlignment="1">
      <alignment/>
      <protection/>
    </xf>
    <xf numFmtId="0" fontId="9" fillId="47" borderId="110" xfId="47" applyFont="1" applyFill="1" applyBorder="1" applyAlignment="1">
      <alignment/>
      <protection/>
    </xf>
    <xf numFmtId="0" fontId="9" fillId="47" borderId="111" xfId="47" applyFont="1" applyFill="1" applyBorder="1" applyAlignment="1">
      <alignment/>
      <protection/>
    </xf>
    <xf numFmtId="0" fontId="5" fillId="0" borderId="34" xfId="0" applyFont="1" applyFill="1" applyBorder="1" applyAlignment="1">
      <alignment/>
    </xf>
    <xf numFmtId="0" fontId="9" fillId="0" borderId="112" xfId="47" applyFont="1" applyBorder="1" applyAlignment="1">
      <alignment horizontal="center"/>
      <protection/>
    </xf>
    <xf numFmtId="0" fontId="9" fillId="0" borderId="81" xfId="47" applyFont="1" applyBorder="1" applyAlignment="1">
      <alignment horizontal="center"/>
      <protection/>
    </xf>
    <xf numFmtId="0" fontId="9" fillId="0" borderId="113" xfId="47" applyFont="1" applyBorder="1" applyAlignment="1">
      <alignment horizontal="center"/>
      <protection/>
    </xf>
    <xf numFmtId="3" fontId="12" fillId="0" borderId="38" xfId="0" applyNumberFormat="1" applyFont="1" applyFill="1" applyBorder="1" applyAlignment="1">
      <alignment/>
    </xf>
    <xf numFmtId="3" fontId="12" fillId="0" borderId="41" xfId="0" applyNumberFormat="1" applyFont="1" applyFill="1" applyBorder="1" applyAlignment="1">
      <alignment/>
    </xf>
    <xf numFmtId="3" fontId="12" fillId="33" borderId="38" xfId="0" applyNumberFormat="1" applyFont="1" applyFill="1" applyBorder="1" applyAlignment="1">
      <alignment/>
    </xf>
    <xf numFmtId="3" fontId="12" fillId="0" borderId="37" xfId="0" applyNumberFormat="1" applyFont="1" applyFill="1" applyBorder="1" applyAlignment="1">
      <alignment/>
    </xf>
    <xf numFmtId="3" fontId="12" fillId="34" borderId="38" xfId="0" applyNumberFormat="1" applyFont="1" applyFill="1" applyBorder="1" applyAlignment="1">
      <alignment/>
    </xf>
    <xf numFmtId="3" fontId="12" fillId="34" borderId="35" xfId="0" applyNumberFormat="1" applyFont="1" applyFill="1" applyBorder="1" applyAlignment="1">
      <alignment/>
    </xf>
    <xf numFmtId="3" fontId="12" fillId="0" borderId="39" xfId="0" applyNumberFormat="1" applyFont="1" applyFill="1" applyBorder="1" applyAlignment="1">
      <alignment/>
    </xf>
    <xf numFmtId="0" fontId="9" fillId="0" borderId="94" xfId="0" applyFont="1" applyFill="1" applyBorder="1" applyAlignment="1" applyProtection="1">
      <alignment/>
      <protection locked="0"/>
    </xf>
    <xf numFmtId="0" fontId="9" fillId="48" borderId="95" xfId="0" applyFont="1" applyFill="1" applyBorder="1" applyAlignment="1" applyProtection="1">
      <alignment/>
      <protection locked="0"/>
    </xf>
    <xf numFmtId="0" fontId="9" fillId="47" borderId="114" xfId="47" applyFont="1" applyFill="1" applyBorder="1" applyAlignment="1">
      <alignment/>
      <protection/>
    </xf>
    <xf numFmtId="0" fontId="0" fillId="0" borderId="39" xfId="0" applyFont="1" applyFill="1" applyBorder="1" applyAlignment="1" applyProtection="1">
      <alignment horizontal="left"/>
      <protection locked="0"/>
    </xf>
    <xf numFmtId="0" fontId="9" fillId="35" borderId="35" xfId="0" applyFont="1" applyFill="1" applyBorder="1" applyAlignment="1" applyProtection="1">
      <alignment horizontal="center"/>
      <protection locked="0"/>
    </xf>
    <xf numFmtId="0" fontId="9" fillId="35" borderId="37" xfId="0" applyFont="1" applyFill="1" applyBorder="1" applyAlignment="1" applyProtection="1">
      <alignment horizontal="center"/>
      <protection locked="0"/>
    </xf>
    <xf numFmtId="0" fontId="9" fillId="47" borderId="115" xfId="47" applyFont="1" applyFill="1" applyBorder="1" applyAlignment="1">
      <alignment/>
      <protection/>
    </xf>
    <xf numFmtId="0" fontId="9" fillId="47" borderId="116" xfId="47" applyFont="1" applyFill="1" applyBorder="1" applyAlignment="1">
      <alignment/>
      <protection/>
    </xf>
    <xf numFmtId="0" fontId="20" fillId="49" borderId="38" xfId="0" applyFont="1" applyFill="1" applyBorder="1" applyAlignment="1">
      <alignment/>
    </xf>
    <xf numFmtId="0" fontId="9" fillId="49" borderId="35" xfId="0" applyFont="1" applyFill="1" applyBorder="1" applyAlignment="1">
      <alignment/>
    </xf>
    <xf numFmtId="0" fontId="0" fillId="0" borderId="39" xfId="0" applyFont="1" applyFill="1" applyBorder="1" applyAlignment="1">
      <alignment horizontal="left" wrapText="1"/>
    </xf>
    <xf numFmtId="0" fontId="20" fillId="49" borderId="32" xfId="0" applyFont="1" applyFill="1" applyBorder="1" applyAlignment="1">
      <alignment/>
    </xf>
    <xf numFmtId="0" fontId="9" fillId="49" borderId="28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0" fillId="0" borderId="27" xfId="0" applyFont="1" applyFill="1" applyBorder="1" applyAlignment="1">
      <alignment horizontal="left" wrapText="1"/>
    </xf>
    <xf numFmtId="0" fontId="9" fillId="38" borderId="117" xfId="47" applyFont="1" applyFill="1" applyBorder="1" applyAlignment="1">
      <alignment horizontal="center"/>
      <protection/>
    </xf>
    <xf numFmtId="0" fontId="9" fillId="0" borderId="118" xfId="47" applyFont="1" applyBorder="1" applyAlignment="1">
      <alignment horizontal="center"/>
      <protection/>
    </xf>
    <xf numFmtId="0" fontId="9" fillId="0" borderId="119" xfId="47" applyFont="1" applyBorder="1" applyAlignment="1">
      <alignment horizontal="center"/>
      <protection/>
    </xf>
    <xf numFmtId="0" fontId="9" fillId="0" borderId="120" xfId="47" applyFont="1" applyBorder="1" applyAlignment="1">
      <alignment horizontal="center"/>
      <protection/>
    </xf>
    <xf numFmtId="3" fontId="12" fillId="0" borderId="40" xfId="0" applyNumberFormat="1" applyFont="1" applyFill="1" applyBorder="1" applyAlignment="1">
      <alignment/>
    </xf>
    <xf numFmtId="0" fontId="9" fillId="35" borderId="31" xfId="0" applyFont="1" applyFill="1" applyBorder="1" applyAlignment="1" applyProtection="1">
      <alignment horizontal="center"/>
      <protection locked="0"/>
    </xf>
    <xf numFmtId="0" fontId="9" fillId="0" borderId="121" xfId="47" applyFont="1" applyBorder="1" applyAlignment="1">
      <alignment horizontal="center"/>
      <protection/>
    </xf>
    <xf numFmtId="0" fontId="9" fillId="0" borderId="10" xfId="0" applyFont="1" applyFill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0" fillId="0" borderId="34" xfId="51" applyFont="1" applyFill="1" applyBorder="1" applyAlignment="1" applyProtection="1">
      <alignment wrapText="1"/>
      <protection locked="0"/>
    </xf>
    <xf numFmtId="0" fontId="20" fillId="49" borderId="51" xfId="0" applyFont="1" applyFill="1" applyBorder="1" applyAlignment="1">
      <alignment/>
    </xf>
    <xf numFmtId="0" fontId="9" fillId="49" borderId="55" xfId="0" applyFont="1" applyFill="1" applyBorder="1" applyAlignment="1">
      <alignment/>
    </xf>
    <xf numFmtId="0" fontId="9" fillId="50" borderId="122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0" fillId="0" borderId="54" xfId="0" applyFont="1" applyFill="1" applyBorder="1" applyAlignment="1">
      <alignment horizontal="left" wrapText="1"/>
    </xf>
    <xf numFmtId="0" fontId="9" fillId="38" borderId="123" xfId="47" applyFont="1" applyFill="1" applyBorder="1" applyAlignment="1">
      <alignment horizontal="center"/>
      <protection/>
    </xf>
    <xf numFmtId="0" fontId="9" fillId="0" borderId="86" xfId="47" applyFont="1" applyBorder="1" applyAlignment="1">
      <alignment horizontal="center"/>
      <protection/>
    </xf>
    <xf numFmtId="0" fontId="9" fillId="0" borderId="52" xfId="47" applyFont="1" applyBorder="1" applyAlignment="1">
      <alignment horizontal="center"/>
      <protection/>
    </xf>
    <xf numFmtId="3" fontId="12" fillId="33" borderId="55" xfId="0" applyNumberFormat="1" applyFont="1" applyFill="1" applyBorder="1" applyAlignment="1">
      <alignment/>
    </xf>
    <xf numFmtId="0" fontId="0" fillId="0" borderId="91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vertical="center"/>
    </xf>
    <xf numFmtId="0" fontId="9" fillId="0" borderId="0" xfId="0" applyFont="1" applyBorder="1" applyAlignment="1">
      <alignment horizontal="center" textRotation="90"/>
    </xf>
    <xf numFmtId="0" fontId="5" fillId="0" borderId="10" xfId="0" applyFont="1" applyFill="1" applyBorder="1" applyAlignment="1">
      <alignment/>
    </xf>
    <xf numFmtId="0" fontId="5" fillId="37" borderId="23" xfId="0" applyFont="1" applyFill="1" applyBorder="1" applyAlignment="1" applyProtection="1">
      <alignment/>
      <protection locked="0"/>
    </xf>
    <xf numFmtId="4" fontId="0" fillId="37" borderId="23" xfId="0" applyNumberFormat="1" applyFont="1" applyFill="1" applyBorder="1" applyAlignment="1" applyProtection="1">
      <alignment horizontal="left"/>
      <protection locked="0"/>
    </xf>
    <xf numFmtId="0" fontId="0" fillId="0" borderId="24" xfId="52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>
      <alignment/>
    </xf>
    <xf numFmtId="0" fontId="5" fillId="36" borderId="34" xfId="0" applyFont="1" applyFill="1" applyBorder="1" applyAlignment="1" applyProtection="1">
      <alignment/>
      <protection locked="0"/>
    </xf>
    <xf numFmtId="0" fontId="0" fillId="36" borderId="34" xfId="0" applyFont="1" applyFill="1" applyBorder="1" applyAlignment="1" applyProtection="1">
      <alignment horizontal="left" wrapText="1"/>
      <protection locked="0"/>
    </xf>
    <xf numFmtId="0" fontId="0" fillId="0" borderId="35" xfId="52" applyFont="1" applyFill="1" applyBorder="1" applyAlignment="1" applyProtection="1">
      <alignment horizontal="center"/>
      <protection locked="0"/>
    </xf>
    <xf numFmtId="4" fontId="0" fillId="36" borderId="34" xfId="0" applyNumberFormat="1" applyFont="1" applyFill="1" applyBorder="1" applyAlignment="1" applyProtection="1">
      <alignment/>
      <protection locked="0"/>
    </xf>
    <xf numFmtId="4" fontId="0" fillId="37" borderId="34" xfId="0" applyNumberFormat="1" applyFont="1" applyFill="1" applyBorder="1" applyAlignment="1" applyProtection="1">
      <alignment wrapText="1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0" fillId="35" borderId="35" xfId="0" applyFont="1" applyFill="1" applyBorder="1" applyAlignment="1" applyProtection="1">
      <alignment horizontal="center"/>
      <protection locked="0"/>
    </xf>
    <xf numFmtId="0" fontId="19" fillId="37" borderId="27" xfId="51" applyFont="1" applyFill="1" applyBorder="1" applyAlignment="1" applyProtection="1">
      <alignment wrapText="1"/>
      <protection locked="0"/>
    </xf>
    <xf numFmtId="0" fontId="0" fillId="0" borderId="34" xfId="0" applyFont="1" applyFill="1" applyBorder="1" applyAlignment="1" applyProtection="1">
      <alignment horizontal="left" wrapText="1"/>
      <protection locked="0"/>
    </xf>
    <xf numFmtId="0" fontId="9" fillId="44" borderId="94" xfId="0" applyFont="1" applyFill="1" applyBorder="1" applyAlignment="1" applyProtection="1">
      <alignment/>
      <protection locked="0"/>
    </xf>
    <xf numFmtId="0" fontId="9" fillId="44" borderId="95" xfId="0" applyFont="1" applyFill="1" applyBorder="1" applyAlignment="1" applyProtection="1">
      <alignment/>
      <protection locked="0"/>
    </xf>
    <xf numFmtId="0" fontId="9" fillId="0" borderId="37" xfId="0" applyFont="1" applyFill="1" applyBorder="1" applyAlignment="1" applyProtection="1">
      <alignment horizontal="center" shrinkToFit="1"/>
      <protection locked="0"/>
    </xf>
    <xf numFmtId="0" fontId="9" fillId="0" borderId="41" xfId="0" applyFont="1" applyFill="1" applyBorder="1" applyAlignment="1" applyProtection="1">
      <alignment horizontal="center" shrinkToFit="1"/>
      <protection locked="0"/>
    </xf>
    <xf numFmtId="0" fontId="5" fillId="0" borderId="12" xfId="0" applyFont="1" applyFill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0" fillId="0" borderId="28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/>
    </xf>
    <xf numFmtId="0" fontId="9" fillId="44" borderId="105" xfId="0" applyFont="1" applyFill="1" applyBorder="1" applyAlignment="1" applyProtection="1">
      <alignment/>
      <protection locked="0"/>
    </xf>
    <xf numFmtId="0" fontId="9" fillId="44" borderId="106" xfId="0" applyFont="1" applyFill="1" applyBorder="1" applyAlignment="1" applyProtection="1">
      <alignment/>
      <protection locked="0"/>
    </xf>
    <xf numFmtId="0" fontId="5" fillId="0" borderId="50" xfId="0" applyFont="1" applyFill="1" applyBorder="1" applyAlignment="1" applyProtection="1">
      <alignment/>
      <protection locked="0"/>
    </xf>
    <xf numFmtId="0" fontId="0" fillId="0" borderId="35" xfId="0" applyNumberFormat="1" applyFont="1" applyFill="1" applyBorder="1" applyAlignment="1" applyProtection="1">
      <alignment horizontal="right" vertical="center"/>
      <protection locked="0"/>
    </xf>
    <xf numFmtId="0" fontId="9" fillId="44" borderId="124" xfId="0" applyFont="1" applyFill="1" applyBorder="1" applyAlignment="1" applyProtection="1">
      <alignment/>
      <protection locked="0"/>
    </xf>
    <xf numFmtId="0" fontId="9" fillId="39" borderId="125" xfId="0" applyFont="1" applyFill="1" applyBorder="1" applyAlignment="1" applyProtection="1">
      <alignment/>
      <protection locked="0"/>
    </xf>
    <xf numFmtId="0" fontId="5" fillId="41" borderId="34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9" fillId="39" borderId="97" xfId="0" applyFont="1" applyFill="1" applyBorder="1" applyAlignment="1" applyProtection="1">
      <alignment/>
      <protection locked="0"/>
    </xf>
    <xf numFmtId="0" fontId="0" fillId="41" borderId="34" xfId="0" applyFont="1" applyFill="1" applyBorder="1" applyAlignment="1">
      <alignment/>
    </xf>
    <xf numFmtId="0" fontId="20" fillId="0" borderId="10" xfId="0" applyFont="1" applyBorder="1" applyAlignment="1">
      <alignment/>
    </xf>
    <xf numFmtId="0" fontId="9" fillId="51" borderId="41" xfId="0" applyFont="1" applyFill="1" applyBorder="1" applyAlignment="1">
      <alignment/>
    </xf>
    <xf numFmtId="0" fontId="0" fillId="0" borderId="63" xfId="0" applyFont="1" applyFill="1" applyBorder="1" applyAlignment="1">
      <alignment horizontal="left" wrapText="1"/>
    </xf>
    <xf numFmtId="0" fontId="9" fillId="44" borderId="41" xfId="0" applyFont="1" applyFill="1" applyBorder="1" applyAlignment="1">
      <alignment/>
    </xf>
    <xf numFmtId="0" fontId="20" fillId="0" borderId="12" xfId="0" applyFont="1" applyBorder="1" applyAlignment="1">
      <alignment/>
    </xf>
    <xf numFmtId="0" fontId="9" fillId="51" borderId="40" xfId="0" applyFont="1" applyFill="1" applyBorder="1" applyAlignment="1">
      <alignment/>
    </xf>
    <xf numFmtId="0" fontId="9" fillId="44" borderId="40" xfId="0" applyFont="1" applyFill="1" applyBorder="1" applyAlignment="1">
      <alignment/>
    </xf>
    <xf numFmtId="0" fontId="35" fillId="0" borderId="126" xfId="0" applyFont="1" applyFill="1" applyBorder="1" applyAlignment="1">
      <alignment/>
    </xf>
    <xf numFmtId="0" fontId="9" fillId="0" borderId="127" xfId="0" applyFont="1" applyFill="1" applyBorder="1" applyAlignment="1">
      <alignment/>
    </xf>
    <xf numFmtId="3" fontId="23" fillId="40" borderId="18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textRotation="90" wrapText="1"/>
    </xf>
    <xf numFmtId="0" fontId="9" fillId="0" borderId="0" xfId="0" applyFont="1" applyFill="1" applyBorder="1" applyAlignment="1">
      <alignment horizontal="center" textRotation="90"/>
    </xf>
    <xf numFmtId="0" fontId="5" fillId="0" borderId="76" xfId="0" applyFont="1" applyFill="1" applyBorder="1" applyAlignment="1">
      <alignment/>
    </xf>
    <xf numFmtId="0" fontId="5" fillId="0" borderId="23" xfId="0" applyFont="1" applyFill="1" applyBorder="1" applyAlignment="1" applyProtection="1">
      <alignment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0" fillId="0" borderId="76" xfId="0" applyFont="1" applyBorder="1" applyAlignment="1">
      <alignment/>
    </xf>
    <xf numFmtId="0" fontId="9" fillId="0" borderId="38" xfId="0" applyFont="1" applyFill="1" applyBorder="1" applyAlignment="1" applyProtection="1">
      <alignment horizontal="center"/>
      <protection locked="0"/>
    </xf>
    <xf numFmtId="0" fontId="5" fillId="0" borderId="44" xfId="0" applyFont="1" applyFill="1" applyBorder="1" applyAlignment="1" applyProtection="1">
      <alignment/>
      <protection locked="0"/>
    </xf>
    <xf numFmtId="0" fontId="9" fillId="0" borderId="47" xfId="0" applyFont="1" applyFill="1" applyBorder="1" applyAlignment="1" applyProtection="1">
      <alignment horizontal="center"/>
      <protection locked="0"/>
    </xf>
    <xf numFmtId="0" fontId="9" fillId="0" borderId="42" xfId="0" applyFont="1" applyFill="1" applyBorder="1" applyAlignment="1" applyProtection="1">
      <alignment horizontal="center"/>
      <protection locked="0"/>
    </xf>
    <xf numFmtId="0" fontId="9" fillId="0" borderId="43" xfId="0" applyFont="1" applyFill="1" applyBorder="1" applyAlignment="1" applyProtection="1">
      <alignment horizontal="center"/>
      <protection locked="0"/>
    </xf>
    <xf numFmtId="0" fontId="5" fillId="0" borderId="127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9" fillId="52" borderId="80" xfId="0" applyFont="1" applyFill="1" applyBorder="1" applyAlignment="1">
      <alignment/>
    </xf>
    <xf numFmtId="0" fontId="9" fillId="47" borderId="104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35" borderId="26" xfId="0" applyFont="1" applyFill="1" applyBorder="1" applyAlignment="1">
      <alignment horizontal="left" wrapText="1"/>
    </xf>
    <xf numFmtId="0" fontId="9" fillId="35" borderId="24" xfId="0" applyFont="1" applyFill="1" applyBorder="1" applyAlignment="1">
      <alignment horizontal="center"/>
    </xf>
    <xf numFmtId="0" fontId="9" fillId="35" borderId="21" xfId="0" applyFont="1" applyFill="1" applyBorder="1" applyAlignment="1">
      <alignment horizontal="center"/>
    </xf>
    <xf numFmtId="0" fontId="34" fillId="35" borderId="21" xfId="0" applyFont="1" applyFill="1" applyBorder="1" applyAlignment="1">
      <alignment horizontal="center"/>
    </xf>
    <xf numFmtId="0" fontId="34" fillId="35" borderId="25" xfId="0" applyFont="1" applyFill="1" applyBorder="1" applyAlignment="1">
      <alignment horizontal="center"/>
    </xf>
    <xf numFmtId="3" fontId="12" fillId="35" borderId="23" xfId="0" applyNumberFormat="1" applyFont="1" applyFill="1" applyBorder="1" applyAlignment="1">
      <alignment/>
    </xf>
    <xf numFmtId="3" fontId="12" fillId="0" borderId="59" xfId="0" applyNumberFormat="1" applyFont="1" applyFill="1" applyBorder="1" applyAlignment="1">
      <alignment/>
    </xf>
    <xf numFmtId="3" fontId="12" fillId="0" borderId="22" xfId="0" applyNumberFormat="1" applyFont="1" applyFill="1" applyBorder="1" applyAlignment="1">
      <alignment/>
    </xf>
    <xf numFmtId="3" fontId="12" fillId="33" borderId="59" xfId="0" applyNumberFormat="1" applyFont="1" applyFill="1" applyBorder="1" applyAlignment="1">
      <alignment/>
    </xf>
    <xf numFmtId="0" fontId="0" fillId="49" borderId="0" xfId="0" applyFont="1" applyFill="1" applyAlignment="1">
      <alignment/>
    </xf>
    <xf numFmtId="0" fontId="0" fillId="49" borderId="0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0" fillId="35" borderId="57" xfId="0" applyFont="1" applyFill="1" applyBorder="1" applyAlignment="1">
      <alignment horizontal="left" wrapText="1"/>
    </xf>
    <xf numFmtId="0" fontId="9" fillId="35" borderId="55" xfId="0" applyFont="1" applyFill="1" applyBorder="1" applyAlignment="1">
      <alignment horizontal="center"/>
    </xf>
    <xf numFmtId="0" fontId="9" fillId="35" borderId="42" xfId="0" applyFont="1" applyFill="1" applyBorder="1" applyAlignment="1">
      <alignment horizontal="center"/>
    </xf>
    <xf numFmtId="0" fontId="34" fillId="35" borderId="52" xfId="0" applyFont="1" applyFill="1" applyBorder="1" applyAlignment="1">
      <alignment horizontal="center"/>
    </xf>
    <xf numFmtId="0" fontId="34" fillId="35" borderId="56" xfId="0" applyFont="1" applyFill="1" applyBorder="1" applyAlignment="1">
      <alignment horizontal="center"/>
    </xf>
    <xf numFmtId="3" fontId="12" fillId="35" borderId="54" xfId="0" applyNumberFormat="1" applyFont="1" applyFill="1" applyBorder="1" applyAlignment="1">
      <alignment/>
    </xf>
    <xf numFmtId="3" fontId="12" fillId="0" borderId="86" xfId="0" applyNumberFormat="1" applyFont="1" applyFill="1" applyBorder="1" applyAlignment="1">
      <alignment/>
    </xf>
    <xf numFmtId="3" fontId="12" fillId="0" borderId="53" xfId="0" applyNumberFormat="1" applyFont="1" applyFill="1" applyBorder="1" applyAlignment="1">
      <alignment/>
    </xf>
    <xf numFmtId="3" fontId="12" fillId="33" borderId="86" xfId="0" applyNumberFormat="1" applyFont="1" applyFill="1" applyBorder="1" applyAlignment="1">
      <alignment/>
    </xf>
    <xf numFmtId="0" fontId="20" fillId="0" borderId="0" xfId="0" applyFont="1" applyBorder="1" applyAlignment="1">
      <alignment horizontal="right"/>
    </xf>
    <xf numFmtId="3" fontId="23" fillId="40" borderId="60" xfId="0" applyNumberFormat="1" applyFont="1" applyFill="1" applyBorder="1" applyAlignment="1">
      <alignment horizontal="right"/>
    </xf>
    <xf numFmtId="3" fontId="23" fillId="40" borderId="16" xfId="0" applyNumberFormat="1" applyFont="1" applyFill="1" applyBorder="1" applyAlignment="1">
      <alignment horizontal="right"/>
    </xf>
    <xf numFmtId="0" fontId="5" fillId="41" borderId="128" xfId="0" applyFont="1" applyFill="1" applyBorder="1" applyAlignment="1">
      <alignment/>
    </xf>
    <xf numFmtId="0" fontId="0" fillId="41" borderId="129" xfId="0" applyFont="1" applyFill="1" applyBorder="1" applyAlignment="1">
      <alignment/>
    </xf>
    <xf numFmtId="0" fontId="5" fillId="41" borderId="130" xfId="0" applyFont="1" applyFill="1" applyBorder="1" applyAlignment="1">
      <alignment/>
    </xf>
    <xf numFmtId="0" fontId="0" fillId="41" borderId="23" xfId="0" applyFont="1" applyFill="1" applyBorder="1" applyAlignment="1">
      <alignment/>
    </xf>
    <xf numFmtId="0" fontId="20" fillId="0" borderId="37" xfId="0" applyFont="1" applyBorder="1" applyAlignment="1">
      <alignment/>
    </xf>
    <xf numFmtId="0" fontId="9" fillId="51" borderId="35" xfId="0" applyFont="1" applyFill="1" applyBorder="1" applyAlignment="1">
      <alignment/>
    </xf>
    <xf numFmtId="0" fontId="9" fillId="35" borderId="131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9" fillId="0" borderId="38" xfId="0" applyFont="1" applyBorder="1" applyAlignment="1" applyProtection="1">
      <alignment horizontal="right"/>
      <protection locked="0"/>
    </xf>
    <xf numFmtId="0" fontId="9" fillId="35" borderId="38" xfId="0" applyFont="1" applyFill="1" applyBorder="1" applyAlignment="1" applyProtection="1">
      <alignment horizontal="center"/>
      <protection locked="0"/>
    </xf>
    <xf numFmtId="0" fontId="0" fillId="35" borderId="34" xfId="0" applyFont="1" applyFill="1" applyBorder="1" applyAlignment="1" applyProtection="1">
      <alignment horizontal="left" wrapText="1"/>
      <protection locked="0"/>
    </xf>
    <xf numFmtId="0" fontId="5" fillId="0" borderId="126" xfId="0" applyFont="1" applyFill="1" applyBorder="1" applyAlignment="1">
      <alignment/>
    </xf>
    <xf numFmtId="0" fontId="0" fillId="35" borderId="44" xfId="0" applyFont="1" applyFill="1" applyBorder="1" applyAlignment="1" applyProtection="1">
      <alignment horizontal="left" wrapText="1"/>
      <protection locked="0"/>
    </xf>
    <xf numFmtId="0" fontId="5" fillId="0" borderId="127" xfId="0" applyFont="1" applyFill="1" applyBorder="1" applyAlignment="1">
      <alignment/>
    </xf>
    <xf numFmtId="0" fontId="9" fillId="44" borderId="132" xfId="0" applyFont="1" applyFill="1" applyBorder="1" applyAlignment="1" applyProtection="1">
      <alignment/>
      <protection locked="0"/>
    </xf>
    <xf numFmtId="0" fontId="9" fillId="44" borderId="133" xfId="0" applyFont="1" applyFill="1" applyBorder="1" applyAlignment="1" applyProtection="1">
      <alignment/>
      <protection locked="0"/>
    </xf>
    <xf numFmtId="0" fontId="9" fillId="44" borderId="134" xfId="0" applyFont="1" applyFill="1" applyBorder="1" applyAlignment="1" applyProtection="1">
      <alignment/>
      <protection locked="0"/>
    </xf>
    <xf numFmtId="0" fontId="9" fillId="44" borderId="125" xfId="0" applyFont="1" applyFill="1" applyBorder="1" applyAlignment="1" applyProtection="1">
      <alignment/>
      <protection locked="0"/>
    </xf>
    <xf numFmtId="0" fontId="5" fillId="40" borderId="135" xfId="0" applyFont="1" applyFill="1" applyBorder="1" applyAlignment="1">
      <alignment/>
    </xf>
    <xf numFmtId="0" fontId="0" fillId="40" borderId="30" xfId="0" applyFont="1" applyFill="1" applyBorder="1" applyAlignment="1">
      <alignment/>
    </xf>
    <xf numFmtId="0" fontId="5" fillId="37" borderId="136" xfId="0" applyFont="1" applyFill="1" applyBorder="1" applyAlignment="1" applyProtection="1">
      <alignment/>
      <protection locked="0"/>
    </xf>
    <xf numFmtId="0" fontId="5" fillId="37" borderId="54" xfId="0" applyFont="1" applyFill="1" applyBorder="1" applyAlignment="1" applyProtection="1">
      <alignment/>
      <protection locked="0"/>
    </xf>
    <xf numFmtId="0" fontId="0" fillId="0" borderId="47" xfId="0" applyNumberFormat="1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>
      <alignment/>
    </xf>
    <xf numFmtId="0" fontId="5" fillId="0" borderId="16" xfId="0" applyFont="1" applyFill="1" applyBorder="1" applyAlignment="1" applyProtection="1">
      <alignment/>
      <protection locked="0"/>
    </xf>
    <xf numFmtId="3" fontId="16" fillId="38" borderId="0" xfId="0" applyNumberFormat="1" applyFont="1" applyFill="1" applyBorder="1" applyAlignment="1">
      <alignment/>
    </xf>
    <xf numFmtId="0" fontId="5" fillId="40" borderId="137" xfId="0" applyFont="1" applyFill="1" applyBorder="1" applyAlignment="1">
      <alignment/>
    </xf>
    <xf numFmtId="0" fontId="0" fillId="40" borderId="138" xfId="0" applyFont="1" applyFill="1" applyBorder="1" applyAlignment="1">
      <alignment wrapText="1"/>
    </xf>
    <xf numFmtId="3" fontId="12" fillId="38" borderId="0" xfId="0" applyNumberFormat="1" applyFont="1" applyFill="1" applyBorder="1" applyAlignment="1">
      <alignment/>
    </xf>
    <xf numFmtId="0" fontId="5" fillId="0" borderId="54" xfId="0" applyFont="1" applyFill="1" applyBorder="1" applyAlignment="1" applyProtection="1">
      <alignment/>
      <protection locked="0"/>
    </xf>
    <xf numFmtId="0" fontId="0" fillId="40" borderId="137" xfId="0" applyFont="1" applyFill="1" applyBorder="1" applyAlignment="1">
      <alignment/>
    </xf>
    <xf numFmtId="0" fontId="9" fillId="44" borderId="139" xfId="0" applyFont="1" applyFill="1" applyBorder="1" applyAlignment="1" applyProtection="1">
      <alignment/>
      <protection locked="0"/>
    </xf>
    <xf numFmtId="0" fontId="9" fillId="44" borderId="140" xfId="0" applyFont="1" applyFill="1" applyBorder="1" applyAlignment="1" applyProtection="1">
      <alignment/>
      <protection locked="0"/>
    </xf>
    <xf numFmtId="0" fontId="5" fillId="0" borderId="99" xfId="0" applyFont="1" applyFill="1" applyBorder="1" applyAlignment="1">
      <alignment/>
    </xf>
    <xf numFmtId="0" fontId="0" fillId="0" borderId="99" xfId="0" applyFont="1" applyFill="1" applyBorder="1" applyAlignment="1">
      <alignment/>
    </xf>
    <xf numFmtId="0" fontId="9" fillId="53" borderId="80" xfId="0" applyFont="1" applyFill="1" applyBorder="1" applyAlignment="1">
      <alignment/>
    </xf>
    <xf numFmtId="0" fontId="0" fillId="41" borderId="54" xfId="0" applyFont="1" applyFill="1" applyBorder="1" applyAlignment="1" applyProtection="1">
      <alignment horizontal="left" wrapText="1"/>
      <protection locked="0"/>
    </xf>
    <xf numFmtId="0" fontId="9" fillId="0" borderId="141" xfId="0" applyFont="1" applyFill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0" fillId="40" borderId="62" xfId="0" applyFont="1" applyFill="1" applyBorder="1" applyAlignment="1">
      <alignment/>
    </xf>
    <xf numFmtId="0" fontId="20" fillId="0" borderId="127" xfId="0" applyFont="1" applyBorder="1" applyAlignment="1">
      <alignment/>
    </xf>
    <xf numFmtId="0" fontId="9" fillId="52" borderId="142" xfId="0" applyFont="1" applyFill="1" applyBorder="1" applyAlignment="1">
      <alignment/>
    </xf>
    <xf numFmtId="0" fontId="9" fillId="47" borderId="131" xfId="0" applyFont="1" applyFill="1" applyBorder="1" applyAlignment="1">
      <alignment/>
    </xf>
    <xf numFmtId="0" fontId="0" fillId="41" borderId="34" xfId="0" applyFont="1" applyFill="1" applyBorder="1" applyAlignment="1" applyProtection="1">
      <alignment horizontal="left" wrapText="1"/>
      <protection locked="0"/>
    </xf>
    <xf numFmtId="0" fontId="9" fillId="0" borderId="5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54" borderId="40" xfId="0" applyFont="1" applyFill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0" fillId="0" borderId="76" xfId="0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5" fillId="41" borderId="60" xfId="0" applyFont="1" applyFill="1" applyBorder="1" applyAlignment="1">
      <alignment/>
    </xf>
    <xf numFmtId="0" fontId="0" fillId="41" borderId="16" xfId="0" applyFont="1" applyFill="1" applyBorder="1" applyAlignment="1">
      <alignment wrapText="1"/>
    </xf>
    <xf numFmtId="0" fontId="5" fillId="0" borderId="143" xfId="0" applyFont="1" applyFill="1" applyBorder="1" applyAlignment="1">
      <alignment/>
    </xf>
    <xf numFmtId="0" fontId="9" fillId="44" borderId="144" xfId="0" applyFont="1" applyFill="1" applyBorder="1" applyAlignment="1" applyProtection="1">
      <alignment/>
      <protection locked="0"/>
    </xf>
    <xf numFmtId="0" fontId="9" fillId="44" borderId="145" xfId="0" applyFont="1" applyFill="1" applyBorder="1" applyAlignment="1" applyProtection="1">
      <alignment/>
      <protection locked="0"/>
    </xf>
    <xf numFmtId="0" fontId="0" fillId="41" borderId="27" xfId="0" applyFont="1" applyFill="1" applyBorder="1" applyAlignment="1">
      <alignment wrapText="1"/>
    </xf>
    <xf numFmtId="0" fontId="9" fillId="0" borderId="146" xfId="0" applyFont="1" applyFill="1" applyBorder="1" applyAlignment="1">
      <alignment horizontal="center"/>
    </xf>
    <xf numFmtId="0" fontId="9" fillId="0" borderId="119" xfId="0" applyFont="1" applyFill="1" applyBorder="1" applyAlignment="1">
      <alignment horizontal="center"/>
    </xf>
    <xf numFmtId="0" fontId="0" fillId="41" borderId="54" xfId="0" applyFont="1" applyFill="1" applyBorder="1" applyAlignment="1">
      <alignment wrapText="1"/>
    </xf>
    <xf numFmtId="0" fontId="9" fillId="0" borderId="147" xfId="0" applyFont="1" applyFill="1" applyBorder="1" applyAlignment="1">
      <alignment horizontal="center"/>
    </xf>
    <xf numFmtId="0" fontId="9" fillId="0" borderId="148" xfId="0" applyFont="1" applyFill="1" applyBorder="1" applyAlignment="1">
      <alignment horizontal="center"/>
    </xf>
    <xf numFmtId="0" fontId="9" fillId="0" borderId="149" xfId="0" applyFont="1" applyFill="1" applyBorder="1" applyAlignment="1">
      <alignment horizontal="center"/>
    </xf>
    <xf numFmtId="0" fontId="0" fillId="41" borderId="62" xfId="0" applyFont="1" applyFill="1" applyBorder="1" applyAlignment="1">
      <alignment/>
    </xf>
    <xf numFmtId="0" fontId="0" fillId="41" borderId="98" xfId="0" applyFont="1" applyFill="1" applyBorder="1" applyAlignment="1">
      <alignment/>
    </xf>
    <xf numFmtId="0" fontId="9" fillId="44" borderId="94" xfId="0" applyFont="1" applyFill="1" applyBorder="1" applyAlignment="1">
      <alignment/>
    </xf>
    <xf numFmtId="0" fontId="9" fillId="44" borderId="150" xfId="0" applyFont="1" applyFill="1" applyBorder="1" applyAlignment="1">
      <alignment/>
    </xf>
    <xf numFmtId="0" fontId="0" fillId="41" borderId="98" xfId="0" applyFont="1" applyFill="1" applyBorder="1" applyAlignment="1">
      <alignment wrapText="1"/>
    </xf>
    <xf numFmtId="0" fontId="9" fillId="0" borderId="28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51" borderId="31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9" fillId="0" borderId="40" xfId="0" applyFont="1" applyBorder="1" applyAlignment="1">
      <alignment horizontal="center"/>
    </xf>
    <xf numFmtId="3" fontId="12" fillId="0" borderId="10" xfId="0" applyNumberFormat="1" applyFont="1" applyFill="1" applyBorder="1" applyAlignment="1">
      <alignment/>
    </xf>
    <xf numFmtId="3" fontId="12" fillId="34" borderId="11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0" fillId="0" borderId="61" xfId="0" applyFont="1" applyBorder="1" applyAlignment="1">
      <alignment/>
    </xf>
    <xf numFmtId="0" fontId="9" fillId="53" borderId="142" xfId="0" applyFont="1" applyFill="1" applyBorder="1" applyAlignment="1">
      <alignment/>
    </xf>
    <xf numFmtId="0" fontId="9" fillId="47" borderId="151" xfId="0" applyFont="1" applyFill="1" applyBorder="1" applyAlignment="1">
      <alignment/>
    </xf>
    <xf numFmtId="0" fontId="9" fillId="0" borderId="38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3" fontId="12" fillId="34" borderId="50" xfId="0" applyNumberFormat="1" applyFont="1" applyFill="1" applyBorder="1" applyAlignment="1">
      <alignment/>
    </xf>
    <xf numFmtId="0" fontId="9" fillId="0" borderId="152" xfId="0" applyFont="1" applyBorder="1" applyAlignment="1">
      <alignment horizontal="center"/>
    </xf>
    <xf numFmtId="0" fontId="9" fillId="0" borderId="153" xfId="0" applyFont="1" applyBorder="1" applyAlignment="1">
      <alignment horizontal="center"/>
    </xf>
    <xf numFmtId="0" fontId="9" fillId="0" borderId="124" xfId="0" applyFont="1" applyBorder="1" applyAlignment="1">
      <alignment horizontal="center"/>
    </xf>
    <xf numFmtId="3" fontId="12" fillId="0" borderId="63" xfId="0" applyNumberFormat="1" applyFont="1" applyFill="1" applyBorder="1" applyAlignment="1">
      <alignment/>
    </xf>
    <xf numFmtId="3" fontId="12" fillId="0" borderId="72" xfId="0" applyNumberFormat="1" applyFont="1" applyFill="1" applyBorder="1" applyAlignment="1">
      <alignment/>
    </xf>
    <xf numFmtId="3" fontId="12" fillId="33" borderId="72" xfId="0" applyNumberFormat="1" applyFont="1" applyFill="1" applyBorder="1" applyAlignment="1">
      <alignment/>
    </xf>
    <xf numFmtId="3" fontId="12" fillId="34" borderId="70" xfId="0" applyNumberFormat="1" applyFont="1" applyFill="1" applyBorder="1" applyAlignment="1">
      <alignment/>
    </xf>
    <xf numFmtId="3" fontId="12" fillId="0" borderId="154" xfId="0" applyNumberFormat="1" applyFont="1" applyFill="1" applyBorder="1" applyAlignment="1">
      <alignment/>
    </xf>
    <xf numFmtId="3" fontId="12" fillId="34" borderId="155" xfId="0" applyNumberFormat="1" applyFont="1" applyFill="1" applyBorder="1" applyAlignment="1">
      <alignment/>
    </xf>
    <xf numFmtId="3" fontId="12" fillId="0" borderId="153" xfId="0" applyNumberFormat="1" applyFont="1" applyFill="1" applyBorder="1" applyAlignment="1">
      <alignment/>
    </xf>
    <xf numFmtId="3" fontId="12" fillId="0" borderId="124" xfId="0" applyNumberFormat="1" applyFont="1" applyFill="1" applyBorder="1" applyAlignment="1">
      <alignment/>
    </xf>
    <xf numFmtId="3" fontId="12" fillId="34" borderId="152" xfId="0" applyNumberFormat="1" applyFont="1" applyFill="1" applyBorder="1" applyAlignment="1">
      <alignment/>
    </xf>
    <xf numFmtId="0" fontId="9" fillId="53" borderId="119" xfId="0" applyFont="1" applyFill="1" applyBorder="1" applyAlignment="1">
      <alignment/>
    </xf>
    <xf numFmtId="0" fontId="9" fillId="0" borderId="36" xfId="0" applyFont="1" applyBorder="1" applyAlignment="1">
      <alignment horizontal="center"/>
    </xf>
    <xf numFmtId="3" fontId="12" fillId="0" borderId="30" xfId="0" applyNumberFormat="1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0" fillId="0" borderId="44" xfId="0" applyFont="1" applyBorder="1" applyAlignment="1" applyProtection="1">
      <alignment horizontal="left" wrapText="1"/>
      <protection locked="0"/>
    </xf>
    <xf numFmtId="0" fontId="9" fillId="0" borderId="4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3" fontId="12" fillId="0" borderId="44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12" fillId="33" borderId="45" xfId="0" applyNumberFormat="1" applyFont="1" applyFill="1" applyBorder="1" applyAlignment="1">
      <alignment/>
    </xf>
    <xf numFmtId="3" fontId="17" fillId="33" borderId="42" xfId="0" applyNumberFormat="1" applyFont="1" applyFill="1" applyBorder="1" applyAlignment="1">
      <alignment/>
    </xf>
    <xf numFmtId="3" fontId="12" fillId="0" borderId="156" xfId="0" applyNumberFormat="1" applyFont="1" applyFill="1" applyBorder="1" applyAlignment="1">
      <alignment/>
    </xf>
    <xf numFmtId="3" fontId="12" fillId="0" borderId="42" xfId="0" applyNumberFormat="1" applyFont="1" applyFill="1" applyBorder="1" applyAlignment="1">
      <alignment/>
    </xf>
    <xf numFmtId="3" fontId="12" fillId="0" borderId="46" xfId="0" applyNumberFormat="1" applyFont="1" applyFill="1" applyBorder="1" applyAlignment="1">
      <alignment/>
    </xf>
    <xf numFmtId="3" fontId="12" fillId="34" borderId="45" xfId="0" applyNumberFormat="1" applyFont="1" applyFill="1" applyBorder="1" applyAlignment="1">
      <alignment/>
    </xf>
    <xf numFmtId="3" fontId="12" fillId="0" borderId="43" xfId="0" applyNumberFormat="1" applyFont="1" applyFill="1" applyBorder="1" applyAlignment="1">
      <alignment/>
    </xf>
    <xf numFmtId="3" fontId="12" fillId="34" borderId="47" xfId="0" applyNumberFormat="1" applyFont="1" applyFill="1" applyBorder="1" applyAlignment="1">
      <alignment/>
    </xf>
    <xf numFmtId="3" fontId="12" fillId="0" borderId="57" xfId="0" applyNumberFormat="1" applyFont="1" applyFill="1" applyBorder="1" applyAlignment="1">
      <alignment/>
    </xf>
    <xf numFmtId="0" fontId="5" fillId="40" borderId="16" xfId="0" applyFont="1" applyFill="1" applyBorder="1" applyAlignment="1">
      <alignment/>
    </xf>
    <xf numFmtId="0" fontId="0" fillId="40" borderId="19" xfId="0" applyFont="1" applyFill="1" applyBorder="1" applyAlignment="1">
      <alignment/>
    </xf>
    <xf numFmtId="0" fontId="0" fillId="41" borderId="62" xfId="0" applyFont="1" applyFill="1" applyBorder="1" applyAlignment="1">
      <alignment wrapText="1"/>
    </xf>
    <xf numFmtId="0" fontId="0" fillId="40" borderId="99" xfId="0" applyFont="1" applyFill="1" applyBorder="1" applyAlignment="1">
      <alignment wrapText="1"/>
    </xf>
    <xf numFmtId="0" fontId="0" fillId="41" borderId="128" xfId="0" applyFont="1" applyFill="1" applyBorder="1" applyAlignment="1">
      <alignment wrapText="1"/>
    </xf>
    <xf numFmtId="0" fontId="0" fillId="40" borderId="138" xfId="0" applyFont="1" applyFill="1" applyBorder="1" applyAlignment="1">
      <alignment/>
    </xf>
    <xf numFmtId="0" fontId="19" fillId="0" borderId="26" xfId="51" applyFont="1" applyFill="1" applyBorder="1" applyAlignment="1" applyProtection="1">
      <alignment wrapText="1"/>
      <protection locked="0"/>
    </xf>
    <xf numFmtId="3" fontId="12" fillId="0" borderId="0" xfId="0" applyNumberFormat="1" applyFont="1" applyFill="1" applyBorder="1" applyAlignment="1">
      <alignment/>
    </xf>
    <xf numFmtId="0" fontId="5" fillId="41" borderId="136" xfId="0" applyFont="1" applyFill="1" applyBorder="1" applyAlignment="1">
      <alignment/>
    </xf>
    <xf numFmtId="0" fontId="5" fillId="0" borderId="76" xfId="0" applyFont="1" applyBorder="1" applyAlignment="1">
      <alignment/>
    </xf>
    <xf numFmtId="0" fontId="9" fillId="0" borderId="14" xfId="0" applyFont="1" applyFill="1" applyBorder="1" applyAlignment="1" applyProtection="1">
      <alignment horizontal="center" shrinkToFit="1"/>
      <protection locked="0"/>
    </xf>
    <xf numFmtId="0" fontId="9" fillId="0" borderId="15" xfId="0" applyFont="1" applyFill="1" applyBorder="1" applyAlignment="1" applyProtection="1">
      <alignment horizontal="center" shrinkToFit="1"/>
      <protection locked="0"/>
    </xf>
    <xf numFmtId="0" fontId="0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0" borderId="37" xfId="0" applyFont="1" applyBorder="1" applyAlignment="1">
      <alignment/>
    </xf>
    <xf numFmtId="49" fontId="0" fillId="0" borderId="35" xfId="0" applyNumberFormat="1" applyFont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9" fillId="52" borderId="103" xfId="0" applyFont="1" applyFill="1" applyBorder="1" applyAlignment="1">
      <alignment/>
    </xf>
    <xf numFmtId="0" fontId="9" fillId="47" borderId="157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3" fontId="12" fillId="43" borderId="158" xfId="0" applyNumberFormat="1" applyFont="1" applyFill="1" applyBorder="1" applyAlignment="1">
      <alignment/>
    </xf>
    <xf numFmtId="3" fontId="12" fillId="0" borderId="159" xfId="0" applyNumberFormat="1" applyFont="1" applyFill="1" applyBorder="1" applyAlignment="1">
      <alignment/>
    </xf>
    <xf numFmtId="3" fontId="12" fillId="0" borderId="160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0" fontId="24" fillId="0" borderId="91" xfId="0" applyFont="1" applyBorder="1" applyAlignment="1">
      <alignment/>
    </xf>
    <xf numFmtId="0" fontId="9" fillId="0" borderId="161" xfId="0" applyFont="1" applyBorder="1" applyAlignment="1">
      <alignment horizontal="center"/>
    </xf>
    <xf numFmtId="0" fontId="9" fillId="0" borderId="162" xfId="0" applyFont="1" applyBorder="1" applyAlignment="1">
      <alignment horizontal="center"/>
    </xf>
    <xf numFmtId="0" fontId="9" fillId="0" borderId="163" xfId="0" applyFont="1" applyBorder="1" applyAlignment="1">
      <alignment horizontal="center"/>
    </xf>
    <xf numFmtId="3" fontId="16" fillId="0" borderId="161" xfId="0" applyNumberFormat="1" applyFont="1" applyFill="1" applyBorder="1" applyAlignment="1">
      <alignment/>
    </xf>
    <xf numFmtId="3" fontId="16" fillId="0" borderId="164" xfId="0" applyNumberFormat="1" applyFont="1" applyFill="1" applyBorder="1" applyAlignment="1">
      <alignment/>
    </xf>
    <xf numFmtId="3" fontId="16" fillId="42" borderId="161" xfId="0" applyNumberFormat="1" applyFont="1" applyFill="1" applyBorder="1" applyAlignment="1">
      <alignment/>
    </xf>
    <xf numFmtId="3" fontId="16" fillId="0" borderId="162" xfId="0" applyNumberFormat="1" applyFont="1" applyFill="1" applyBorder="1" applyAlignment="1">
      <alignment/>
    </xf>
    <xf numFmtId="3" fontId="16" fillId="0" borderId="165" xfId="0" applyNumberFormat="1" applyFont="1" applyFill="1" applyBorder="1" applyAlignment="1">
      <alignment/>
    </xf>
    <xf numFmtId="3" fontId="16" fillId="43" borderId="161" xfId="0" applyNumberFormat="1" applyFont="1" applyFill="1" applyBorder="1" applyAlignment="1">
      <alignment/>
    </xf>
    <xf numFmtId="3" fontId="16" fillId="0" borderId="138" xfId="0" applyNumberFormat="1" applyFont="1" applyFill="1" applyBorder="1" applyAlignment="1">
      <alignment/>
    </xf>
    <xf numFmtId="0" fontId="9" fillId="0" borderId="166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0" fontId="9" fillId="0" borderId="167" xfId="0" applyFont="1" applyBorder="1" applyAlignment="1">
      <alignment horizontal="center"/>
    </xf>
    <xf numFmtId="3" fontId="16" fillId="0" borderId="166" xfId="0" applyNumberFormat="1" applyFont="1" applyFill="1" applyBorder="1" applyAlignment="1">
      <alignment/>
    </xf>
    <xf numFmtId="3" fontId="16" fillId="0" borderId="168" xfId="0" applyNumberFormat="1" applyFont="1" applyFill="1" applyBorder="1" applyAlignment="1">
      <alignment/>
    </xf>
    <xf numFmtId="3" fontId="16" fillId="42" borderId="166" xfId="0" applyNumberFormat="1" applyFont="1" applyFill="1" applyBorder="1" applyAlignment="1">
      <alignment/>
    </xf>
    <xf numFmtId="3" fontId="16" fillId="0" borderId="85" xfId="0" applyNumberFormat="1" applyFont="1" applyFill="1" applyBorder="1" applyAlignment="1">
      <alignment/>
    </xf>
    <xf numFmtId="3" fontId="16" fillId="0" borderId="169" xfId="0" applyNumberFormat="1" applyFont="1" applyFill="1" applyBorder="1" applyAlignment="1">
      <alignment/>
    </xf>
    <xf numFmtId="3" fontId="16" fillId="43" borderId="166" xfId="0" applyNumberFormat="1" applyFont="1" applyFill="1" applyBorder="1" applyAlignment="1">
      <alignment/>
    </xf>
    <xf numFmtId="3" fontId="16" fillId="0" borderId="129" xfId="0" applyNumberFormat="1" applyFont="1" applyFill="1" applyBorder="1" applyAlignment="1">
      <alignment/>
    </xf>
    <xf numFmtId="0" fontId="24" fillId="0" borderId="76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37" xfId="0" applyFont="1" applyFill="1" applyBorder="1" applyAlignment="1">
      <alignment/>
    </xf>
    <xf numFmtId="49" fontId="5" fillId="0" borderId="23" xfId="0" applyNumberFormat="1" applyFont="1" applyFill="1" applyBorder="1" applyAlignment="1">
      <alignment horizontal="right"/>
    </xf>
    <xf numFmtId="0" fontId="9" fillId="0" borderId="2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0" xfId="49" applyFont="1" applyFill="1" applyBorder="1" applyAlignment="1">
      <alignment horizontal="center" vertical="center"/>
      <protection/>
    </xf>
    <xf numFmtId="0" fontId="9" fillId="0" borderId="171" xfId="49" applyFont="1" applyFill="1" applyBorder="1" applyAlignment="1">
      <alignment horizontal="center" vertical="center"/>
      <protection/>
    </xf>
    <xf numFmtId="0" fontId="9" fillId="0" borderId="172" xfId="49" applyFont="1" applyFill="1" applyBorder="1" applyAlignment="1">
      <alignment horizontal="center" vertical="center"/>
      <protection/>
    </xf>
    <xf numFmtId="0" fontId="9" fillId="51" borderId="37" xfId="0" applyFont="1" applyFill="1" applyBorder="1" applyAlignment="1">
      <alignment/>
    </xf>
    <xf numFmtId="0" fontId="0" fillId="0" borderId="34" xfId="0" applyFont="1" applyBorder="1" applyAlignment="1">
      <alignment horizontal="left" wrapText="1"/>
    </xf>
    <xf numFmtId="0" fontId="9" fillId="0" borderId="35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0" fillId="0" borderId="63" xfId="0" applyFont="1" applyBorder="1" applyAlignment="1">
      <alignment horizontal="left" wrapText="1"/>
    </xf>
    <xf numFmtId="0" fontId="5" fillId="0" borderId="126" xfId="0" applyFont="1" applyFill="1" applyBorder="1" applyAlignment="1" applyProtection="1">
      <alignment/>
      <protection locked="0"/>
    </xf>
    <xf numFmtId="0" fontId="9" fillId="44" borderId="173" xfId="0" applyFont="1" applyFill="1" applyBorder="1" applyAlignment="1" applyProtection="1">
      <alignment/>
      <protection locked="0"/>
    </xf>
    <xf numFmtId="0" fontId="9" fillId="51" borderId="174" xfId="0" applyFont="1" applyFill="1" applyBorder="1" applyAlignment="1">
      <alignment/>
    </xf>
    <xf numFmtId="0" fontId="9" fillId="44" borderId="175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3" fontId="12" fillId="33" borderId="16" xfId="0" applyNumberFormat="1" applyFont="1" applyFill="1" applyBorder="1" applyAlignment="1">
      <alignment/>
    </xf>
    <xf numFmtId="3" fontId="12" fillId="33" borderId="60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3" fontId="12" fillId="34" borderId="13" xfId="0" applyNumberFormat="1" applyFont="1" applyFill="1" applyBorder="1" applyAlignment="1">
      <alignment/>
    </xf>
    <xf numFmtId="0" fontId="19" fillId="0" borderId="39" xfId="0" applyFont="1" applyBorder="1" applyAlignment="1" applyProtection="1">
      <alignment wrapText="1"/>
      <protection locked="0"/>
    </xf>
    <xf numFmtId="0" fontId="9" fillId="44" borderId="144" xfId="0" applyFont="1" applyFill="1" applyBorder="1" applyAlignment="1" applyProtection="1">
      <alignment/>
      <protection locked="0"/>
    </xf>
    <xf numFmtId="0" fontId="9" fillId="44" borderId="145" xfId="0" applyFont="1" applyFill="1" applyBorder="1" applyAlignment="1" applyProtection="1">
      <alignment/>
      <protection locked="0"/>
    </xf>
    <xf numFmtId="0" fontId="9" fillId="0" borderId="38" xfId="0" applyFont="1" applyBorder="1" applyAlignment="1" applyProtection="1">
      <alignment horizontal="center" wrapText="1"/>
      <protection locked="0"/>
    </xf>
    <xf numFmtId="0" fontId="9" fillId="52" borderId="37" xfId="0" applyFont="1" applyFill="1" applyBorder="1" applyAlignment="1">
      <alignment/>
    </xf>
    <xf numFmtId="0" fontId="0" fillId="41" borderId="129" xfId="0" applyFont="1" applyFill="1" applyBorder="1" applyAlignment="1">
      <alignment wrapText="1"/>
    </xf>
    <xf numFmtId="0" fontId="9" fillId="0" borderId="17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35" borderId="0" xfId="0" applyFont="1" applyFill="1" applyAlignment="1">
      <alignment/>
    </xf>
    <xf numFmtId="0" fontId="19" fillId="55" borderId="136" xfId="51" applyFont="1" applyFill="1" applyBorder="1" applyAlignment="1" applyProtection="1">
      <alignment wrapText="1"/>
      <protection locked="0"/>
    </xf>
    <xf numFmtId="0" fontId="9" fillId="0" borderId="72" xfId="0" applyFont="1" applyFill="1" applyBorder="1" applyAlignment="1">
      <alignment horizontal="center"/>
    </xf>
    <xf numFmtId="0" fontId="9" fillId="0" borderId="73" xfId="0" applyFont="1" applyFill="1" applyBorder="1" applyAlignment="1">
      <alignment horizontal="center"/>
    </xf>
    <xf numFmtId="0" fontId="9" fillId="0" borderId="73" xfId="0" applyFont="1" applyFill="1" applyBorder="1" applyAlignment="1" applyProtection="1">
      <alignment horizontal="center"/>
      <protection locked="0"/>
    </xf>
    <xf numFmtId="0" fontId="9" fillId="0" borderId="74" xfId="0" applyFont="1" applyBorder="1" applyAlignment="1" applyProtection="1">
      <alignment horizontal="center"/>
      <protection locked="0"/>
    </xf>
    <xf numFmtId="0" fontId="9" fillId="0" borderId="45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61" xfId="0" applyFont="1" applyFill="1" applyBorder="1" applyAlignment="1">
      <alignment/>
    </xf>
    <xf numFmtId="0" fontId="9" fillId="0" borderId="177" xfId="0" applyFont="1" applyFill="1" applyBorder="1" applyAlignment="1">
      <alignment/>
    </xf>
    <xf numFmtId="3" fontId="23" fillId="40" borderId="178" xfId="0" applyNumberFormat="1" applyFont="1" applyFill="1" applyBorder="1" applyAlignment="1">
      <alignment horizontal="right"/>
    </xf>
    <xf numFmtId="3" fontId="23" fillId="40" borderId="159" xfId="0" applyNumberFormat="1" applyFont="1" applyFill="1" applyBorder="1" applyAlignment="1">
      <alignment horizontal="right"/>
    </xf>
    <xf numFmtId="3" fontId="23" fillId="40" borderId="179" xfId="0" applyNumberFormat="1" applyFont="1" applyFill="1" applyBorder="1" applyAlignment="1">
      <alignment horizontal="right"/>
    </xf>
    <xf numFmtId="3" fontId="23" fillId="40" borderId="158" xfId="0" applyNumberFormat="1" applyFont="1" applyFill="1" applyBorder="1" applyAlignment="1">
      <alignment horizontal="right"/>
    </xf>
    <xf numFmtId="3" fontId="23" fillId="40" borderId="180" xfId="0" applyNumberFormat="1" applyFont="1" applyFill="1" applyBorder="1" applyAlignment="1">
      <alignment horizontal="right"/>
    </xf>
    <xf numFmtId="0" fontId="9" fillId="0" borderId="181" xfId="0" applyFont="1" applyBorder="1" applyAlignment="1">
      <alignment horizontal="center"/>
    </xf>
    <xf numFmtId="0" fontId="9" fillId="0" borderId="182" xfId="0" applyFont="1" applyBorder="1" applyAlignment="1">
      <alignment horizontal="center"/>
    </xf>
    <xf numFmtId="0" fontId="9" fillId="0" borderId="182" xfId="0" applyFont="1" applyFill="1" applyBorder="1" applyAlignment="1">
      <alignment horizontal="center"/>
    </xf>
    <xf numFmtId="0" fontId="9" fillId="0" borderId="183" xfId="0" applyFont="1" applyFill="1" applyBorder="1" applyAlignment="1">
      <alignment horizontal="center"/>
    </xf>
    <xf numFmtId="3" fontId="12" fillId="0" borderId="184" xfId="0" applyNumberFormat="1" applyFont="1" applyFill="1" applyBorder="1" applyAlignment="1">
      <alignment/>
    </xf>
    <xf numFmtId="3" fontId="12" fillId="0" borderId="82" xfId="0" applyNumberFormat="1" applyFont="1" applyFill="1" applyBorder="1" applyAlignment="1">
      <alignment/>
    </xf>
    <xf numFmtId="3" fontId="12" fillId="0" borderId="182" xfId="0" applyNumberFormat="1" applyFont="1" applyFill="1" applyBorder="1" applyAlignment="1">
      <alignment/>
    </xf>
    <xf numFmtId="3" fontId="12" fillId="0" borderId="183" xfId="0" applyNumberFormat="1" applyFont="1" applyFill="1" applyBorder="1" applyAlignment="1">
      <alignment/>
    </xf>
    <xf numFmtId="3" fontId="12" fillId="43" borderId="181" xfId="0" applyNumberFormat="1" applyFont="1" applyFill="1" applyBorder="1" applyAlignment="1">
      <alignment/>
    </xf>
    <xf numFmtId="3" fontId="12" fillId="43" borderId="184" xfId="0" applyNumberFormat="1" applyFont="1" applyFill="1" applyBorder="1" applyAlignment="1">
      <alignment/>
    </xf>
    <xf numFmtId="3" fontId="12" fillId="0" borderId="49" xfId="0" applyNumberFormat="1" applyFont="1" applyFill="1" applyBorder="1" applyAlignment="1">
      <alignment/>
    </xf>
    <xf numFmtId="0" fontId="9" fillId="0" borderId="46" xfId="0" applyFont="1" applyFill="1" applyBorder="1" applyAlignment="1">
      <alignment horizontal="center"/>
    </xf>
    <xf numFmtId="0" fontId="20" fillId="0" borderId="76" xfId="0" applyFont="1" applyFill="1" applyBorder="1" applyAlignment="1">
      <alignment/>
    </xf>
    <xf numFmtId="0" fontId="0" fillId="0" borderId="16" xfId="0" applyFont="1" applyFill="1" applyBorder="1" applyAlignment="1">
      <alignment horizontal="left" wrapText="1"/>
    </xf>
    <xf numFmtId="0" fontId="5" fillId="0" borderId="27" xfId="0" applyFont="1" applyFill="1" applyBorder="1" applyAlignment="1" applyProtection="1">
      <alignment/>
      <protection locked="0"/>
    </xf>
    <xf numFmtId="0" fontId="5" fillId="55" borderId="23" xfId="0" applyFont="1" applyFill="1" applyBorder="1" applyAlignment="1" applyProtection="1">
      <alignment/>
      <protection locked="0"/>
    </xf>
    <xf numFmtId="0" fontId="5" fillId="55" borderId="185" xfId="0" applyFont="1" applyFill="1" applyBorder="1" applyAlignment="1" applyProtection="1">
      <alignment/>
      <protection locked="0"/>
    </xf>
    <xf numFmtId="0" fontId="5" fillId="55" borderId="135" xfId="0" applyFont="1" applyFill="1" applyBorder="1" applyAlignment="1" applyProtection="1">
      <alignment/>
      <protection locked="0"/>
    </xf>
    <xf numFmtId="0" fontId="9" fillId="0" borderId="73" xfId="0" applyFont="1" applyBorder="1" applyAlignment="1" applyProtection="1">
      <alignment horizontal="center"/>
      <protection locked="0"/>
    </xf>
    <xf numFmtId="0" fontId="9" fillId="0" borderId="186" xfId="0" applyFont="1" applyBorder="1" applyAlignment="1">
      <alignment horizontal="center"/>
    </xf>
    <xf numFmtId="0" fontId="9" fillId="0" borderId="187" xfId="0" applyFont="1" applyBorder="1" applyAlignment="1">
      <alignment horizontal="center"/>
    </xf>
    <xf numFmtId="0" fontId="9" fillId="0" borderId="12" xfId="0" applyFont="1" applyFill="1" applyBorder="1" applyAlignment="1" applyProtection="1">
      <alignment horizontal="center"/>
      <protection locked="0"/>
    </xf>
    <xf numFmtId="0" fontId="36" fillId="0" borderId="34" xfId="0" applyFont="1" applyFill="1" applyBorder="1" applyAlignment="1">
      <alignment/>
    </xf>
    <xf numFmtId="0" fontId="9" fillId="0" borderId="146" xfId="0" applyFont="1" applyBorder="1" applyAlignment="1">
      <alignment horizontal="center"/>
    </xf>
    <xf numFmtId="0" fontId="9" fillId="0" borderId="188" xfId="0" applyFont="1" applyBorder="1" applyAlignment="1">
      <alignment horizontal="center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44" borderId="189" xfId="0" applyFont="1" applyFill="1" applyBorder="1" applyAlignment="1" applyProtection="1">
      <alignment/>
      <protection locked="0"/>
    </xf>
    <xf numFmtId="0" fontId="20" fillId="0" borderId="86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0" fillId="0" borderId="23" xfId="0" applyFont="1" applyFill="1" applyBorder="1" applyAlignment="1" applyProtection="1">
      <alignment horizontal="left" wrapText="1"/>
      <protection locked="0"/>
    </xf>
    <xf numFmtId="0" fontId="9" fillId="0" borderId="20" xfId="0" applyFont="1" applyBorder="1" applyAlignment="1">
      <alignment horizontal="center"/>
    </xf>
    <xf numFmtId="0" fontId="0" fillId="0" borderId="44" xfId="0" applyFont="1" applyFill="1" applyBorder="1" applyAlignment="1" applyProtection="1">
      <alignment horizontal="left" wrapText="1"/>
      <protection locked="0"/>
    </xf>
    <xf numFmtId="0" fontId="9" fillId="0" borderId="46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17" fillId="0" borderId="0" xfId="0" applyFont="1" applyAlignment="1" applyProtection="1">
      <alignment horizontal="right" wrapText="1"/>
      <protection locked="0"/>
    </xf>
    <xf numFmtId="0" fontId="17" fillId="0" borderId="0" xfId="0" applyFont="1" applyFill="1" applyAlignment="1" applyProtection="1">
      <alignment horizontal="right" wrapText="1"/>
      <protection locked="0"/>
    </xf>
    <xf numFmtId="0" fontId="17" fillId="40" borderId="80" xfId="0" applyFont="1" applyFill="1" applyBorder="1" applyAlignment="1" applyProtection="1">
      <alignment horizontal="right" wrapText="1"/>
      <protection locked="0"/>
    </xf>
    <xf numFmtId="0" fontId="3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41" borderId="80" xfId="0" applyFont="1" applyFill="1" applyBorder="1" applyAlignment="1" applyProtection="1">
      <alignment horizontal="left" vertical="center" wrapText="1"/>
      <protection locked="0"/>
    </xf>
    <xf numFmtId="0" fontId="20" fillId="38" borderId="0" xfId="0" applyFont="1" applyFill="1" applyBorder="1" applyAlignment="1">
      <alignment horizontal="center" vertical="center" wrapText="1"/>
    </xf>
    <xf numFmtId="49" fontId="5" fillId="0" borderId="91" xfId="0" applyNumberFormat="1" applyFont="1" applyBorder="1" applyAlignment="1">
      <alignment horizontal="center"/>
    </xf>
    <xf numFmtId="0" fontId="20" fillId="38" borderId="91" xfId="0" applyFont="1" applyFill="1" applyBorder="1" applyAlignment="1">
      <alignment horizontal="center" vertical="center" wrapText="1"/>
    </xf>
    <xf numFmtId="0" fontId="9" fillId="0" borderId="190" xfId="0" applyFont="1" applyFill="1" applyBorder="1" applyAlignment="1">
      <alignment horizontal="center" vertical="center"/>
    </xf>
    <xf numFmtId="0" fontId="9" fillId="42" borderId="191" xfId="0" applyFont="1" applyFill="1" applyBorder="1" applyAlignment="1">
      <alignment horizontal="center" vertical="center"/>
    </xf>
    <xf numFmtId="0" fontId="15" fillId="43" borderId="192" xfId="0" applyFont="1" applyFill="1" applyBorder="1" applyAlignment="1">
      <alignment horizontal="center" vertical="center" wrapText="1"/>
    </xf>
    <xf numFmtId="0" fontId="32" fillId="0" borderId="14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127" xfId="0" applyFont="1" applyFill="1" applyBorder="1" applyAlignment="1">
      <alignment horizontal="center" vertical="center"/>
    </xf>
    <xf numFmtId="0" fontId="37" fillId="38" borderId="193" xfId="0" applyFont="1" applyFill="1" applyBorder="1" applyAlignment="1">
      <alignment vertical="center"/>
    </xf>
    <xf numFmtId="0" fontId="9" fillId="38" borderId="194" xfId="0" applyFont="1" applyFill="1" applyBorder="1" applyAlignment="1">
      <alignment horizontal="center" textRotation="90" wrapText="1"/>
    </xf>
    <xf numFmtId="0" fontId="9" fillId="38" borderId="194" xfId="0" applyFont="1" applyFill="1" applyBorder="1" applyAlignment="1">
      <alignment horizontal="center" textRotation="90"/>
    </xf>
    <xf numFmtId="0" fontId="14" fillId="38" borderId="194" xfId="0" applyFont="1" applyFill="1" applyBorder="1" applyAlignment="1">
      <alignment horizontal="center" vertical="center" wrapText="1"/>
    </xf>
    <xf numFmtId="0" fontId="9" fillId="38" borderId="194" xfId="0" applyFont="1" applyFill="1" applyBorder="1" applyAlignment="1">
      <alignment horizontal="center" vertical="center" wrapText="1"/>
    </xf>
    <xf numFmtId="0" fontId="0" fillId="38" borderId="194" xfId="0" applyFont="1" applyFill="1" applyBorder="1" applyAlignment="1">
      <alignment horizontal="center" vertical="center"/>
    </xf>
    <xf numFmtId="0" fontId="15" fillId="38" borderId="194" xfId="0" applyFont="1" applyFill="1" applyBorder="1" applyAlignment="1">
      <alignment horizontal="center" vertical="center" wrapText="1"/>
    </xf>
    <xf numFmtId="0" fontId="0" fillId="38" borderId="194" xfId="0" applyFont="1" applyFill="1" applyBorder="1" applyAlignment="1">
      <alignment horizontal="center" vertical="center" wrapText="1"/>
    </xf>
    <xf numFmtId="0" fontId="15" fillId="38" borderId="193" xfId="0" applyFont="1" applyFill="1" applyBorder="1" applyAlignment="1">
      <alignment horizontal="center" vertical="center" wrapText="1"/>
    </xf>
    <xf numFmtId="0" fontId="32" fillId="38" borderId="193" xfId="0" applyFont="1" applyFill="1" applyBorder="1" applyAlignment="1">
      <alignment horizontal="center" vertical="center" wrapText="1"/>
    </xf>
    <xf numFmtId="0" fontId="31" fillId="38" borderId="193" xfId="0" applyFont="1" applyFill="1" applyBorder="1" applyAlignment="1">
      <alignment horizontal="center" vertical="center" wrapText="1"/>
    </xf>
    <xf numFmtId="0" fontId="32" fillId="38" borderId="194" xfId="0" applyFont="1" applyFill="1" applyBorder="1" applyAlignment="1">
      <alignment horizontal="center" vertical="center" wrapText="1"/>
    </xf>
    <xf numFmtId="0" fontId="31" fillId="38" borderId="194" xfId="0" applyFont="1" applyFill="1" applyBorder="1" applyAlignment="1">
      <alignment horizontal="center" vertical="center" wrapText="1"/>
    </xf>
    <xf numFmtId="0" fontId="9" fillId="47" borderId="195" xfId="0" applyFont="1" applyFill="1" applyBorder="1" applyAlignment="1">
      <alignment horizontal="center" vertical="center"/>
    </xf>
    <xf numFmtId="0" fontId="9" fillId="47" borderId="196" xfId="0" applyFont="1" applyFill="1" applyBorder="1" applyAlignment="1">
      <alignment horizontal="center" vertical="center"/>
    </xf>
    <xf numFmtId="0" fontId="9" fillId="47" borderId="197" xfId="0" applyFont="1" applyFill="1" applyBorder="1" applyAlignment="1">
      <alignment horizontal="center" vertical="center"/>
    </xf>
    <xf numFmtId="3" fontId="16" fillId="0" borderId="198" xfId="0" applyNumberFormat="1" applyFont="1" applyFill="1" applyBorder="1" applyAlignment="1">
      <alignment horizontal="right" vertical="center"/>
    </xf>
    <xf numFmtId="0" fontId="9" fillId="47" borderId="101" xfId="0" applyFont="1" applyFill="1" applyBorder="1" applyAlignment="1">
      <alignment horizontal="center" vertical="center"/>
    </xf>
    <xf numFmtId="0" fontId="9" fillId="47" borderId="102" xfId="0" applyFont="1" applyFill="1" applyBorder="1" applyAlignment="1">
      <alignment horizontal="center" vertical="center"/>
    </xf>
    <xf numFmtId="3" fontId="16" fillId="0" borderId="103" xfId="0" applyNumberFormat="1" applyFont="1" applyFill="1" applyBorder="1" applyAlignment="1">
      <alignment/>
    </xf>
    <xf numFmtId="3" fontId="16" fillId="0" borderId="199" xfId="0" applyNumberFormat="1" applyFont="1" applyFill="1" applyBorder="1" applyAlignment="1">
      <alignment/>
    </xf>
    <xf numFmtId="3" fontId="16" fillId="42" borderId="103" xfId="0" applyNumberFormat="1" applyFont="1" applyFill="1" applyBorder="1" applyAlignment="1">
      <alignment/>
    </xf>
    <xf numFmtId="3" fontId="23" fillId="42" borderId="80" xfId="0" applyNumberFormat="1" applyFont="1" applyFill="1" applyBorder="1" applyAlignment="1">
      <alignment/>
    </xf>
    <xf numFmtId="3" fontId="16" fillId="0" borderId="80" xfId="0" applyNumberFormat="1" applyFont="1" applyFill="1" applyBorder="1" applyAlignment="1">
      <alignment/>
    </xf>
    <xf numFmtId="3" fontId="16" fillId="0" borderId="104" xfId="0" applyNumberFormat="1" applyFont="1" applyFill="1" applyBorder="1" applyAlignment="1">
      <alignment/>
    </xf>
    <xf numFmtId="3" fontId="16" fillId="43" borderId="200" xfId="0" applyNumberFormat="1" applyFont="1" applyFill="1" applyBorder="1" applyAlignment="1">
      <alignment/>
    </xf>
    <xf numFmtId="3" fontId="16" fillId="0" borderId="157" xfId="0" applyNumberFormat="1" applyFont="1" applyFill="1" applyBorder="1" applyAlignment="1">
      <alignment/>
    </xf>
    <xf numFmtId="3" fontId="16" fillId="43" borderId="103" xfId="0" applyNumberFormat="1" applyFont="1" applyFill="1" applyBorder="1" applyAlignment="1">
      <alignment/>
    </xf>
    <xf numFmtId="3" fontId="16" fillId="0" borderId="198" xfId="0" applyNumberFormat="1" applyFont="1" applyFill="1" applyBorder="1" applyAlignment="1">
      <alignment/>
    </xf>
    <xf numFmtId="0" fontId="9" fillId="44" borderId="201" xfId="0" applyFont="1" applyFill="1" applyBorder="1" applyAlignment="1">
      <alignment horizontal="center" vertical="center"/>
    </xf>
    <xf numFmtId="0" fontId="9" fillId="44" borderId="202" xfId="0" applyFont="1" applyFill="1" applyBorder="1" applyAlignment="1">
      <alignment horizontal="center" vertical="center"/>
    </xf>
    <xf numFmtId="0" fontId="9" fillId="47" borderId="203" xfId="0" applyFont="1" applyFill="1" applyBorder="1" applyAlignment="1">
      <alignment horizontal="center" vertical="center"/>
    </xf>
    <xf numFmtId="0" fontId="9" fillId="47" borderId="204" xfId="0" applyFont="1" applyFill="1" applyBorder="1" applyAlignment="1">
      <alignment horizontal="center" vertical="center"/>
    </xf>
    <xf numFmtId="0" fontId="9" fillId="0" borderId="205" xfId="0" applyFont="1" applyFill="1" applyBorder="1" applyAlignment="1">
      <alignment horizontal="center"/>
    </xf>
    <xf numFmtId="0" fontId="9" fillId="0" borderId="206" xfId="0" applyFont="1" applyFill="1" applyBorder="1" applyAlignment="1">
      <alignment horizontal="center"/>
    </xf>
    <xf numFmtId="0" fontId="9" fillId="0" borderId="207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3" fontId="23" fillId="36" borderId="16" xfId="0" applyNumberFormat="1" applyFont="1" applyFill="1" applyBorder="1" applyAlignment="1">
      <alignment horizontal="center" vertical="center"/>
    </xf>
    <xf numFmtId="0" fontId="9" fillId="47" borderId="20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17" fillId="41" borderId="80" xfId="0" applyFont="1" applyFill="1" applyBorder="1" applyAlignment="1" applyProtection="1">
      <alignment horizontal="right" wrapText="1"/>
      <protection locked="0"/>
    </xf>
    <xf numFmtId="0" fontId="23" fillId="0" borderId="0" xfId="0" applyFont="1" applyFill="1" applyAlignment="1">
      <alignment horizontal="left" vertical="center"/>
    </xf>
    <xf numFmtId="0" fontId="28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127" xfId="0" applyFont="1" applyFill="1" applyBorder="1" applyAlignment="1">
      <alignment vertical="center"/>
    </xf>
    <xf numFmtId="0" fontId="0" fillId="38" borderId="193" xfId="0" applyFont="1" applyFill="1" applyBorder="1" applyAlignment="1">
      <alignment horizontal="center" vertical="center"/>
    </xf>
    <xf numFmtId="0" fontId="9" fillId="47" borderId="209" xfId="0" applyFont="1" applyFill="1" applyBorder="1" applyAlignment="1">
      <alignment horizontal="center" vertical="center"/>
    </xf>
    <xf numFmtId="0" fontId="9" fillId="47" borderId="210" xfId="0" applyFont="1" applyFill="1" applyBorder="1" applyAlignment="1">
      <alignment horizontal="center" vertical="center"/>
    </xf>
    <xf numFmtId="0" fontId="9" fillId="0" borderId="103" xfId="0" applyFont="1" applyFill="1" applyBorder="1" applyAlignment="1">
      <alignment horizontal="center"/>
    </xf>
    <xf numFmtId="0" fontId="9" fillId="0" borderId="80" xfId="0" applyFont="1" applyFill="1" applyBorder="1" applyAlignment="1">
      <alignment horizontal="center"/>
    </xf>
    <xf numFmtId="0" fontId="9" fillId="0" borderId="199" xfId="0" applyFont="1" applyFill="1" applyBorder="1" applyAlignment="1">
      <alignment horizontal="center"/>
    </xf>
    <xf numFmtId="3" fontId="16" fillId="0" borderId="211" xfId="0" applyNumberFormat="1" applyFont="1" applyFill="1" applyBorder="1" applyAlignment="1">
      <alignment/>
    </xf>
    <xf numFmtId="3" fontId="16" fillId="0" borderId="108" xfId="0" applyNumberFormat="1" applyFont="1" applyFill="1" applyBorder="1" applyAlignment="1">
      <alignment/>
    </xf>
    <xf numFmtId="3" fontId="16" fillId="43" borderId="107" xfId="0" applyNumberFormat="1" applyFont="1" applyFill="1" applyBorder="1" applyAlignment="1">
      <alignment/>
    </xf>
    <xf numFmtId="3" fontId="16" fillId="42" borderId="212" xfId="0" applyNumberFormat="1" applyFont="1" applyFill="1" applyBorder="1" applyAlignment="1">
      <alignment/>
    </xf>
    <xf numFmtId="0" fontId="9" fillId="0" borderId="107" xfId="0" applyFont="1" applyFill="1" applyBorder="1" applyAlignment="1">
      <alignment horizontal="center"/>
    </xf>
    <xf numFmtId="0" fontId="9" fillId="0" borderId="108" xfId="0" applyFont="1" applyFill="1" applyBorder="1" applyAlignment="1">
      <alignment horizontal="center"/>
    </xf>
    <xf numFmtId="0" fontId="9" fillId="0" borderId="211" xfId="0" applyFont="1" applyFill="1" applyBorder="1" applyAlignment="1">
      <alignment horizontal="center"/>
    </xf>
    <xf numFmtId="0" fontId="9" fillId="0" borderId="187" xfId="0" applyFont="1" applyFill="1" applyBorder="1" applyAlignment="1">
      <alignment horizontal="center"/>
    </xf>
    <xf numFmtId="0" fontId="9" fillId="0" borderId="142" xfId="0" applyFont="1" applyFill="1" applyBorder="1" applyAlignment="1">
      <alignment horizontal="center"/>
    </xf>
    <xf numFmtId="0" fontId="9" fillId="0" borderId="213" xfId="0" applyFont="1" applyFill="1" applyBorder="1" applyAlignment="1">
      <alignment horizontal="center"/>
    </xf>
    <xf numFmtId="3" fontId="16" fillId="0" borderId="199" xfId="0" applyNumberFormat="1" applyFont="1" applyFill="1" applyBorder="1" applyAlignment="1">
      <alignment vertical="center"/>
    </xf>
    <xf numFmtId="3" fontId="16" fillId="0" borderId="198" xfId="0" applyNumberFormat="1" applyFont="1" applyFill="1" applyBorder="1" applyAlignment="1">
      <alignment vertical="center"/>
    </xf>
    <xf numFmtId="0" fontId="9" fillId="0" borderId="103" xfId="47" applyFont="1" applyFill="1" applyBorder="1" applyAlignment="1">
      <alignment horizontal="center"/>
      <protection/>
    </xf>
    <xf numFmtId="0" fontId="9" fillId="0" borderId="80" xfId="47" applyFont="1" applyFill="1" applyBorder="1" applyAlignment="1">
      <alignment horizontal="center"/>
      <protection/>
    </xf>
    <xf numFmtId="0" fontId="9" fillId="0" borderId="104" xfId="47" applyFont="1" applyFill="1" applyBorder="1" applyAlignment="1">
      <alignment horizontal="center"/>
      <protection/>
    </xf>
    <xf numFmtId="3" fontId="0" fillId="0" borderId="0" xfId="0" applyNumberFormat="1" applyFont="1" applyFill="1" applyBorder="1" applyAlignment="1">
      <alignment vertical="center"/>
    </xf>
    <xf numFmtId="0" fontId="9" fillId="0" borderId="103" xfId="0" applyFont="1" applyFill="1" applyBorder="1" applyAlignment="1">
      <alignment horizontal="center" wrapText="1"/>
    </xf>
    <xf numFmtId="0" fontId="9" fillId="0" borderId="80" xfId="0" applyFont="1" applyFill="1" applyBorder="1" applyAlignment="1">
      <alignment horizontal="center" wrapText="1"/>
    </xf>
    <xf numFmtId="0" fontId="9" fillId="0" borderId="199" xfId="0" applyFont="1" applyFill="1" applyBorder="1" applyAlignment="1">
      <alignment horizontal="center" wrapText="1"/>
    </xf>
    <xf numFmtId="0" fontId="9" fillId="0" borderId="187" xfId="0" applyFont="1" applyFill="1" applyBorder="1" applyAlignment="1">
      <alignment horizontal="center" wrapText="1"/>
    </xf>
    <xf numFmtId="0" fontId="9" fillId="0" borderId="142" xfId="0" applyFont="1" applyFill="1" applyBorder="1" applyAlignment="1">
      <alignment horizontal="center" wrapText="1"/>
    </xf>
    <xf numFmtId="0" fontId="9" fillId="0" borderId="213" xfId="0" applyFont="1" applyFill="1" applyBorder="1" applyAlignment="1">
      <alignment horizontal="center" wrapText="1"/>
    </xf>
    <xf numFmtId="0" fontId="9" fillId="0" borderId="112" xfId="0" applyFont="1" applyFill="1" applyBorder="1" applyAlignment="1">
      <alignment horizontal="center" wrapText="1"/>
    </xf>
    <xf numFmtId="0" fontId="9" fillId="0" borderId="81" xfId="0" applyFont="1" applyFill="1" applyBorder="1" applyAlignment="1">
      <alignment horizontal="center" wrapText="1"/>
    </xf>
    <xf numFmtId="0" fontId="9" fillId="0" borderId="214" xfId="0" applyFont="1" applyFill="1" applyBorder="1" applyAlignment="1">
      <alignment horizontal="center" wrapText="1"/>
    </xf>
    <xf numFmtId="0" fontId="9" fillId="44" borderId="215" xfId="0" applyFont="1" applyFill="1" applyBorder="1" applyAlignment="1" applyProtection="1">
      <alignment horizontal="center" vertical="center"/>
      <protection locked="0"/>
    </xf>
    <xf numFmtId="0" fontId="9" fillId="44" borderId="216" xfId="0" applyFont="1" applyFill="1" applyBorder="1" applyAlignment="1" applyProtection="1">
      <alignment horizontal="center" vertical="center"/>
      <protection locked="0"/>
    </xf>
    <xf numFmtId="0" fontId="9" fillId="47" borderId="217" xfId="0" applyFont="1" applyFill="1" applyBorder="1" applyAlignment="1">
      <alignment horizontal="center" vertical="center"/>
    </xf>
    <xf numFmtId="0" fontId="9" fillId="47" borderId="218" xfId="0" applyFont="1" applyFill="1" applyBorder="1" applyAlignment="1">
      <alignment horizontal="center" vertical="center"/>
    </xf>
    <xf numFmtId="0" fontId="9" fillId="0" borderId="146" xfId="0" applyFont="1" applyFill="1" applyBorder="1" applyAlignment="1">
      <alignment horizontal="center" wrapText="1"/>
    </xf>
    <xf numFmtId="0" fontId="9" fillId="0" borderId="119" xfId="0" applyFont="1" applyFill="1" applyBorder="1" applyAlignment="1">
      <alignment horizontal="center" wrapText="1"/>
    </xf>
    <xf numFmtId="0" fontId="9" fillId="0" borderId="219" xfId="0" applyFont="1" applyFill="1" applyBorder="1" applyAlignment="1">
      <alignment horizontal="center" wrapText="1"/>
    </xf>
    <xf numFmtId="0" fontId="9" fillId="0" borderId="220" xfId="0" applyFont="1" applyFill="1" applyBorder="1" applyAlignment="1">
      <alignment horizontal="center"/>
    </xf>
    <xf numFmtId="0" fontId="9" fillId="0" borderId="221" xfId="0" applyFont="1" applyFill="1" applyBorder="1" applyAlignment="1">
      <alignment horizontal="center" wrapText="1"/>
    </xf>
    <xf numFmtId="0" fontId="9" fillId="0" borderId="222" xfId="0" applyFont="1" applyFill="1" applyBorder="1" applyAlignment="1">
      <alignment horizontal="center" wrapText="1"/>
    </xf>
    <xf numFmtId="0" fontId="9" fillId="0" borderId="19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38" borderId="0" xfId="0" applyFont="1" applyFill="1" applyBorder="1" applyAlignment="1">
      <alignment/>
    </xf>
    <xf numFmtId="0" fontId="11" fillId="38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49" applyFont="1">
      <alignment/>
      <protection/>
    </xf>
    <xf numFmtId="0" fontId="5" fillId="0" borderId="0" xfId="49" applyFont="1">
      <alignment/>
      <protection/>
    </xf>
    <xf numFmtId="0" fontId="5" fillId="0" borderId="99" xfId="0" applyFont="1" applyFill="1" applyBorder="1" applyAlignment="1">
      <alignment horizontal="center" vertical="center"/>
    </xf>
    <xf numFmtId="0" fontId="5" fillId="41" borderId="99" xfId="0" applyFont="1" applyFill="1" applyBorder="1" applyAlignment="1" applyProtection="1">
      <alignment horizontal="center" wrapText="1"/>
      <protection locked="0"/>
    </xf>
    <xf numFmtId="0" fontId="5" fillId="36" borderId="99" xfId="50" applyFont="1" applyFill="1" applyBorder="1" applyAlignment="1">
      <alignment horizontal="center" wrapText="1"/>
      <protection/>
    </xf>
    <xf numFmtId="0" fontId="5" fillId="0" borderId="99" xfId="0" applyFont="1" applyFill="1" applyBorder="1" applyAlignment="1" applyProtection="1">
      <alignment horizontal="center" wrapText="1"/>
      <protection locked="0"/>
    </xf>
    <xf numFmtId="0" fontId="5" fillId="0" borderId="54" xfId="0" applyFont="1" applyFill="1" applyBorder="1" applyAlignment="1">
      <alignment horizontal="center" vertical="center"/>
    </xf>
    <xf numFmtId="0" fontId="0" fillId="0" borderId="223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99" xfId="0" applyFont="1" applyFill="1" applyBorder="1" applyAlignment="1">
      <alignment wrapText="1"/>
    </xf>
    <xf numFmtId="0" fontId="27" fillId="0" borderId="6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0" fontId="5" fillId="36" borderId="62" xfId="50" applyFont="1" applyFill="1" applyBorder="1" applyAlignment="1">
      <alignment horizontal="center" wrapText="1"/>
      <protection/>
    </xf>
    <xf numFmtId="0" fontId="9" fillId="0" borderId="62" xfId="0" applyFont="1" applyFill="1" applyBorder="1" applyAlignment="1">
      <alignment horizontal="center" vertical="center"/>
    </xf>
    <xf numFmtId="0" fontId="15" fillId="34" borderId="152" xfId="0" applyFont="1" applyFill="1" applyBorder="1" applyAlignment="1">
      <alignment horizontal="center" vertical="center" wrapText="1"/>
    </xf>
    <xf numFmtId="0" fontId="31" fillId="0" borderId="73" xfId="0" applyFont="1" applyFill="1" applyBorder="1" applyAlignment="1">
      <alignment horizontal="center" vertical="center" wrapText="1"/>
    </xf>
    <xf numFmtId="3" fontId="23" fillId="36" borderId="60" xfId="0" applyNumberFormat="1" applyFont="1" applyFill="1" applyBorder="1" applyAlignment="1">
      <alignment/>
    </xf>
    <xf numFmtId="3" fontId="23" fillId="36" borderId="16" xfId="0" applyNumberFormat="1" applyFont="1" applyFill="1" applyBorder="1" applyAlignment="1">
      <alignment/>
    </xf>
    <xf numFmtId="0" fontId="41" fillId="0" borderId="58" xfId="0" applyFont="1" applyFill="1" applyBorder="1" applyAlignment="1">
      <alignment wrapText="1"/>
    </xf>
    <xf numFmtId="3" fontId="23" fillId="0" borderId="78" xfId="0" applyNumberFormat="1" applyFont="1" applyFill="1" applyBorder="1" applyAlignment="1">
      <alignment/>
    </xf>
    <xf numFmtId="3" fontId="23" fillId="33" borderId="78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33" borderId="11" xfId="0" applyNumberFormat="1" applyFont="1" applyFill="1" applyBorder="1" applyAlignment="1">
      <alignment/>
    </xf>
    <xf numFmtId="3" fontId="23" fillId="34" borderId="11" xfId="0" applyNumberFormat="1" applyFont="1" applyFill="1" applyBorder="1" applyAlignment="1">
      <alignment/>
    </xf>
    <xf numFmtId="3" fontId="23" fillId="0" borderId="27" xfId="0" applyNumberFormat="1" applyFont="1" applyFill="1" applyBorder="1" applyAlignment="1">
      <alignment/>
    </xf>
    <xf numFmtId="0" fontId="41" fillId="0" borderId="50" xfId="0" applyFont="1" applyFill="1" applyBorder="1" applyAlignment="1">
      <alignment wrapText="1"/>
    </xf>
    <xf numFmtId="3" fontId="23" fillId="0" borderId="50" xfId="0" applyNumberFormat="1" applyFont="1" applyFill="1" applyBorder="1" applyAlignment="1">
      <alignment/>
    </xf>
    <xf numFmtId="3" fontId="23" fillId="33" borderId="50" xfId="0" applyNumberFormat="1" applyFont="1" applyFill="1" applyBorder="1" applyAlignment="1">
      <alignment/>
    </xf>
    <xf numFmtId="3" fontId="23" fillId="34" borderId="50" xfId="0" applyNumberFormat="1" applyFont="1" applyFill="1" applyBorder="1" applyAlignment="1">
      <alignment/>
    </xf>
    <xf numFmtId="3" fontId="23" fillId="0" borderId="34" xfId="0" applyNumberFormat="1" applyFont="1" applyFill="1" applyBorder="1" applyAlignment="1">
      <alignment/>
    </xf>
    <xf numFmtId="0" fontId="41" fillId="0" borderId="126" xfId="0" applyFont="1" applyFill="1" applyBorder="1" applyAlignment="1">
      <alignment wrapText="1"/>
    </xf>
    <xf numFmtId="3" fontId="23" fillId="0" borderId="70" xfId="0" applyNumberFormat="1" applyFont="1" applyFill="1" applyBorder="1" applyAlignment="1">
      <alignment/>
    </xf>
    <xf numFmtId="3" fontId="23" fillId="33" borderId="70" xfId="0" applyNumberFormat="1" applyFont="1" applyFill="1" applyBorder="1" applyAlignment="1">
      <alignment/>
    </xf>
    <xf numFmtId="3" fontId="23" fillId="34" borderId="70" xfId="0" applyNumberFormat="1" applyFont="1" applyFill="1" applyBorder="1" applyAlignment="1">
      <alignment/>
    </xf>
    <xf numFmtId="3" fontId="23" fillId="0" borderId="63" xfId="0" applyNumberFormat="1" applyFont="1" applyFill="1" applyBorder="1" applyAlignment="1">
      <alignment/>
    </xf>
    <xf numFmtId="0" fontId="41" fillId="0" borderId="11" xfId="0" applyFont="1" applyFill="1" applyBorder="1" applyAlignment="1">
      <alignment wrapText="1"/>
    </xf>
    <xf numFmtId="0" fontId="41" fillId="0" borderId="34" xfId="0" applyFont="1" applyFill="1" applyBorder="1" applyAlignment="1">
      <alignment wrapText="1"/>
    </xf>
    <xf numFmtId="0" fontId="41" fillId="0" borderId="78" xfId="0" applyFont="1" applyFill="1" applyBorder="1" applyAlignment="1">
      <alignment wrapText="1"/>
    </xf>
    <xf numFmtId="3" fontId="23" fillId="33" borderId="34" xfId="0" applyNumberFormat="1" applyFont="1" applyFill="1" applyBorder="1" applyAlignment="1">
      <alignment/>
    </xf>
    <xf numFmtId="3" fontId="23" fillId="34" borderId="34" xfId="0" applyNumberFormat="1" applyFont="1" applyFill="1" applyBorder="1" applyAlignment="1">
      <alignment/>
    </xf>
    <xf numFmtId="3" fontId="23" fillId="33" borderId="27" xfId="0" applyNumberFormat="1" applyFont="1" applyFill="1" applyBorder="1" applyAlignment="1">
      <alignment/>
    </xf>
    <xf numFmtId="0" fontId="41" fillId="0" borderId="78" xfId="0" applyFont="1" applyFill="1" applyBorder="1" applyAlignment="1">
      <alignment horizontal="left" wrapText="1"/>
    </xf>
    <xf numFmtId="0" fontId="41" fillId="0" borderId="23" xfId="0" applyFont="1" applyFill="1" applyBorder="1" applyAlignment="1">
      <alignment wrapText="1"/>
    </xf>
    <xf numFmtId="0" fontId="20" fillId="0" borderId="34" xfId="0" applyFont="1" applyFill="1" applyBorder="1" applyAlignment="1">
      <alignment/>
    </xf>
    <xf numFmtId="3" fontId="23" fillId="0" borderId="126" xfId="0" applyNumberFormat="1" applyFont="1" applyFill="1" applyBorder="1" applyAlignment="1">
      <alignment/>
    </xf>
    <xf numFmtId="3" fontId="23" fillId="33" borderId="126" xfId="0" applyNumberFormat="1" applyFont="1" applyFill="1" applyBorder="1" applyAlignment="1">
      <alignment/>
    </xf>
    <xf numFmtId="3" fontId="23" fillId="34" borderId="126" xfId="0" applyNumberFormat="1" applyFont="1" applyFill="1" applyBorder="1" applyAlignment="1">
      <alignment/>
    </xf>
    <xf numFmtId="3" fontId="23" fillId="0" borderId="44" xfId="0" applyNumberFormat="1" applyFont="1" applyFill="1" applyBorder="1" applyAlignment="1">
      <alignment/>
    </xf>
    <xf numFmtId="0" fontId="17" fillId="36" borderId="60" xfId="0" applyFont="1" applyFill="1" applyBorder="1" applyAlignment="1">
      <alignment/>
    </xf>
    <xf numFmtId="3" fontId="14" fillId="0" borderId="78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91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left"/>
    </xf>
    <xf numFmtId="3" fontId="23" fillId="0" borderId="58" xfId="0" applyNumberFormat="1" applyFont="1" applyFill="1" applyBorder="1" applyAlignment="1">
      <alignment/>
    </xf>
    <xf numFmtId="3" fontId="23" fillId="33" borderId="58" xfId="0" applyNumberFormat="1" applyFont="1" applyFill="1" applyBorder="1" applyAlignment="1">
      <alignment/>
    </xf>
    <xf numFmtId="3" fontId="23" fillId="34" borderId="58" xfId="0" applyNumberFormat="1" applyFont="1" applyFill="1" applyBorder="1" applyAlignment="1">
      <alignment/>
    </xf>
    <xf numFmtId="3" fontId="23" fillId="0" borderId="23" xfId="0" applyNumberFormat="1" applyFont="1" applyFill="1" applyBorder="1" applyAlignment="1">
      <alignment/>
    </xf>
    <xf numFmtId="3" fontId="23" fillId="0" borderId="78" xfId="0" applyNumberFormat="1" applyFont="1" applyFill="1" applyBorder="1" applyAlignment="1">
      <alignment/>
    </xf>
    <xf numFmtId="3" fontId="23" fillId="33" borderId="78" xfId="0" applyNumberFormat="1" applyFont="1" applyFill="1" applyBorder="1" applyAlignment="1">
      <alignment/>
    </xf>
    <xf numFmtId="3" fontId="23" fillId="34" borderId="78" xfId="0" applyNumberFormat="1" applyFont="1" applyFill="1" applyBorder="1" applyAlignment="1">
      <alignment/>
    </xf>
    <xf numFmtId="3" fontId="23" fillId="0" borderId="135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28" fillId="36" borderId="13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3" fontId="4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3" fontId="2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3" fontId="28" fillId="0" borderId="78" xfId="0" applyNumberFormat="1" applyFont="1" applyFill="1" applyBorder="1" applyAlignment="1">
      <alignment/>
    </xf>
    <xf numFmtId="0" fontId="5" fillId="0" borderId="70" xfId="0" applyFont="1" applyFill="1" applyBorder="1" applyAlignment="1">
      <alignment/>
    </xf>
    <xf numFmtId="0" fontId="9" fillId="0" borderId="65" xfId="0" applyFont="1" applyBorder="1" applyAlignment="1" applyProtection="1">
      <alignment horizontal="center"/>
      <protection locked="0"/>
    </xf>
    <xf numFmtId="0" fontId="35" fillId="0" borderId="70" xfId="0" applyFont="1" applyFill="1" applyBorder="1" applyAlignment="1">
      <alignment/>
    </xf>
    <xf numFmtId="0" fontId="19" fillId="0" borderId="135" xfId="51" applyFont="1" applyFill="1" applyBorder="1" applyAlignment="1" applyProtection="1">
      <alignment wrapText="1"/>
      <protection locked="0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47" borderId="101" xfId="0" applyFont="1" applyFill="1" applyBorder="1" applyAlignment="1">
      <alignment horizontal="center" vertical="center"/>
    </xf>
    <xf numFmtId="0" fontId="9" fillId="47" borderId="102" xfId="0" applyFont="1" applyFill="1" applyBorder="1" applyAlignment="1">
      <alignment horizontal="center" vertical="center"/>
    </xf>
    <xf numFmtId="3" fontId="13" fillId="0" borderId="211" xfId="0" applyNumberFormat="1" applyFont="1" applyFill="1" applyBorder="1" applyAlignment="1">
      <alignment vertical="center"/>
    </xf>
    <xf numFmtId="3" fontId="13" fillId="0" borderId="224" xfId="0" applyNumberFormat="1" applyFont="1" applyFill="1" applyBorder="1" applyAlignment="1">
      <alignment vertical="center"/>
    </xf>
    <xf numFmtId="0" fontId="9" fillId="47" borderId="196" xfId="0" applyFont="1" applyFill="1" applyBorder="1" applyAlignment="1">
      <alignment horizontal="center" vertical="center"/>
    </xf>
    <xf numFmtId="0" fontId="0" fillId="0" borderId="76" xfId="0" applyFont="1" applyBorder="1" applyAlignment="1">
      <alignment/>
    </xf>
    <xf numFmtId="0" fontId="0" fillId="0" borderId="91" xfId="0" applyFont="1" applyBorder="1" applyAlignment="1">
      <alignment/>
    </xf>
    <xf numFmtId="3" fontId="13" fillId="0" borderId="224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5" fillId="0" borderId="136" xfId="0" applyFont="1" applyFill="1" applyBorder="1" applyAlignment="1">
      <alignment horizontal="center" vertical="center"/>
    </xf>
    <xf numFmtId="0" fontId="0" fillId="40" borderId="34" xfId="0" applyFont="1" applyFill="1" applyBorder="1" applyAlignment="1">
      <alignment wrapText="1"/>
    </xf>
    <xf numFmtId="0" fontId="0" fillId="41" borderId="23" xfId="0" applyFont="1" applyFill="1" applyBorder="1" applyAlignment="1">
      <alignment wrapText="1"/>
    </xf>
    <xf numFmtId="0" fontId="0" fillId="41" borderId="225" xfId="0" applyFont="1" applyFill="1" applyBorder="1" applyAlignment="1">
      <alignment wrapText="1"/>
    </xf>
    <xf numFmtId="0" fontId="19" fillId="0" borderId="27" xfId="0" applyFont="1" applyBorder="1" applyAlignment="1">
      <alignment wrapText="1"/>
    </xf>
    <xf numFmtId="0" fontId="0" fillId="40" borderId="16" xfId="0" applyFont="1" applyFill="1" applyBorder="1" applyAlignment="1">
      <alignment wrapText="1"/>
    </xf>
    <xf numFmtId="0" fontId="0" fillId="40" borderId="100" xfId="0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32" fillId="0" borderId="0" xfId="0" applyNumberFormat="1" applyFont="1" applyFill="1" applyBorder="1" applyAlignment="1">
      <alignment vertical="center" wrapText="1"/>
    </xf>
    <xf numFmtId="3" fontId="31" fillId="0" borderId="0" xfId="0" applyNumberFormat="1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3" fontId="23" fillId="40" borderId="13" xfId="0" applyNumberFormat="1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3" fontId="23" fillId="40" borderId="18" xfId="0" applyNumberFormat="1" applyFont="1" applyFill="1" applyBorder="1" applyAlignment="1">
      <alignment/>
    </xf>
    <xf numFmtId="3" fontId="23" fillId="40" borderId="226" xfId="0" applyNumberFormat="1" applyFont="1" applyFill="1" applyBorder="1" applyAlignment="1">
      <alignment/>
    </xf>
    <xf numFmtId="3" fontId="23" fillId="40" borderId="57" xfId="0" applyNumberFormat="1" applyFont="1" applyFill="1" applyBorder="1" applyAlignment="1">
      <alignment/>
    </xf>
    <xf numFmtId="0" fontId="14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/>
    </xf>
    <xf numFmtId="3" fontId="23" fillId="40" borderId="141" xfId="0" applyNumberFormat="1" applyFont="1" applyFill="1" applyBorder="1" applyAlignment="1">
      <alignment/>
    </xf>
    <xf numFmtId="3" fontId="23" fillId="40" borderId="227" xfId="0" applyNumberFormat="1" applyFont="1" applyFill="1" applyBorder="1" applyAlignment="1">
      <alignment/>
    </xf>
    <xf numFmtId="3" fontId="23" fillId="40" borderId="228" xfId="0" applyNumberFormat="1" applyFont="1" applyFill="1" applyBorder="1" applyAlignment="1">
      <alignment/>
    </xf>
    <xf numFmtId="3" fontId="23" fillId="40" borderId="123" xfId="0" applyNumberFormat="1" applyFont="1" applyFill="1" applyBorder="1" applyAlignment="1">
      <alignment/>
    </xf>
    <xf numFmtId="3" fontId="23" fillId="40" borderId="122" xfId="0" applyNumberFormat="1" applyFont="1" applyFill="1" applyBorder="1" applyAlignment="1">
      <alignment/>
    </xf>
    <xf numFmtId="3" fontId="12" fillId="0" borderId="229" xfId="0" applyNumberFormat="1" applyFont="1" applyFill="1" applyBorder="1" applyAlignment="1">
      <alignment/>
    </xf>
    <xf numFmtId="3" fontId="12" fillId="0" borderId="230" xfId="0" applyNumberFormat="1" applyFont="1" applyFill="1" applyBorder="1" applyAlignment="1">
      <alignment/>
    </xf>
    <xf numFmtId="3" fontId="12" fillId="43" borderId="231" xfId="0" applyNumberFormat="1" applyFont="1" applyFill="1" applyBorder="1" applyAlignment="1">
      <alignment/>
    </xf>
    <xf numFmtId="3" fontId="12" fillId="0" borderId="232" xfId="0" applyNumberFormat="1" applyFont="1" applyFill="1" applyBorder="1" applyAlignment="1">
      <alignment/>
    </xf>
    <xf numFmtId="3" fontId="12" fillId="43" borderId="233" xfId="0" applyNumberFormat="1" applyFont="1" applyFill="1" applyBorder="1" applyAlignment="1">
      <alignment/>
    </xf>
    <xf numFmtId="3" fontId="12" fillId="0" borderId="26" xfId="0" applyNumberFormat="1" applyFont="1" applyFill="1" applyBorder="1" applyAlignment="1">
      <alignment/>
    </xf>
    <xf numFmtId="3" fontId="12" fillId="0" borderId="227" xfId="0" applyNumberFormat="1" applyFont="1" applyFill="1" applyBorder="1" applyAlignment="1">
      <alignment/>
    </xf>
    <xf numFmtId="3" fontId="12" fillId="0" borderId="122" xfId="0" applyNumberFormat="1" applyFont="1" applyFill="1" applyBorder="1" applyAlignment="1">
      <alignment/>
    </xf>
    <xf numFmtId="3" fontId="12" fillId="43" borderId="141" xfId="0" applyNumberFormat="1" applyFont="1" applyFill="1" applyBorder="1" applyAlignment="1">
      <alignment/>
    </xf>
    <xf numFmtId="3" fontId="12" fillId="0" borderId="228" xfId="0" applyNumberFormat="1" applyFont="1" applyFill="1" applyBorder="1" applyAlignment="1">
      <alignment/>
    </xf>
    <xf numFmtId="3" fontId="12" fillId="43" borderId="123" xfId="0" applyNumberFormat="1" applyFont="1" applyFill="1" applyBorder="1" applyAlignment="1">
      <alignment/>
    </xf>
    <xf numFmtId="3" fontId="23" fillId="40" borderId="60" xfId="0" applyNumberFormat="1" applyFont="1" applyFill="1" applyBorder="1" applyAlignment="1">
      <alignment/>
    </xf>
    <xf numFmtId="3" fontId="23" fillId="40" borderId="16" xfId="0" applyNumberFormat="1" applyFont="1" applyFill="1" applyBorder="1" applyAlignment="1">
      <alignment/>
    </xf>
    <xf numFmtId="3" fontId="16" fillId="38" borderId="227" xfId="0" applyNumberFormat="1" applyFont="1" applyFill="1" applyBorder="1" applyAlignment="1">
      <alignment/>
    </xf>
    <xf numFmtId="3" fontId="16" fillId="38" borderId="122" xfId="0" applyNumberFormat="1" applyFont="1" applyFill="1" applyBorder="1" applyAlignment="1">
      <alignment/>
    </xf>
    <xf numFmtId="3" fontId="16" fillId="43" borderId="141" xfId="0" applyNumberFormat="1" applyFont="1" applyFill="1" applyBorder="1" applyAlignment="1">
      <alignment/>
    </xf>
    <xf numFmtId="3" fontId="16" fillId="38" borderId="149" xfId="0" applyNumberFormat="1" applyFont="1" applyFill="1" applyBorder="1" applyAlignment="1">
      <alignment/>
    </xf>
    <xf numFmtId="3" fontId="16" fillId="43" borderId="234" xfId="0" applyNumberFormat="1" applyFont="1" applyFill="1" applyBorder="1" applyAlignment="1">
      <alignment/>
    </xf>
    <xf numFmtId="3" fontId="16" fillId="38" borderId="148" xfId="0" applyNumberFormat="1" applyFont="1" applyFill="1" applyBorder="1" applyAlignment="1">
      <alignment/>
    </xf>
    <xf numFmtId="3" fontId="16" fillId="38" borderId="176" xfId="0" applyNumberFormat="1" applyFont="1" applyFill="1" applyBorder="1" applyAlignment="1">
      <alignment/>
    </xf>
    <xf numFmtId="3" fontId="16" fillId="43" borderId="147" xfId="0" applyNumberFormat="1" applyFont="1" applyFill="1" applyBorder="1" applyAlignment="1">
      <alignment/>
    </xf>
    <xf numFmtId="3" fontId="16" fillId="38" borderId="48" xfId="0" applyNumberFormat="1" applyFont="1" applyFill="1" applyBorder="1" applyAlignment="1">
      <alignment/>
    </xf>
    <xf numFmtId="3" fontId="12" fillId="38" borderId="35" xfId="0" applyNumberFormat="1" applyFont="1" applyFill="1" applyBorder="1" applyAlignment="1">
      <alignment/>
    </xf>
    <xf numFmtId="3" fontId="12" fillId="38" borderId="10" xfId="0" applyNumberFormat="1" applyFont="1" applyFill="1" applyBorder="1" applyAlignment="1">
      <alignment/>
    </xf>
    <xf numFmtId="3" fontId="12" fillId="43" borderId="50" xfId="0" applyNumberFormat="1" applyFont="1" applyFill="1" applyBorder="1" applyAlignment="1">
      <alignment/>
    </xf>
    <xf numFmtId="3" fontId="12" fillId="38" borderId="37" xfId="0" applyNumberFormat="1" applyFont="1" applyFill="1" applyBorder="1" applyAlignment="1">
      <alignment/>
    </xf>
    <xf numFmtId="3" fontId="12" fillId="38" borderId="39" xfId="0" applyNumberFormat="1" applyFont="1" applyFill="1" applyBorder="1" applyAlignment="1">
      <alignment/>
    </xf>
    <xf numFmtId="3" fontId="12" fillId="43" borderId="10" xfId="0" applyNumberFormat="1" applyFont="1" applyFill="1" applyBorder="1" applyAlignment="1">
      <alignment/>
    </xf>
    <xf numFmtId="3" fontId="12" fillId="38" borderId="188" xfId="0" applyNumberFormat="1" applyFont="1" applyFill="1" applyBorder="1" applyAlignment="1">
      <alignment/>
    </xf>
    <xf numFmtId="3" fontId="12" fillId="38" borderId="131" xfId="0" applyNumberFormat="1" applyFont="1" applyFill="1" applyBorder="1" applyAlignment="1">
      <alignment/>
    </xf>
    <xf numFmtId="3" fontId="12" fillId="42" borderId="188" xfId="0" applyNumberFormat="1" applyFont="1" applyFill="1" applyBorder="1" applyAlignment="1">
      <alignment/>
    </xf>
    <xf numFmtId="3" fontId="12" fillId="38" borderId="119" xfId="0" applyNumberFormat="1" applyFont="1" applyFill="1" applyBorder="1" applyAlignment="1">
      <alignment/>
    </xf>
    <xf numFmtId="3" fontId="12" fillId="43" borderId="146" xfId="0" applyNumberFormat="1" applyFont="1" applyFill="1" applyBorder="1" applyAlignment="1">
      <alignment/>
    </xf>
    <xf numFmtId="3" fontId="12" fillId="38" borderId="235" xfId="0" applyNumberFormat="1" applyFont="1" applyFill="1" applyBorder="1" applyAlignment="1">
      <alignment/>
    </xf>
    <xf numFmtId="3" fontId="12" fillId="38" borderId="234" xfId="0" applyNumberFormat="1" applyFont="1" applyFill="1" applyBorder="1" applyAlignment="1">
      <alignment/>
    </xf>
    <xf numFmtId="3" fontId="12" fillId="38" borderId="176" xfId="0" applyNumberFormat="1" applyFont="1" applyFill="1" applyBorder="1" applyAlignment="1">
      <alignment/>
    </xf>
    <xf numFmtId="3" fontId="12" fillId="42" borderId="234" xfId="0" applyNumberFormat="1" applyFont="1" applyFill="1" applyBorder="1" applyAlignment="1">
      <alignment/>
    </xf>
    <xf numFmtId="3" fontId="12" fillId="38" borderId="148" xfId="0" applyNumberFormat="1" applyFont="1" applyFill="1" applyBorder="1" applyAlignment="1">
      <alignment/>
    </xf>
    <xf numFmtId="3" fontId="12" fillId="43" borderId="147" xfId="0" applyNumberFormat="1" applyFont="1" applyFill="1" applyBorder="1" applyAlignment="1">
      <alignment/>
    </xf>
    <xf numFmtId="3" fontId="12" fillId="38" borderId="149" xfId="0" applyNumberFormat="1" applyFont="1" applyFill="1" applyBorder="1" applyAlignment="1">
      <alignment/>
    </xf>
    <xf numFmtId="3" fontId="12" fillId="38" borderId="48" xfId="0" applyNumberFormat="1" applyFont="1" applyFill="1" applyBorder="1" applyAlignment="1">
      <alignment/>
    </xf>
    <xf numFmtId="3" fontId="12" fillId="33" borderId="135" xfId="0" applyNumberFormat="1" applyFont="1" applyFill="1" applyBorder="1" applyAlignment="1">
      <alignment/>
    </xf>
    <xf numFmtId="3" fontId="23" fillId="40" borderId="19" xfId="0" applyNumberFormat="1" applyFont="1" applyFill="1" applyBorder="1" applyAlignment="1">
      <alignment/>
    </xf>
    <xf numFmtId="3" fontId="23" fillId="40" borderId="86" xfId="0" applyNumberFormat="1" applyFont="1" applyFill="1" applyBorder="1" applyAlignment="1">
      <alignment/>
    </xf>
    <xf numFmtId="3" fontId="12" fillId="0" borderId="23" xfId="0" applyNumberFormat="1" applyFont="1" applyBorder="1" applyAlignment="1">
      <alignment/>
    </xf>
    <xf numFmtId="3" fontId="12" fillId="0" borderId="233" xfId="0" applyNumberFormat="1" applyFont="1" applyBorder="1" applyAlignment="1">
      <alignment/>
    </xf>
    <xf numFmtId="3" fontId="12" fillId="0" borderId="230" xfId="0" applyNumberFormat="1" applyFont="1" applyBorder="1" applyAlignment="1">
      <alignment/>
    </xf>
    <xf numFmtId="3" fontId="12" fillId="42" borderId="23" xfId="0" applyNumberFormat="1" applyFont="1" applyFill="1" applyBorder="1" applyAlignment="1">
      <alignment/>
    </xf>
    <xf numFmtId="3" fontId="12" fillId="42" borderId="233" xfId="0" applyNumberFormat="1" applyFont="1" applyFill="1" applyBorder="1" applyAlignment="1">
      <alignment/>
    </xf>
    <xf numFmtId="3" fontId="17" fillId="42" borderId="229" xfId="0" applyNumberFormat="1" applyFont="1" applyFill="1" applyBorder="1" applyAlignment="1">
      <alignment/>
    </xf>
    <xf numFmtId="3" fontId="12" fillId="0" borderId="229" xfId="0" applyNumberFormat="1" applyFont="1" applyBorder="1" applyAlignment="1">
      <alignment/>
    </xf>
    <xf numFmtId="3" fontId="12" fillId="0" borderId="232" xfId="0" applyNumberFormat="1" applyFont="1" applyBorder="1" applyAlignment="1">
      <alignment/>
    </xf>
    <xf numFmtId="3" fontId="23" fillId="40" borderId="17" xfId="0" applyNumberFormat="1" applyFont="1" applyFill="1" applyBorder="1" applyAlignment="1">
      <alignment/>
    </xf>
    <xf numFmtId="3" fontId="23" fillId="40" borderId="15" xfId="0" applyNumberFormat="1" applyFont="1" applyFill="1" applyBorder="1" applyAlignment="1">
      <alignment/>
    </xf>
    <xf numFmtId="3" fontId="23" fillId="40" borderId="178" xfId="0" applyNumberFormat="1" applyFont="1" applyFill="1" applyBorder="1" applyAlignment="1">
      <alignment/>
    </xf>
    <xf numFmtId="3" fontId="23" fillId="40" borderId="159" xfId="0" applyNumberFormat="1" applyFont="1" applyFill="1" applyBorder="1" applyAlignment="1">
      <alignment/>
    </xf>
    <xf numFmtId="3" fontId="23" fillId="40" borderId="179" xfId="0" applyNumberFormat="1" applyFont="1" applyFill="1" applyBorder="1" applyAlignment="1">
      <alignment/>
    </xf>
    <xf numFmtId="3" fontId="23" fillId="40" borderId="158" xfId="0" applyNumberFormat="1" applyFont="1" applyFill="1" applyBorder="1" applyAlignment="1">
      <alignment/>
    </xf>
    <xf numFmtId="3" fontId="23" fillId="40" borderId="180" xfId="0" applyNumberFormat="1" applyFont="1" applyFill="1" applyBorder="1" applyAlignment="1">
      <alignment/>
    </xf>
    <xf numFmtId="3" fontId="12" fillId="38" borderId="45" xfId="0" applyNumberFormat="1" applyFont="1" applyFill="1" applyBorder="1" applyAlignment="1">
      <alignment/>
    </xf>
    <xf numFmtId="3" fontId="12" fillId="38" borderId="46" xfId="0" applyNumberFormat="1" applyFont="1" applyFill="1" applyBorder="1" applyAlignment="1">
      <alignment/>
    </xf>
    <xf numFmtId="3" fontId="12" fillId="42" borderId="47" xfId="0" applyNumberFormat="1" applyFont="1" applyFill="1" applyBorder="1" applyAlignment="1">
      <alignment/>
    </xf>
    <xf numFmtId="3" fontId="12" fillId="43" borderId="47" xfId="0" applyNumberFormat="1" applyFont="1" applyFill="1" applyBorder="1" applyAlignment="1">
      <alignment/>
    </xf>
    <xf numFmtId="3" fontId="12" fillId="38" borderId="42" xfId="0" applyNumberFormat="1" applyFont="1" applyFill="1" applyBorder="1" applyAlignment="1">
      <alignment/>
    </xf>
    <xf numFmtId="3" fontId="12" fillId="38" borderId="43" xfId="0" applyNumberFormat="1" applyFont="1" applyFill="1" applyBorder="1" applyAlignment="1">
      <alignment/>
    </xf>
    <xf numFmtId="3" fontId="12" fillId="38" borderId="44" xfId="0" applyNumberFormat="1" applyFont="1" applyFill="1" applyBorder="1" applyAlignment="1">
      <alignment/>
    </xf>
    <xf numFmtId="3" fontId="17" fillId="42" borderId="37" xfId="0" applyNumberFormat="1" applyFont="1" applyFill="1" applyBorder="1" applyAlignment="1">
      <alignment/>
    </xf>
    <xf numFmtId="3" fontId="12" fillId="38" borderId="36" xfId="0" applyNumberFormat="1" applyFont="1" applyFill="1" applyBorder="1" applyAlignment="1">
      <alignment/>
    </xf>
    <xf numFmtId="3" fontId="12" fillId="43" borderId="38" xfId="0" applyNumberFormat="1" applyFont="1" applyFill="1" applyBorder="1" applyAlignment="1">
      <alignment/>
    </xf>
    <xf numFmtId="3" fontId="12" fillId="38" borderId="20" xfId="0" applyNumberFormat="1" applyFont="1" applyFill="1" applyBorder="1" applyAlignment="1">
      <alignment/>
    </xf>
    <xf numFmtId="3" fontId="12" fillId="38" borderId="21" xfId="0" applyNumberFormat="1" applyFont="1" applyFill="1" applyBorder="1" applyAlignment="1">
      <alignment/>
    </xf>
    <xf numFmtId="3" fontId="12" fillId="38" borderId="25" xfId="0" applyNumberFormat="1" applyFont="1" applyFill="1" applyBorder="1" applyAlignment="1">
      <alignment/>
    </xf>
    <xf numFmtId="3" fontId="12" fillId="42" borderId="24" xfId="0" applyNumberFormat="1" applyFont="1" applyFill="1" applyBorder="1" applyAlignment="1">
      <alignment/>
    </xf>
    <xf numFmtId="3" fontId="12" fillId="38" borderId="22" xfId="0" applyNumberFormat="1" applyFont="1" applyFill="1" applyBorder="1" applyAlignment="1">
      <alignment/>
    </xf>
    <xf numFmtId="3" fontId="12" fillId="43" borderId="20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/>
    </xf>
    <xf numFmtId="3" fontId="12" fillId="0" borderId="25" xfId="0" applyNumberFormat="1" applyFont="1" applyFill="1" applyBorder="1" applyAlignment="1">
      <alignment/>
    </xf>
    <xf numFmtId="3" fontId="12" fillId="43" borderId="24" xfId="0" applyNumberFormat="1" applyFont="1" applyFill="1" applyBorder="1" applyAlignment="1">
      <alignment/>
    </xf>
    <xf numFmtId="3" fontId="12" fillId="38" borderId="26" xfId="0" applyNumberFormat="1" applyFont="1" applyFill="1" applyBorder="1" applyAlignment="1">
      <alignment/>
    </xf>
    <xf numFmtId="3" fontId="12" fillId="38" borderId="47" xfId="0" applyNumberFormat="1" applyFont="1" applyFill="1" applyBorder="1" applyAlignment="1">
      <alignment/>
    </xf>
    <xf numFmtId="3" fontId="12" fillId="42" borderId="44" xfId="0" applyNumberFormat="1" applyFont="1" applyFill="1" applyBorder="1" applyAlignment="1">
      <alignment/>
    </xf>
    <xf numFmtId="3" fontId="12" fillId="42" borderId="45" xfId="0" applyNumberFormat="1" applyFont="1" applyFill="1" applyBorder="1" applyAlignment="1">
      <alignment/>
    </xf>
    <xf numFmtId="3" fontId="12" fillId="43" borderId="45" xfId="0" applyNumberFormat="1" applyFont="1" applyFill="1" applyBorder="1" applyAlignment="1">
      <alignment/>
    </xf>
    <xf numFmtId="0" fontId="9" fillId="35" borderId="41" xfId="0" applyFont="1" applyFill="1" applyBorder="1" applyAlignment="1" applyProtection="1">
      <alignment horizontal="center"/>
      <protection locked="0"/>
    </xf>
    <xf numFmtId="0" fontId="0" fillId="35" borderId="34" xfId="0" applyFont="1" applyFill="1" applyBorder="1" applyAlignment="1" applyProtection="1">
      <alignment horizontal="left"/>
      <protection locked="0"/>
    </xf>
    <xf numFmtId="0" fontId="9" fillId="0" borderId="95" xfId="0" applyFont="1" applyFill="1" applyBorder="1" applyAlignment="1" applyProtection="1">
      <alignment/>
      <protection locked="0"/>
    </xf>
    <xf numFmtId="0" fontId="9" fillId="0" borderId="104" xfId="0" applyFont="1" applyFill="1" applyBorder="1" applyAlignment="1">
      <alignment/>
    </xf>
    <xf numFmtId="0" fontId="9" fillId="0" borderId="109" xfId="0" applyFont="1" applyFill="1" applyBorder="1" applyAlignment="1">
      <alignment/>
    </xf>
    <xf numFmtId="0" fontId="9" fillId="0" borderId="131" xfId="0" applyFont="1" applyFill="1" applyBorder="1" applyAlignment="1">
      <alignment/>
    </xf>
    <xf numFmtId="0" fontId="9" fillId="0" borderId="103" xfId="0" applyFont="1" applyFill="1" applyBorder="1" applyAlignment="1">
      <alignment/>
    </xf>
    <xf numFmtId="0" fontId="9" fillId="0" borderId="80" xfId="0" applyFont="1" applyFill="1" applyBorder="1" applyAlignment="1">
      <alignment/>
    </xf>
    <xf numFmtId="0" fontId="9" fillId="0" borderId="199" xfId="0" applyFont="1" applyFill="1" applyBorder="1" applyAlignment="1">
      <alignment/>
    </xf>
    <xf numFmtId="3" fontId="16" fillId="0" borderId="151" xfId="0" applyNumberFormat="1" applyFont="1" applyFill="1" applyBorder="1" applyAlignment="1">
      <alignment/>
    </xf>
    <xf numFmtId="3" fontId="16" fillId="0" borderId="142" xfId="0" applyNumberFormat="1" applyFont="1" applyFill="1" applyBorder="1" applyAlignment="1">
      <alignment/>
    </xf>
    <xf numFmtId="3" fontId="16" fillId="0" borderId="213" xfId="0" applyNumberFormat="1" applyFont="1" applyFill="1" applyBorder="1" applyAlignment="1">
      <alignment/>
    </xf>
    <xf numFmtId="3" fontId="16" fillId="43" borderId="187" xfId="0" applyNumberFormat="1" applyFont="1" applyFill="1" applyBorder="1" applyAlignment="1">
      <alignment/>
    </xf>
    <xf numFmtId="0" fontId="9" fillId="0" borderId="236" xfId="0" applyFont="1" applyFill="1" applyBorder="1" applyAlignment="1">
      <alignment/>
    </xf>
    <xf numFmtId="0" fontId="9" fillId="0" borderId="108" xfId="0" applyFont="1" applyFill="1" applyBorder="1" applyAlignment="1">
      <alignment/>
    </xf>
    <xf numFmtId="0" fontId="9" fillId="0" borderId="211" xfId="0" applyFont="1" applyFill="1" applyBorder="1" applyAlignment="1">
      <alignment/>
    </xf>
    <xf numFmtId="3" fontId="16" fillId="0" borderId="237" xfId="0" applyNumberFormat="1" applyFont="1" applyFill="1" applyBorder="1" applyAlignment="1">
      <alignment horizontal="right"/>
    </xf>
    <xf numFmtId="3" fontId="16" fillId="0" borderId="107" xfId="0" applyNumberFormat="1" applyFont="1" applyFill="1" applyBorder="1" applyAlignment="1">
      <alignment horizontal="right"/>
    </xf>
    <xf numFmtId="3" fontId="16" fillId="0" borderId="211" xfId="0" applyNumberFormat="1" applyFont="1" applyFill="1" applyBorder="1" applyAlignment="1">
      <alignment horizontal="right"/>
    </xf>
    <xf numFmtId="3" fontId="16" fillId="56" borderId="237" xfId="0" applyNumberFormat="1" applyFont="1" applyFill="1" applyBorder="1" applyAlignment="1">
      <alignment horizontal="right"/>
    </xf>
    <xf numFmtId="3" fontId="16" fillId="56" borderId="107" xfId="0" applyNumberFormat="1" applyFont="1" applyFill="1" applyBorder="1" applyAlignment="1">
      <alignment horizontal="right"/>
    </xf>
    <xf numFmtId="3" fontId="23" fillId="56" borderId="108" xfId="0" applyNumberFormat="1" applyFont="1" applyFill="1" applyBorder="1" applyAlignment="1">
      <alignment horizontal="right"/>
    </xf>
    <xf numFmtId="3" fontId="16" fillId="0" borderId="108" xfId="0" applyNumberFormat="1" applyFont="1" applyFill="1" applyBorder="1" applyAlignment="1">
      <alignment horizontal="right"/>
    </xf>
    <xf numFmtId="3" fontId="16" fillId="0" borderId="109" xfId="0" applyNumberFormat="1" applyFont="1" applyFill="1" applyBorder="1" applyAlignment="1">
      <alignment horizontal="right"/>
    </xf>
    <xf numFmtId="3" fontId="16" fillId="43" borderId="238" xfId="0" applyNumberFormat="1" applyFont="1" applyFill="1" applyBorder="1" applyAlignment="1">
      <alignment horizontal="right"/>
    </xf>
    <xf numFmtId="3" fontId="16" fillId="0" borderId="239" xfId="0" applyNumberFormat="1" applyFont="1" applyFill="1" applyBorder="1" applyAlignment="1">
      <alignment horizontal="right"/>
    </xf>
    <xf numFmtId="3" fontId="16" fillId="43" borderId="107" xfId="0" applyNumberFormat="1" applyFont="1" applyFill="1" applyBorder="1" applyAlignment="1">
      <alignment horizontal="right"/>
    </xf>
    <xf numFmtId="3" fontId="13" fillId="0" borderId="211" xfId="0" applyNumberFormat="1" applyFont="1" applyFill="1" applyBorder="1" applyAlignment="1">
      <alignment horizontal="right"/>
    </xf>
    <xf numFmtId="0" fontId="5" fillId="36" borderId="240" xfId="50" applyFont="1" applyFill="1" applyBorder="1" applyAlignment="1">
      <alignment wrapText="1"/>
      <protection/>
    </xf>
    <xf numFmtId="0" fontId="0" fillId="36" borderId="99" xfId="50" applyFont="1" applyFill="1" applyBorder="1" applyAlignment="1">
      <alignment wrapText="1"/>
      <protection/>
    </xf>
    <xf numFmtId="0" fontId="0" fillId="41" borderId="99" xfId="0" applyFont="1" applyFill="1" applyBorder="1" applyAlignment="1" applyProtection="1">
      <alignment wrapText="1"/>
      <protection locked="0"/>
    </xf>
    <xf numFmtId="0" fontId="0" fillId="0" borderId="99" xfId="50" applyFont="1" applyFill="1" applyBorder="1" applyAlignment="1">
      <alignment wrapText="1"/>
      <protection/>
    </xf>
    <xf numFmtId="0" fontId="0" fillId="0" borderId="223" xfId="50" applyFont="1" applyFill="1" applyBorder="1" applyAlignment="1">
      <alignment wrapText="1"/>
      <protection/>
    </xf>
    <xf numFmtId="0" fontId="0" fillId="40" borderId="99" xfId="0" applyFont="1" applyFill="1" applyBorder="1" applyAlignment="1" applyProtection="1">
      <alignment wrapText="1"/>
      <protection locked="0"/>
    </xf>
    <xf numFmtId="0" fontId="0" fillId="36" borderId="100" xfId="0" applyFont="1" applyFill="1" applyBorder="1" applyAlignment="1">
      <alignment wrapText="1"/>
    </xf>
    <xf numFmtId="0" fontId="19" fillId="0" borderId="241" xfId="51" applyFont="1" applyFill="1" applyBorder="1" applyAlignment="1">
      <alignment wrapText="1"/>
      <protection/>
    </xf>
    <xf numFmtId="0" fontId="0" fillId="0" borderId="100" xfId="50" applyFont="1" applyFill="1" applyBorder="1" applyAlignment="1">
      <alignment wrapText="1"/>
      <protection/>
    </xf>
    <xf numFmtId="0" fontId="0" fillId="41" borderId="100" xfId="0" applyFont="1" applyFill="1" applyBorder="1" applyAlignment="1" applyProtection="1">
      <alignment wrapText="1"/>
      <protection locked="0"/>
    </xf>
    <xf numFmtId="0" fontId="0" fillId="40" borderId="100" xfId="0" applyFont="1" applyFill="1" applyBorder="1" applyAlignment="1" applyProtection="1">
      <alignment wrapText="1"/>
      <protection locked="0"/>
    </xf>
    <xf numFmtId="0" fontId="0" fillId="36" borderId="100" xfId="50" applyFont="1" applyFill="1" applyBorder="1" applyAlignment="1">
      <alignment wrapText="1"/>
      <protection/>
    </xf>
    <xf numFmtId="49" fontId="0" fillId="0" borderId="100" xfId="50" applyNumberFormat="1" applyFont="1" applyFill="1" applyBorder="1" applyAlignment="1">
      <alignment wrapText="1"/>
      <protection/>
    </xf>
    <xf numFmtId="49" fontId="0" fillId="36" borderId="242" xfId="0" applyNumberFormat="1" applyFont="1" applyFill="1" applyBorder="1" applyAlignment="1">
      <alignment wrapText="1"/>
    </xf>
    <xf numFmtId="0" fontId="0" fillId="0" borderId="100" xfId="0" applyFont="1" applyFill="1" applyBorder="1" applyAlignment="1" applyProtection="1">
      <alignment wrapText="1"/>
      <protection locked="0"/>
    </xf>
    <xf numFmtId="0" fontId="0" fillId="41" borderId="103" xfId="0" applyFont="1" applyFill="1" applyBorder="1" applyAlignment="1" applyProtection="1">
      <alignment wrapText="1"/>
      <protection locked="0"/>
    </xf>
    <xf numFmtId="0" fontId="0" fillId="0" borderId="79" xfId="0" applyFont="1" applyFill="1" applyBorder="1" applyAlignment="1">
      <alignment wrapText="1"/>
    </xf>
    <xf numFmtId="0" fontId="0" fillId="0" borderId="225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3" fontId="16" fillId="0" borderId="212" xfId="0" applyNumberFormat="1" applyFont="1" applyFill="1" applyBorder="1" applyAlignment="1">
      <alignment horizontal="right"/>
    </xf>
    <xf numFmtId="3" fontId="16" fillId="42" borderId="243" xfId="0" applyNumberFormat="1" applyFont="1" applyFill="1" applyBorder="1" applyAlignment="1">
      <alignment horizontal="right"/>
    </xf>
    <xf numFmtId="3" fontId="16" fillId="0" borderId="224" xfId="0" applyNumberFormat="1" applyFont="1" applyFill="1" applyBorder="1" applyAlignment="1">
      <alignment horizontal="right"/>
    </xf>
    <xf numFmtId="3" fontId="16" fillId="42" borderId="212" xfId="0" applyNumberFormat="1" applyFont="1" applyFill="1" applyBorder="1" applyAlignment="1">
      <alignment horizontal="right"/>
    </xf>
    <xf numFmtId="3" fontId="16" fillId="0" borderId="244" xfId="0" applyNumberFormat="1" applyFont="1" applyFill="1" applyBorder="1" applyAlignment="1">
      <alignment horizontal="right"/>
    </xf>
    <xf numFmtId="3" fontId="16" fillId="0" borderId="199" xfId="0" applyNumberFormat="1" applyFont="1" applyFill="1" applyBorder="1" applyAlignment="1">
      <alignment horizontal="right"/>
    </xf>
    <xf numFmtId="3" fontId="16" fillId="42" borderId="103" xfId="0" applyNumberFormat="1" applyFont="1" applyFill="1" applyBorder="1" applyAlignment="1">
      <alignment horizontal="right"/>
    </xf>
    <xf numFmtId="3" fontId="23" fillId="42" borderId="80" xfId="0" applyNumberFormat="1" applyFont="1" applyFill="1" applyBorder="1" applyAlignment="1">
      <alignment horizontal="right"/>
    </xf>
    <xf numFmtId="3" fontId="16" fillId="0" borderId="80" xfId="0" applyNumberFormat="1" applyFont="1" applyFill="1" applyBorder="1" applyAlignment="1">
      <alignment horizontal="right"/>
    </xf>
    <xf numFmtId="3" fontId="16" fillId="43" borderId="103" xfId="0" applyNumberFormat="1" applyFont="1" applyFill="1" applyBorder="1" applyAlignment="1">
      <alignment horizontal="right"/>
    </xf>
    <xf numFmtId="3" fontId="16" fillId="0" borderId="198" xfId="0" applyNumberFormat="1" applyFont="1" applyFill="1" applyBorder="1" applyAlignment="1">
      <alignment horizontal="right"/>
    </xf>
    <xf numFmtId="3" fontId="16" fillId="0" borderId="103" xfId="0" applyNumberFormat="1" applyFont="1" applyFill="1" applyBorder="1" applyAlignment="1">
      <alignment horizontal="right"/>
    </xf>
    <xf numFmtId="3" fontId="16" fillId="0" borderId="104" xfId="0" applyNumberFormat="1" applyFont="1" applyFill="1" applyBorder="1" applyAlignment="1">
      <alignment horizontal="right"/>
    </xf>
    <xf numFmtId="3" fontId="16" fillId="43" borderId="244" xfId="0" applyNumberFormat="1" applyFont="1" applyFill="1" applyBorder="1" applyAlignment="1">
      <alignment horizontal="right"/>
    </xf>
    <xf numFmtId="3" fontId="16" fillId="0" borderId="187" xfId="0" applyNumberFormat="1" applyFont="1" applyFill="1" applyBorder="1" applyAlignment="1">
      <alignment horizontal="right"/>
    </xf>
    <xf numFmtId="3" fontId="16" fillId="0" borderId="151" xfId="0" applyNumberFormat="1" applyFont="1" applyFill="1" applyBorder="1" applyAlignment="1">
      <alignment horizontal="right"/>
    </xf>
    <xf numFmtId="3" fontId="16" fillId="42" borderId="187" xfId="0" applyNumberFormat="1" applyFont="1" applyFill="1" applyBorder="1" applyAlignment="1">
      <alignment horizontal="right"/>
    </xf>
    <xf numFmtId="3" fontId="23" fillId="42" borderId="142" xfId="0" applyNumberFormat="1" applyFont="1" applyFill="1" applyBorder="1" applyAlignment="1">
      <alignment horizontal="right"/>
    </xf>
    <xf numFmtId="3" fontId="16" fillId="0" borderId="142" xfId="0" applyNumberFormat="1" applyFont="1" applyFill="1" applyBorder="1" applyAlignment="1">
      <alignment horizontal="right"/>
    </xf>
    <xf numFmtId="3" fontId="16" fillId="43" borderId="245" xfId="0" applyNumberFormat="1" applyFont="1" applyFill="1" applyBorder="1" applyAlignment="1">
      <alignment horizontal="right"/>
    </xf>
    <xf numFmtId="3" fontId="16" fillId="0" borderId="213" xfId="0" applyNumberFormat="1" applyFont="1" applyFill="1" applyBorder="1" applyAlignment="1">
      <alignment horizontal="right"/>
    </xf>
    <xf numFmtId="3" fontId="16" fillId="43" borderId="187" xfId="0" applyNumberFormat="1" applyFont="1" applyFill="1" applyBorder="1" applyAlignment="1">
      <alignment horizontal="right"/>
    </xf>
    <xf numFmtId="3" fontId="16" fillId="0" borderId="246" xfId="0" applyNumberFormat="1" applyFont="1" applyFill="1" applyBorder="1" applyAlignment="1">
      <alignment horizontal="right" vertical="center"/>
    </xf>
    <xf numFmtId="3" fontId="16" fillId="0" borderId="247" xfId="0" applyNumberFormat="1" applyFont="1" applyFill="1" applyBorder="1" applyAlignment="1">
      <alignment horizontal="right"/>
    </xf>
    <xf numFmtId="3" fontId="16" fillId="0" borderId="112" xfId="0" applyNumberFormat="1" applyFont="1" applyFill="1" applyBorder="1" applyAlignment="1">
      <alignment horizontal="right"/>
    </xf>
    <xf numFmtId="3" fontId="16" fillId="0" borderId="113" xfId="0" applyNumberFormat="1" applyFont="1" applyFill="1" applyBorder="1" applyAlignment="1">
      <alignment horizontal="right"/>
    </xf>
    <xf numFmtId="3" fontId="16" fillId="42" borderId="247" xfId="0" applyNumberFormat="1" applyFont="1" applyFill="1" applyBorder="1" applyAlignment="1">
      <alignment horizontal="right"/>
    </xf>
    <xf numFmtId="3" fontId="16" fillId="42" borderId="112" xfId="0" applyNumberFormat="1" applyFont="1" applyFill="1" applyBorder="1" applyAlignment="1">
      <alignment horizontal="right"/>
    </xf>
    <xf numFmtId="3" fontId="23" fillId="42" borderId="81" xfId="0" applyNumberFormat="1" applyFont="1" applyFill="1" applyBorder="1" applyAlignment="1">
      <alignment horizontal="right"/>
    </xf>
    <xf numFmtId="3" fontId="16" fillId="0" borderId="81" xfId="0" applyNumberFormat="1" applyFont="1" applyFill="1" applyBorder="1" applyAlignment="1">
      <alignment horizontal="right"/>
    </xf>
    <xf numFmtId="3" fontId="16" fillId="43" borderId="248" xfId="0" applyNumberFormat="1" applyFont="1" applyFill="1" applyBorder="1" applyAlignment="1">
      <alignment horizontal="right"/>
    </xf>
    <xf numFmtId="3" fontId="16" fillId="0" borderId="214" xfId="0" applyNumberFormat="1" applyFont="1" applyFill="1" applyBorder="1" applyAlignment="1">
      <alignment horizontal="right"/>
    </xf>
    <xf numFmtId="3" fontId="16" fillId="43" borderId="112" xfId="0" applyNumberFormat="1" applyFont="1" applyFill="1" applyBorder="1" applyAlignment="1">
      <alignment horizontal="right"/>
    </xf>
    <xf numFmtId="3" fontId="16" fillId="0" borderId="249" xfId="0" applyNumberFormat="1" applyFont="1" applyFill="1" applyBorder="1" applyAlignment="1">
      <alignment horizontal="right"/>
    </xf>
    <xf numFmtId="3" fontId="23" fillId="36" borderId="60" xfId="0" applyNumberFormat="1" applyFont="1" applyFill="1" applyBorder="1" applyAlignment="1">
      <alignment horizontal="right"/>
    </xf>
    <xf numFmtId="3" fontId="23" fillId="36" borderId="13" xfId="0" applyNumberFormat="1" applyFont="1" applyFill="1" applyBorder="1" applyAlignment="1">
      <alignment horizontal="right"/>
    </xf>
    <xf numFmtId="3" fontId="23" fillId="36" borderId="18" xfId="0" applyNumberFormat="1" applyFont="1" applyFill="1" applyBorder="1" applyAlignment="1">
      <alignment horizontal="right"/>
    </xf>
    <xf numFmtId="3" fontId="23" fillId="36" borderId="226" xfId="0" applyNumberFormat="1" applyFont="1" applyFill="1" applyBorder="1" applyAlignment="1">
      <alignment horizontal="right"/>
    </xf>
    <xf numFmtId="3" fontId="23" fillId="36" borderId="14" xfId="0" applyNumberFormat="1" applyFont="1" applyFill="1" applyBorder="1" applyAlignment="1">
      <alignment horizontal="right"/>
    </xf>
    <xf numFmtId="3" fontId="23" fillId="36" borderId="18" xfId="0" applyNumberFormat="1" applyFont="1" applyFill="1" applyBorder="1" applyAlignment="1">
      <alignment horizontal="right" vertical="center"/>
    </xf>
    <xf numFmtId="0" fontId="9" fillId="0" borderId="250" xfId="0" applyFont="1" applyFill="1" applyBorder="1" applyAlignment="1">
      <alignment/>
    </xf>
    <xf numFmtId="3" fontId="16" fillId="0" borderId="243" xfId="0" applyNumberFormat="1" applyFont="1" applyFill="1" applyBorder="1" applyAlignment="1">
      <alignment horizontal="right"/>
    </xf>
    <xf numFmtId="3" fontId="16" fillId="0" borderId="251" xfId="0" applyNumberFormat="1" applyFont="1" applyFill="1" applyBorder="1" applyAlignment="1">
      <alignment horizontal="right"/>
    </xf>
    <xf numFmtId="0" fontId="9" fillId="0" borderId="244" xfId="0" applyFont="1" applyFill="1" applyBorder="1" applyAlignment="1">
      <alignment/>
    </xf>
    <xf numFmtId="0" fontId="9" fillId="0" borderId="236" xfId="0" applyFont="1" applyFill="1" applyBorder="1" applyAlignment="1">
      <alignment/>
    </xf>
    <xf numFmtId="0" fontId="10" fillId="55" borderId="99" xfId="50" applyFont="1" applyFill="1" applyBorder="1" applyAlignment="1">
      <alignment horizontal="left" wrapText="1"/>
      <protection/>
    </xf>
    <xf numFmtId="0" fontId="9" fillId="0" borderId="103" xfId="0" applyFont="1" applyFill="1" applyBorder="1" applyAlignment="1">
      <alignment horizontal="center"/>
    </xf>
    <xf numFmtId="0" fontId="7" fillId="0" borderId="80" xfId="0" applyFont="1" applyFill="1" applyBorder="1" applyAlignment="1">
      <alignment horizontal="center"/>
    </xf>
    <xf numFmtId="0" fontId="7" fillId="0" borderId="199" xfId="0" applyFont="1" applyFill="1" applyBorder="1" applyAlignment="1">
      <alignment horizontal="center"/>
    </xf>
    <xf numFmtId="3" fontId="13" fillId="0" borderId="212" xfId="0" applyNumberFormat="1" applyFont="1" applyFill="1" applyBorder="1" applyAlignment="1">
      <alignment/>
    </xf>
    <xf numFmtId="3" fontId="13" fillId="0" borderId="107" xfId="0" applyNumberFormat="1" applyFont="1" applyFill="1" applyBorder="1" applyAlignment="1">
      <alignment/>
    </xf>
    <xf numFmtId="3" fontId="13" fillId="0" borderId="211" xfId="0" applyNumberFormat="1" applyFont="1" applyFill="1" applyBorder="1" applyAlignment="1">
      <alignment/>
    </xf>
    <xf numFmtId="3" fontId="13" fillId="56" borderId="212" xfId="0" applyNumberFormat="1" applyFont="1" applyFill="1" applyBorder="1" applyAlignment="1">
      <alignment/>
    </xf>
    <xf numFmtId="3" fontId="13" fillId="56" borderId="107" xfId="0" applyNumberFormat="1" applyFont="1" applyFill="1" applyBorder="1" applyAlignment="1">
      <alignment/>
    </xf>
    <xf numFmtId="3" fontId="4" fillId="56" borderId="108" xfId="0" applyNumberFormat="1" applyFont="1" applyFill="1" applyBorder="1" applyAlignment="1">
      <alignment/>
    </xf>
    <xf numFmtId="3" fontId="13" fillId="0" borderId="108" xfId="0" applyNumberFormat="1" applyFont="1" applyFill="1" applyBorder="1" applyAlignment="1">
      <alignment/>
    </xf>
    <xf numFmtId="3" fontId="13" fillId="43" borderId="107" xfId="0" applyNumberFormat="1" applyFont="1" applyFill="1" applyBorder="1" applyAlignment="1">
      <alignment/>
    </xf>
    <xf numFmtId="3" fontId="13" fillId="43" borderId="107" xfId="0" applyNumberFormat="1" applyFont="1" applyFill="1" applyBorder="1" applyAlignment="1">
      <alignment/>
    </xf>
    <xf numFmtId="0" fontId="9" fillId="0" borderId="244" xfId="50" applyFont="1" applyFill="1" applyBorder="1" applyAlignment="1">
      <alignment/>
      <protection/>
    </xf>
    <xf numFmtId="0" fontId="9" fillId="0" borderId="107" xfId="0" applyFont="1" applyFill="1" applyBorder="1" applyAlignment="1">
      <alignment horizontal="center"/>
    </xf>
    <xf numFmtId="0" fontId="7" fillId="0" borderId="108" xfId="0" applyFont="1" applyFill="1" applyBorder="1" applyAlignment="1">
      <alignment horizontal="center"/>
    </xf>
    <xf numFmtId="0" fontId="7" fillId="0" borderId="211" xfId="0" applyFont="1" applyFill="1" applyBorder="1" applyAlignment="1">
      <alignment horizontal="center"/>
    </xf>
    <xf numFmtId="3" fontId="13" fillId="0" borderId="237" xfId="0" applyNumberFormat="1" applyFont="1" applyFill="1" applyBorder="1" applyAlignment="1">
      <alignment/>
    </xf>
    <xf numFmtId="3" fontId="13" fillId="56" borderId="237" xfId="0" applyNumberFormat="1" applyFont="1" applyFill="1" applyBorder="1" applyAlignment="1">
      <alignment/>
    </xf>
    <xf numFmtId="3" fontId="13" fillId="0" borderId="109" xfId="0" applyNumberFormat="1" applyFont="1" applyFill="1" applyBorder="1" applyAlignment="1">
      <alignment/>
    </xf>
    <xf numFmtId="3" fontId="13" fillId="43" borderId="238" xfId="0" applyNumberFormat="1" applyFont="1" applyFill="1" applyBorder="1" applyAlignment="1">
      <alignment/>
    </xf>
    <xf numFmtId="3" fontId="13" fillId="0" borderId="239" xfId="0" applyNumberFormat="1" applyFont="1" applyFill="1" applyBorder="1" applyAlignment="1">
      <alignment/>
    </xf>
    <xf numFmtId="0" fontId="9" fillId="0" borderId="109" xfId="0" applyFont="1" applyFill="1" applyBorder="1" applyAlignment="1">
      <alignment/>
    </xf>
    <xf numFmtId="0" fontId="9" fillId="0" borderId="104" xfId="0" applyFont="1" applyFill="1" applyBorder="1" applyAlignment="1">
      <alignment/>
    </xf>
    <xf numFmtId="0" fontId="9" fillId="0" borderId="245" xfId="0" applyFont="1" applyFill="1" applyBorder="1" applyAlignment="1">
      <alignment/>
    </xf>
    <xf numFmtId="0" fontId="9" fillId="0" borderId="142" xfId="0" applyFont="1" applyFill="1" applyBorder="1" applyAlignment="1">
      <alignment/>
    </xf>
    <xf numFmtId="0" fontId="9" fillId="0" borderId="213" xfId="0" applyFont="1" applyFill="1" applyBorder="1" applyAlignment="1">
      <alignment/>
    </xf>
    <xf numFmtId="0" fontId="5" fillId="0" borderId="252" xfId="0" applyFont="1" applyFill="1" applyBorder="1" applyAlignment="1">
      <alignment horizontal="left" wrapText="1"/>
    </xf>
    <xf numFmtId="0" fontId="9" fillId="0" borderId="187" xfId="0" applyFont="1" applyFill="1" applyBorder="1" applyAlignment="1">
      <alignment wrapText="1"/>
    </xf>
    <xf numFmtId="0" fontId="7" fillId="0" borderId="142" xfId="0" applyFont="1" applyFill="1" applyBorder="1" applyAlignment="1">
      <alignment wrapText="1"/>
    </xf>
    <xf numFmtId="0" fontId="7" fillId="0" borderId="213" xfId="0" applyFont="1" applyFill="1" applyBorder="1" applyAlignment="1">
      <alignment wrapText="1"/>
    </xf>
    <xf numFmtId="3" fontId="13" fillId="0" borderId="212" xfId="0" applyNumberFormat="1" applyFont="1" applyFill="1" applyBorder="1" applyAlignment="1">
      <alignment horizontal="right"/>
    </xf>
    <xf numFmtId="3" fontId="13" fillId="0" borderId="187" xfId="0" applyNumberFormat="1" applyFont="1" applyFill="1" applyBorder="1" applyAlignment="1">
      <alignment horizontal="right"/>
    </xf>
    <xf numFmtId="3" fontId="16" fillId="0" borderId="253" xfId="0" applyNumberFormat="1" applyFont="1" applyFill="1" applyBorder="1" applyAlignment="1">
      <alignment horizontal="right"/>
    </xf>
    <xf numFmtId="3" fontId="16" fillId="0" borderId="254" xfId="0" applyNumberFormat="1" applyFont="1" applyFill="1" applyBorder="1" applyAlignment="1">
      <alignment horizontal="right"/>
    </xf>
    <xf numFmtId="0" fontId="5" fillId="41" borderId="137" xfId="0" applyFont="1" applyFill="1" applyBorder="1" applyAlignment="1" applyProtection="1">
      <alignment horizontal="center" wrapText="1"/>
      <protection locked="0"/>
    </xf>
    <xf numFmtId="0" fontId="5" fillId="36" borderId="136" xfId="50" applyFont="1" applyFill="1" applyBorder="1" applyAlignment="1">
      <alignment horizontal="center"/>
      <protection/>
    </xf>
    <xf numFmtId="0" fontId="5" fillId="0" borderId="27" xfId="0" applyFont="1" applyFill="1" applyBorder="1" applyAlignment="1">
      <alignment horizontal="center"/>
    </xf>
    <xf numFmtId="0" fontId="5" fillId="41" borderId="34" xfId="0" applyFont="1" applyFill="1" applyBorder="1" applyAlignment="1" applyProtection="1">
      <alignment horizontal="center" wrapText="1"/>
      <protection locked="0"/>
    </xf>
    <xf numFmtId="0" fontId="5" fillId="36" borderId="22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22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0" fillId="41" borderId="255" xfId="0" applyFont="1" applyFill="1" applyBorder="1" applyAlignment="1" applyProtection="1">
      <alignment horizontal="left" wrapText="1"/>
      <protection locked="0"/>
    </xf>
    <xf numFmtId="0" fontId="0" fillId="41" borderId="76" xfId="0" applyFont="1" applyFill="1" applyBorder="1" applyAlignment="1" applyProtection="1">
      <alignment horizontal="left" wrapText="1"/>
      <protection locked="0"/>
    </xf>
    <xf numFmtId="0" fontId="0" fillId="36" borderId="76" xfId="50" applyFont="1" applyFill="1" applyBorder="1" applyAlignment="1">
      <alignment horizontal="left"/>
      <protection/>
    </xf>
    <xf numFmtId="0" fontId="0" fillId="0" borderId="76" xfId="50" applyFont="1" applyFill="1" applyBorder="1" applyAlignment="1">
      <alignment horizontal="left"/>
      <protection/>
    </xf>
    <xf numFmtId="0" fontId="0" fillId="36" borderId="91" xfId="0" applyFont="1" applyFill="1" applyBorder="1" applyAlignment="1">
      <alignment horizontal="left"/>
    </xf>
    <xf numFmtId="0" fontId="0" fillId="0" borderId="91" xfId="50" applyFont="1" applyFill="1" applyBorder="1" applyAlignment="1">
      <alignment horizontal="left"/>
      <protection/>
    </xf>
    <xf numFmtId="49" fontId="0" fillId="36" borderId="76" xfId="0" applyNumberFormat="1" applyFont="1" applyFill="1" applyBorder="1" applyAlignment="1">
      <alignment horizontal="left"/>
    </xf>
    <xf numFmtId="49" fontId="0" fillId="36" borderId="76" xfId="0" applyNumberFormat="1" applyFont="1" applyFill="1" applyBorder="1" applyAlignment="1">
      <alignment horizontal="left" wrapText="1"/>
    </xf>
    <xf numFmtId="0" fontId="0" fillId="0" borderId="256" xfId="51" applyFont="1" applyFill="1" applyBorder="1" applyAlignment="1">
      <alignment horizontal="left" wrapText="1"/>
      <protection/>
    </xf>
    <xf numFmtId="3" fontId="16" fillId="0" borderId="257" xfId="0" applyNumberFormat="1" applyFont="1" applyFill="1" applyBorder="1" applyAlignment="1">
      <alignment/>
    </xf>
    <xf numFmtId="3" fontId="16" fillId="42" borderId="251" xfId="0" applyNumberFormat="1" applyFont="1" applyFill="1" applyBorder="1" applyAlignment="1">
      <alignment/>
    </xf>
    <xf numFmtId="3" fontId="23" fillId="42" borderId="258" xfId="0" applyNumberFormat="1" applyFont="1" applyFill="1" applyBorder="1" applyAlignment="1">
      <alignment/>
    </xf>
    <xf numFmtId="3" fontId="16" fillId="0" borderId="258" xfId="0" applyNumberFormat="1" applyFont="1" applyFill="1" applyBorder="1" applyAlignment="1">
      <alignment/>
    </xf>
    <xf numFmtId="3" fontId="16" fillId="0" borderId="259" xfId="0" applyNumberFormat="1" applyFont="1" applyFill="1" applyBorder="1" applyAlignment="1">
      <alignment/>
    </xf>
    <xf numFmtId="3" fontId="16" fillId="43" borderId="260" xfId="0" applyNumberFormat="1" applyFont="1" applyFill="1" applyBorder="1" applyAlignment="1">
      <alignment/>
    </xf>
    <xf numFmtId="3" fontId="16" fillId="43" borderId="251" xfId="0" applyNumberFormat="1" applyFont="1" applyFill="1" applyBorder="1" applyAlignment="1">
      <alignment/>
    </xf>
    <xf numFmtId="3" fontId="16" fillId="0" borderId="257" xfId="0" applyNumberFormat="1" applyFont="1" applyFill="1" applyBorder="1" applyAlignment="1">
      <alignment vertical="center"/>
    </xf>
    <xf numFmtId="3" fontId="16" fillId="0" borderId="261" xfId="0" applyNumberFormat="1" applyFont="1" applyFill="1" applyBorder="1" applyAlignment="1">
      <alignment vertical="center"/>
    </xf>
    <xf numFmtId="3" fontId="16" fillId="0" borderId="262" xfId="0" applyNumberFormat="1" applyFont="1" applyFill="1" applyBorder="1" applyAlignment="1">
      <alignment/>
    </xf>
    <xf numFmtId="3" fontId="16" fillId="0" borderId="109" xfId="0" applyNumberFormat="1" applyFont="1" applyFill="1" applyBorder="1" applyAlignment="1">
      <alignment/>
    </xf>
    <xf numFmtId="3" fontId="16" fillId="0" borderId="239" xfId="0" applyNumberFormat="1" applyFont="1" applyFill="1" applyBorder="1" applyAlignment="1">
      <alignment/>
    </xf>
    <xf numFmtId="3" fontId="16" fillId="0" borderId="211" xfId="0" applyNumberFormat="1" applyFont="1" applyFill="1" applyBorder="1" applyAlignment="1">
      <alignment vertical="center"/>
    </xf>
    <xf numFmtId="3" fontId="16" fillId="0" borderId="224" xfId="0" applyNumberFormat="1" applyFont="1" applyFill="1" applyBorder="1" applyAlignment="1">
      <alignment vertical="center"/>
    </xf>
    <xf numFmtId="3" fontId="13" fillId="0" borderId="151" xfId="0" applyNumberFormat="1" applyFont="1" applyFill="1" applyBorder="1" applyAlignment="1">
      <alignment/>
    </xf>
    <xf numFmtId="3" fontId="13" fillId="56" borderId="187" xfId="0" applyNumberFormat="1" applyFont="1" applyFill="1" applyBorder="1" applyAlignment="1">
      <alignment/>
    </xf>
    <xf numFmtId="3" fontId="4" fillId="56" borderId="142" xfId="0" applyNumberFormat="1" applyFont="1" applyFill="1" applyBorder="1" applyAlignment="1">
      <alignment/>
    </xf>
    <xf numFmtId="3" fontId="13" fillId="0" borderId="142" xfId="0" applyNumberFormat="1" applyFont="1" applyFill="1" applyBorder="1" applyAlignment="1">
      <alignment/>
    </xf>
    <xf numFmtId="3" fontId="13" fillId="43" borderId="245" xfId="0" applyNumberFormat="1" applyFont="1" applyFill="1" applyBorder="1" applyAlignment="1">
      <alignment/>
    </xf>
    <xf numFmtId="3" fontId="13" fillId="0" borderId="213" xfId="0" applyNumberFormat="1" applyFont="1" applyFill="1" applyBorder="1" applyAlignment="1">
      <alignment/>
    </xf>
    <xf numFmtId="3" fontId="13" fillId="43" borderId="187" xfId="0" applyNumberFormat="1" applyFont="1" applyFill="1" applyBorder="1" applyAlignment="1">
      <alignment/>
    </xf>
    <xf numFmtId="3" fontId="13" fillId="0" borderId="213" xfId="0" applyNumberFormat="1" applyFont="1" applyFill="1" applyBorder="1" applyAlignment="1">
      <alignment vertical="center"/>
    </xf>
    <xf numFmtId="3" fontId="13" fillId="0" borderId="246" xfId="0" applyNumberFormat="1" applyFont="1" applyFill="1" applyBorder="1" applyAlignment="1">
      <alignment vertical="center"/>
    </xf>
    <xf numFmtId="3" fontId="16" fillId="0" borderId="207" xfId="0" applyNumberFormat="1" applyFont="1" applyFill="1" applyBorder="1" applyAlignment="1">
      <alignment/>
    </xf>
    <xf numFmtId="3" fontId="16" fillId="42" borderId="253" xfId="0" applyNumberFormat="1" applyFont="1" applyFill="1" applyBorder="1" applyAlignment="1">
      <alignment/>
    </xf>
    <xf numFmtId="3" fontId="16" fillId="42" borderId="254" xfId="0" applyNumberFormat="1" applyFont="1" applyFill="1" applyBorder="1" applyAlignment="1">
      <alignment/>
    </xf>
    <xf numFmtId="3" fontId="23" fillId="42" borderId="206" xfId="0" applyNumberFormat="1" applyFont="1" applyFill="1" applyBorder="1" applyAlignment="1">
      <alignment/>
    </xf>
    <xf numFmtId="3" fontId="16" fillId="0" borderId="206" xfId="0" applyNumberFormat="1" applyFont="1" applyFill="1" applyBorder="1" applyAlignment="1">
      <alignment/>
    </xf>
    <xf numFmtId="3" fontId="16" fillId="0" borderId="263" xfId="0" applyNumberFormat="1" applyFont="1" applyFill="1" applyBorder="1" applyAlignment="1">
      <alignment/>
    </xf>
    <xf numFmtId="3" fontId="16" fillId="43" borderId="264" xfId="0" applyNumberFormat="1" applyFont="1" applyFill="1" applyBorder="1" applyAlignment="1">
      <alignment/>
    </xf>
    <xf numFmtId="3" fontId="16" fillId="0" borderId="265" xfId="0" applyNumberFormat="1" applyFont="1" applyFill="1" applyBorder="1" applyAlignment="1">
      <alignment/>
    </xf>
    <xf numFmtId="3" fontId="16" fillId="43" borderId="254" xfId="0" applyNumberFormat="1" applyFont="1" applyFill="1" applyBorder="1" applyAlignment="1">
      <alignment/>
    </xf>
    <xf numFmtId="3" fontId="16" fillId="0" borderId="207" xfId="0" applyNumberFormat="1" applyFont="1" applyFill="1" applyBorder="1" applyAlignment="1">
      <alignment vertical="center"/>
    </xf>
    <xf numFmtId="3" fontId="16" fillId="0" borderId="266" xfId="0" applyNumberFormat="1" applyFont="1" applyFill="1" applyBorder="1" applyAlignment="1">
      <alignment vertical="center"/>
    </xf>
    <xf numFmtId="3" fontId="23" fillId="36" borderId="16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/>
    </xf>
    <xf numFmtId="3" fontId="28" fillId="57" borderId="0" xfId="0" applyNumberFormat="1" applyFont="1" applyFill="1" applyBorder="1" applyAlignment="1">
      <alignment horizontal="center"/>
    </xf>
    <xf numFmtId="0" fontId="0" fillId="41" borderId="34" xfId="0" applyFont="1" applyFill="1" applyBorder="1" applyAlignment="1">
      <alignment wrapText="1"/>
    </xf>
    <xf numFmtId="0" fontId="0" fillId="0" borderId="23" xfId="0" applyFont="1" applyFill="1" applyBorder="1" applyAlignment="1" applyProtection="1">
      <alignment wrapText="1"/>
      <protection locked="0"/>
    </xf>
    <xf numFmtId="0" fontId="0" fillId="35" borderId="34" xfId="0" applyFont="1" applyFill="1" applyBorder="1" applyAlignment="1" applyProtection="1">
      <alignment wrapText="1"/>
      <protection locked="0"/>
    </xf>
    <xf numFmtId="0" fontId="0" fillId="40" borderId="99" xfId="0" applyFont="1" applyFill="1" applyBorder="1" applyAlignment="1">
      <alignment horizontal="left" wrapText="1"/>
    </xf>
    <xf numFmtId="0" fontId="0" fillId="41" borderId="135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2" fontId="11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37" borderId="23" xfId="0" applyFont="1" applyFill="1" applyBorder="1" applyAlignment="1" applyProtection="1">
      <alignment wrapText="1"/>
      <protection locked="0"/>
    </xf>
    <xf numFmtId="0" fontId="5" fillId="37" borderId="44" xfId="0" applyFont="1" applyFill="1" applyBorder="1" applyAlignment="1" applyProtection="1">
      <alignment/>
      <protection locked="0"/>
    </xf>
    <xf numFmtId="0" fontId="0" fillId="37" borderId="54" xfId="0" applyFont="1" applyFill="1" applyBorder="1" applyAlignment="1" applyProtection="1">
      <alignment wrapText="1"/>
      <protection locked="0"/>
    </xf>
    <xf numFmtId="0" fontId="5" fillId="41" borderId="54" xfId="0" applyFont="1" applyFill="1" applyBorder="1" applyAlignment="1">
      <alignment/>
    </xf>
    <xf numFmtId="0" fontId="0" fillId="41" borderId="57" xfId="0" applyFont="1" applyFill="1" applyBorder="1" applyAlignment="1">
      <alignment/>
    </xf>
    <xf numFmtId="0" fontId="5" fillId="41" borderId="23" xfId="0" applyFont="1" applyFill="1" applyBorder="1" applyAlignment="1">
      <alignment/>
    </xf>
    <xf numFmtId="0" fontId="5" fillId="40" borderId="99" xfId="0" applyFont="1" applyFill="1" applyBorder="1" applyAlignment="1">
      <alignment wrapText="1"/>
    </xf>
    <xf numFmtId="0" fontId="0" fillId="0" borderId="27" xfId="0" applyFont="1" applyBorder="1" applyAlignment="1" applyProtection="1">
      <alignment horizontal="left" wrapText="1"/>
      <protection locked="0"/>
    </xf>
    <xf numFmtId="0" fontId="5" fillId="40" borderId="34" xfId="0" applyFont="1" applyFill="1" applyBorder="1" applyAlignment="1">
      <alignment/>
    </xf>
    <xf numFmtId="0" fontId="0" fillId="40" borderId="39" xfId="0" applyFont="1" applyFill="1" applyBorder="1" applyAlignment="1">
      <alignment/>
    </xf>
    <xf numFmtId="3" fontId="17" fillId="42" borderId="162" xfId="0" applyNumberFormat="1" applyFont="1" applyFill="1" applyBorder="1" applyAlignment="1">
      <alignment/>
    </xf>
    <xf numFmtId="3" fontId="17" fillId="42" borderId="85" xfId="0" applyNumberFormat="1" applyFont="1" applyFill="1" applyBorder="1" applyAlignment="1">
      <alignment/>
    </xf>
    <xf numFmtId="0" fontId="0" fillId="40" borderId="137" xfId="0" applyFont="1" applyFill="1" applyBorder="1" applyAlignment="1">
      <alignment wrapText="1"/>
    </xf>
    <xf numFmtId="0" fontId="5" fillId="40" borderId="128" xfId="0" applyFont="1" applyFill="1" applyBorder="1" applyAlignment="1">
      <alignment/>
    </xf>
    <xf numFmtId="0" fontId="0" fillId="40" borderId="128" xfId="0" applyFont="1" applyFill="1" applyBorder="1" applyAlignment="1">
      <alignment wrapText="1"/>
    </xf>
    <xf numFmtId="0" fontId="0" fillId="0" borderId="23" xfId="51" applyFont="1" applyFill="1" applyBorder="1" applyAlignment="1">
      <alignment wrapText="1"/>
      <protection/>
    </xf>
    <xf numFmtId="3" fontId="12" fillId="33" borderId="135" xfId="0" applyNumberFormat="1" applyFont="1" applyFill="1" applyBorder="1" applyAlignment="1" applyProtection="1">
      <alignment/>
      <protection/>
    </xf>
    <xf numFmtId="0" fontId="19" fillId="58" borderId="26" xfId="0" applyFont="1" applyFill="1" applyBorder="1" applyAlignment="1" applyProtection="1">
      <alignment wrapText="1"/>
      <protection locked="0"/>
    </xf>
    <xf numFmtId="0" fontId="19" fillId="58" borderId="39" xfId="0" applyFont="1" applyFill="1" applyBorder="1" applyAlignment="1" applyProtection="1">
      <alignment wrapText="1"/>
      <protection locked="0"/>
    </xf>
    <xf numFmtId="0" fontId="19" fillId="58" borderId="39" xfId="0" applyFont="1" applyFill="1" applyBorder="1" applyAlignment="1" applyProtection="1">
      <alignment horizontal="left" wrapText="1"/>
      <protection locked="0"/>
    </xf>
    <xf numFmtId="0" fontId="5" fillId="0" borderId="63" xfId="0" applyFont="1" applyFill="1" applyBorder="1" applyAlignment="1">
      <alignment/>
    </xf>
    <xf numFmtId="0" fontId="5" fillId="41" borderId="135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left"/>
    </xf>
    <xf numFmtId="3" fontId="17" fillId="59" borderId="37" xfId="0" applyNumberFormat="1" applyFont="1" applyFill="1" applyBorder="1" applyAlignment="1" applyProtection="1">
      <alignment/>
      <protection locked="0"/>
    </xf>
    <xf numFmtId="0" fontId="19" fillId="58" borderId="33" xfId="0" applyFont="1" applyFill="1" applyBorder="1" applyAlignment="1" applyProtection="1">
      <alignment wrapText="1"/>
      <protection locked="0"/>
    </xf>
    <xf numFmtId="0" fontId="9" fillId="0" borderId="52" xfId="0" applyFont="1" applyFill="1" applyBorder="1" applyAlignment="1" applyProtection="1">
      <alignment horizontal="center" shrinkToFit="1"/>
      <protection locked="0"/>
    </xf>
    <xf numFmtId="0" fontId="9" fillId="0" borderId="56" xfId="0" applyFont="1" applyFill="1" applyBorder="1" applyAlignment="1" applyProtection="1">
      <alignment horizontal="center" shrinkToFit="1"/>
      <protection locked="0"/>
    </xf>
    <xf numFmtId="3" fontId="12" fillId="42" borderId="123" xfId="0" applyNumberFormat="1" applyFont="1" applyFill="1" applyBorder="1" applyAlignment="1">
      <alignment/>
    </xf>
    <xf numFmtId="3" fontId="17" fillId="42" borderId="227" xfId="0" applyNumberFormat="1" applyFont="1" applyFill="1" applyBorder="1" applyAlignment="1">
      <alignment/>
    </xf>
    <xf numFmtId="3" fontId="12" fillId="38" borderId="227" xfId="0" applyNumberFormat="1" applyFont="1" applyFill="1" applyBorder="1" applyAlignment="1">
      <alignment/>
    </xf>
    <xf numFmtId="3" fontId="12" fillId="38" borderId="122" xfId="0" applyNumberFormat="1" applyFont="1" applyFill="1" applyBorder="1" applyAlignment="1">
      <alignment/>
    </xf>
    <xf numFmtId="3" fontId="12" fillId="38" borderId="57" xfId="0" applyNumberFormat="1" applyFont="1" applyFill="1" applyBorder="1" applyAlignment="1">
      <alignment/>
    </xf>
    <xf numFmtId="0" fontId="9" fillId="0" borderId="141" xfId="0" applyFont="1" applyBorder="1" applyAlignment="1">
      <alignment horizontal="center"/>
    </xf>
    <xf numFmtId="0" fontId="9" fillId="0" borderId="227" xfId="0" applyFont="1" applyBorder="1" applyAlignment="1">
      <alignment horizontal="center"/>
    </xf>
    <xf numFmtId="0" fontId="9" fillId="0" borderId="227" xfId="0" applyFont="1" applyFill="1" applyBorder="1" applyAlignment="1">
      <alignment horizontal="center"/>
    </xf>
    <xf numFmtId="0" fontId="9" fillId="0" borderId="228" xfId="0" applyFont="1" applyFill="1" applyBorder="1" applyAlignment="1">
      <alignment horizontal="center"/>
    </xf>
    <xf numFmtId="3" fontId="12" fillId="38" borderId="123" xfId="0" applyNumberFormat="1" applyFont="1" applyFill="1" applyBorder="1" applyAlignment="1">
      <alignment/>
    </xf>
    <xf numFmtId="3" fontId="12" fillId="38" borderId="228" xfId="0" applyNumberFormat="1" applyFont="1" applyFill="1" applyBorder="1" applyAlignment="1">
      <alignment/>
    </xf>
    <xf numFmtId="0" fontId="0" fillId="41" borderId="23" xfId="0" applyFont="1" applyFill="1" applyBorder="1" applyAlignment="1" applyProtection="1">
      <alignment horizontal="left" wrapText="1"/>
      <protection locked="0"/>
    </xf>
    <xf numFmtId="0" fontId="9" fillId="0" borderId="231" xfId="0" applyFont="1" applyBorder="1" applyAlignment="1">
      <alignment horizontal="center"/>
    </xf>
    <xf numFmtId="0" fontId="9" fillId="0" borderId="229" xfId="0" applyFont="1" applyBorder="1" applyAlignment="1">
      <alignment horizontal="center"/>
    </xf>
    <xf numFmtId="0" fontId="9" fillId="0" borderId="229" xfId="0" applyFont="1" applyFill="1" applyBorder="1" applyAlignment="1">
      <alignment horizontal="center"/>
    </xf>
    <xf numFmtId="0" fontId="9" fillId="0" borderId="232" xfId="0" applyFont="1" applyFill="1" applyBorder="1" applyAlignment="1">
      <alignment horizontal="center"/>
    </xf>
    <xf numFmtId="3" fontId="12" fillId="38" borderId="233" xfId="0" applyNumberFormat="1" applyFont="1" applyFill="1" applyBorder="1" applyAlignment="1">
      <alignment/>
    </xf>
    <xf numFmtId="3" fontId="12" fillId="38" borderId="230" xfId="0" applyNumberFormat="1" applyFont="1" applyFill="1" applyBorder="1" applyAlignment="1">
      <alignment/>
    </xf>
    <xf numFmtId="3" fontId="12" fillId="38" borderId="229" xfId="0" applyNumberFormat="1" applyFont="1" applyFill="1" applyBorder="1" applyAlignment="1">
      <alignment/>
    </xf>
    <xf numFmtId="3" fontId="12" fillId="38" borderId="232" xfId="0" applyNumberFormat="1" applyFont="1" applyFill="1" applyBorder="1" applyAlignment="1">
      <alignment/>
    </xf>
    <xf numFmtId="0" fontId="5" fillId="41" borderId="77" xfId="0" applyFont="1" applyFill="1" applyBorder="1" applyAlignment="1">
      <alignment/>
    </xf>
    <xf numFmtId="3" fontId="92" fillId="0" borderId="36" xfId="0" applyNumberFormat="1" applyFont="1" applyFill="1" applyBorder="1" applyAlignment="1" applyProtection="1">
      <alignment/>
      <protection locked="0"/>
    </xf>
    <xf numFmtId="3" fontId="92" fillId="0" borderId="46" xfId="0" applyNumberFormat="1" applyFont="1" applyFill="1" applyBorder="1" applyAlignment="1" applyProtection="1">
      <alignment/>
      <protection locked="0"/>
    </xf>
    <xf numFmtId="3" fontId="92" fillId="0" borderId="1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 horizontal="right"/>
    </xf>
    <xf numFmtId="3" fontId="93" fillId="0" borderId="0" xfId="0" applyNumberFormat="1" applyFont="1" applyFill="1" applyBorder="1" applyAlignment="1">
      <alignment horizontal="right"/>
    </xf>
    <xf numFmtId="0" fontId="19" fillId="55" borderId="26" xfId="51" applyFont="1" applyFill="1" applyBorder="1" applyAlignment="1" applyProtection="1">
      <alignment wrapText="1"/>
      <protection locked="0"/>
    </xf>
    <xf numFmtId="0" fontId="19" fillId="55" borderId="39" xfId="51" applyFont="1" applyFill="1" applyBorder="1" applyAlignment="1" applyProtection="1">
      <alignment wrapText="1"/>
      <protection locked="0"/>
    </xf>
    <xf numFmtId="0" fontId="19" fillId="55" borderId="33" xfId="51" applyFont="1" applyFill="1" applyBorder="1" applyAlignment="1" applyProtection="1">
      <alignment wrapText="1"/>
      <protection locked="0"/>
    </xf>
    <xf numFmtId="0" fontId="0" fillId="0" borderId="39" xfId="0" applyFont="1" applyFill="1" applyBorder="1" applyAlignment="1">
      <alignment wrapText="1"/>
    </xf>
    <xf numFmtId="0" fontId="0" fillId="41" borderId="112" xfId="0" applyFont="1" applyFill="1" applyBorder="1" applyAlignment="1">
      <alignment wrapText="1"/>
    </xf>
    <xf numFmtId="0" fontId="0" fillId="0" borderId="225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36" fillId="0" borderId="54" xfId="0" applyFont="1" applyFill="1" applyBorder="1" applyAlignment="1">
      <alignment/>
    </xf>
    <xf numFmtId="0" fontId="0" fillId="0" borderId="129" xfId="0" applyFont="1" applyBorder="1" applyAlignment="1">
      <alignment horizontal="left" wrapText="1"/>
    </xf>
    <xf numFmtId="0" fontId="9" fillId="0" borderId="267" xfId="0" applyFont="1" applyBorder="1" applyAlignment="1">
      <alignment horizontal="center"/>
    </xf>
    <xf numFmtId="0" fontId="9" fillId="0" borderId="52" xfId="0" applyFont="1" applyFill="1" applyBorder="1" applyAlignment="1" applyProtection="1">
      <alignment horizontal="center"/>
      <protection locked="0"/>
    </xf>
    <xf numFmtId="0" fontId="9" fillId="0" borderId="86" xfId="0" applyFont="1" applyFill="1" applyBorder="1" applyAlignment="1" applyProtection="1">
      <alignment horizontal="center"/>
      <protection locked="0"/>
    </xf>
    <xf numFmtId="3" fontId="12" fillId="34" borderId="77" xfId="0" applyNumberFormat="1" applyFont="1" applyFill="1" applyBorder="1" applyAlignment="1" applyProtection="1">
      <alignment/>
      <protection locked="0"/>
    </xf>
    <xf numFmtId="3" fontId="92" fillId="0" borderId="61" xfId="0" applyNumberFormat="1" applyFont="1" applyFill="1" applyBorder="1" applyAlignment="1">
      <alignment/>
    </xf>
    <xf numFmtId="3" fontId="12" fillId="42" borderId="184" xfId="0" applyNumberFormat="1" applyFont="1" applyFill="1" applyBorder="1" applyAlignment="1">
      <alignment/>
    </xf>
    <xf numFmtId="3" fontId="31" fillId="0" borderId="73" xfId="0" applyNumberFormat="1" applyFont="1" applyFill="1" applyBorder="1" applyAlignment="1">
      <alignment horizontal="center" vertical="center" wrapText="1"/>
    </xf>
    <xf numFmtId="3" fontId="12" fillId="0" borderId="59" xfId="0" applyNumberFormat="1" applyFont="1" applyFill="1" applyBorder="1" applyAlignment="1" applyProtection="1">
      <alignment/>
      <protection locked="0"/>
    </xf>
    <xf numFmtId="3" fontId="12" fillId="0" borderId="156" xfId="0" applyNumberFormat="1" applyFont="1" applyFill="1" applyBorder="1" applyAlignment="1" applyProtection="1">
      <alignment/>
      <protection locked="0"/>
    </xf>
    <xf numFmtId="3" fontId="44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0" fontId="94" fillId="0" borderId="0" xfId="0" applyFont="1" applyFill="1" applyBorder="1" applyAlignment="1">
      <alignment wrapText="1"/>
    </xf>
    <xf numFmtId="0" fontId="0" fillId="0" borderId="136" xfId="0" applyFont="1" applyFill="1" applyBorder="1" applyAlignment="1">
      <alignment wrapText="1"/>
    </xf>
    <xf numFmtId="3" fontId="92" fillId="0" borderId="25" xfId="0" applyNumberFormat="1" applyFont="1" applyFill="1" applyBorder="1" applyAlignment="1" applyProtection="1">
      <alignment/>
      <protection locked="0"/>
    </xf>
    <xf numFmtId="3" fontId="92" fillId="0" borderId="71" xfId="0" applyNumberFormat="1" applyFont="1" applyFill="1" applyBorder="1" applyAlignment="1" applyProtection="1">
      <alignment/>
      <protection locked="0"/>
    </xf>
    <xf numFmtId="3" fontId="12" fillId="34" borderId="126" xfId="0" applyNumberFormat="1" applyFont="1" applyFill="1" applyBorder="1" applyAlignment="1">
      <alignment/>
    </xf>
    <xf numFmtId="3" fontId="92" fillId="0" borderId="18" xfId="0" applyNumberFormat="1" applyFont="1" applyFill="1" applyBorder="1" applyAlignment="1" applyProtection="1">
      <alignment/>
      <protection locked="0"/>
    </xf>
    <xf numFmtId="0" fontId="20" fillId="0" borderId="57" xfId="0" applyFont="1" applyFill="1" applyBorder="1" applyAlignment="1">
      <alignment/>
    </xf>
    <xf numFmtId="3" fontId="32" fillId="0" borderId="0" xfId="0" applyNumberFormat="1" applyFont="1" applyFill="1" applyBorder="1" applyAlignment="1">
      <alignment horizontal="left"/>
    </xf>
    <xf numFmtId="0" fontId="14" fillId="37" borderId="130" xfId="0" applyFont="1" applyFill="1" applyBorder="1" applyAlignment="1">
      <alignment/>
    </xf>
    <xf numFmtId="0" fontId="14" fillId="60" borderId="70" xfId="0" applyFont="1" applyFill="1" applyBorder="1" applyAlignment="1">
      <alignment wrapText="1"/>
    </xf>
    <xf numFmtId="3" fontId="17" fillId="33" borderId="21" xfId="0" applyNumberFormat="1" applyFont="1" applyFill="1" applyBorder="1" applyAlignment="1">
      <alignment/>
    </xf>
    <xf numFmtId="3" fontId="17" fillId="33" borderId="52" xfId="0" applyNumberFormat="1" applyFont="1" applyFill="1" applyBorder="1" applyAlignment="1">
      <alignment/>
    </xf>
    <xf numFmtId="3" fontId="17" fillId="33" borderId="66" xfId="0" applyNumberFormat="1" applyFont="1" applyFill="1" applyBorder="1" applyAlignment="1" applyProtection="1">
      <alignment/>
      <protection locked="0"/>
    </xf>
    <xf numFmtId="3" fontId="17" fillId="33" borderId="73" xfId="0" applyNumberFormat="1" applyFont="1" applyFill="1" applyBorder="1" applyAlignment="1">
      <alignment/>
    </xf>
    <xf numFmtId="3" fontId="17" fillId="33" borderId="14" xfId="0" applyNumberFormat="1" applyFont="1" applyFill="1" applyBorder="1" applyAlignment="1">
      <alignment/>
    </xf>
    <xf numFmtId="3" fontId="17" fillId="33" borderId="24" xfId="0" applyNumberFormat="1" applyFont="1" applyFill="1" applyBorder="1" applyAlignment="1" applyProtection="1">
      <alignment/>
      <protection locked="0"/>
    </xf>
    <xf numFmtId="3" fontId="17" fillId="33" borderId="28" xfId="0" applyNumberFormat="1" applyFont="1" applyFill="1" applyBorder="1" applyAlignment="1" applyProtection="1">
      <alignment/>
      <protection locked="0"/>
    </xf>
    <xf numFmtId="3" fontId="17" fillId="33" borderId="10" xfId="0" applyNumberFormat="1" applyFont="1" applyFill="1" applyBorder="1" applyAlignment="1" applyProtection="1">
      <alignment/>
      <protection/>
    </xf>
    <xf numFmtId="3" fontId="17" fillId="42" borderId="184" xfId="0" applyNumberFormat="1" applyFont="1" applyFill="1" applyBorder="1" applyAlignment="1">
      <alignment/>
    </xf>
    <xf numFmtId="3" fontId="17" fillId="42" borderId="21" xfId="0" applyNumberFormat="1" applyFont="1" applyFill="1" applyBorder="1" applyAlignment="1">
      <alignment/>
    </xf>
    <xf numFmtId="3" fontId="17" fillId="42" borderId="42" xfId="0" applyNumberFormat="1" applyFont="1" applyFill="1" applyBorder="1" applyAlignment="1">
      <alignment/>
    </xf>
    <xf numFmtId="0" fontId="5" fillId="0" borderId="135" xfId="0" applyFont="1" applyFill="1" applyBorder="1" applyAlignment="1" applyProtection="1">
      <alignment/>
      <protection locked="0"/>
    </xf>
    <xf numFmtId="0" fontId="5" fillId="55" borderId="34" xfId="0" applyFont="1" applyFill="1" applyBorder="1" applyAlignment="1" applyProtection="1">
      <alignment/>
      <protection locked="0"/>
    </xf>
    <xf numFmtId="0" fontId="5" fillId="41" borderId="27" xfId="0" applyFont="1" applyFill="1" applyBorder="1" applyAlignment="1">
      <alignment/>
    </xf>
    <xf numFmtId="0" fontId="5" fillId="41" borderId="44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/>
    </xf>
    <xf numFmtId="3" fontId="12" fillId="33" borderId="34" xfId="0" applyNumberFormat="1" applyFont="1" applyFill="1" applyBorder="1" applyAlignment="1" applyProtection="1">
      <alignment/>
      <protection locked="0"/>
    </xf>
    <xf numFmtId="3" fontId="12" fillId="33" borderId="27" xfId="0" applyNumberFormat="1" applyFont="1" applyFill="1" applyBorder="1" applyAlignment="1" applyProtection="1">
      <alignment/>
      <protection locked="0"/>
    </xf>
    <xf numFmtId="0" fontId="0" fillId="37" borderId="23" xfId="0" applyFont="1" applyFill="1" applyBorder="1" applyAlignment="1" applyProtection="1">
      <alignment vertical="center" wrapText="1"/>
      <protection locked="0"/>
    </xf>
    <xf numFmtId="0" fontId="0" fillId="37" borderId="26" xfId="0" applyFont="1" applyFill="1" applyBorder="1" applyAlignment="1" applyProtection="1">
      <alignment vertical="center" wrapText="1"/>
      <protection locked="0"/>
    </xf>
    <xf numFmtId="3" fontId="12" fillId="0" borderId="135" xfId="0" applyNumberFormat="1" applyFont="1" applyFill="1" applyBorder="1" applyAlignment="1" applyProtection="1">
      <alignment/>
      <protection/>
    </xf>
    <xf numFmtId="3" fontId="12" fillId="0" borderId="155" xfId="0" applyNumberFormat="1" applyFont="1" applyFill="1" applyBorder="1" applyAlignment="1" applyProtection="1">
      <alignment/>
      <protection locked="0"/>
    </xf>
    <xf numFmtId="3" fontId="12" fillId="0" borderId="154" xfId="0" applyNumberFormat="1" applyFont="1" applyFill="1" applyBorder="1" applyAlignment="1" applyProtection="1">
      <alignment/>
      <protection locked="0"/>
    </xf>
    <xf numFmtId="3" fontId="12" fillId="33" borderId="155" xfId="0" applyNumberFormat="1" applyFont="1" applyFill="1" applyBorder="1" applyAlignment="1">
      <alignment/>
    </xf>
    <xf numFmtId="3" fontId="17" fillId="33" borderId="153" xfId="0" applyNumberFormat="1" applyFont="1" applyFill="1" applyBorder="1" applyAlignment="1">
      <alignment/>
    </xf>
    <xf numFmtId="3" fontId="12" fillId="0" borderId="153" xfId="0" applyNumberFormat="1" applyFont="1" applyFill="1" applyBorder="1" applyAlignment="1" applyProtection="1">
      <alignment/>
      <protection locked="0"/>
    </xf>
    <xf numFmtId="3" fontId="12" fillId="34" borderId="152" xfId="0" applyNumberFormat="1" applyFont="1" applyFill="1" applyBorder="1" applyAlignment="1" applyProtection="1">
      <alignment/>
      <protection locked="0"/>
    </xf>
    <xf numFmtId="3" fontId="12" fillId="0" borderId="30" xfId="0" applyNumberFormat="1" applyFont="1" applyFill="1" applyBorder="1" applyAlignment="1" applyProtection="1">
      <alignment/>
      <protection locked="0"/>
    </xf>
    <xf numFmtId="3" fontId="17" fillId="40" borderId="14" xfId="0" applyNumberFormat="1" applyFont="1" applyFill="1" applyBorder="1" applyAlignment="1">
      <alignment/>
    </xf>
    <xf numFmtId="3" fontId="12" fillId="0" borderId="54" xfId="0" applyNumberFormat="1" applyFont="1" applyFill="1" applyBorder="1" applyAlignment="1">
      <alignment/>
    </xf>
    <xf numFmtId="3" fontId="12" fillId="0" borderId="55" xfId="0" applyNumberFormat="1" applyFont="1" applyFill="1" applyBorder="1" applyAlignment="1">
      <alignment/>
    </xf>
    <xf numFmtId="3" fontId="12" fillId="0" borderId="56" xfId="0" applyNumberFormat="1" applyFont="1" applyFill="1" applyBorder="1" applyAlignment="1">
      <alignment/>
    </xf>
    <xf numFmtId="3" fontId="12" fillId="33" borderId="57" xfId="0" applyNumberFormat="1" applyFont="1" applyFill="1" applyBorder="1" applyAlignment="1">
      <alignment/>
    </xf>
    <xf numFmtId="3" fontId="12" fillId="33" borderId="44" xfId="0" applyNumberFormat="1" applyFont="1" applyFill="1" applyBorder="1" applyAlignment="1" applyProtection="1">
      <alignment/>
      <protection locked="0"/>
    </xf>
    <xf numFmtId="3" fontId="23" fillId="0" borderId="177" xfId="0" applyNumberFormat="1" applyFont="1" applyFill="1" applyBorder="1" applyAlignment="1">
      <alignment horizontal="right"/>
    </xf>
    <xf numFmtId="3" fontId="23" fillId="57" borderId="78" xfId="0" applyNumberFormat="1" applyFont="1" applyFill="1" applyBorder="1" applyAlignment="1">
      <alignment/>
    </xf>
    <xf numFmtId="0" fontId="0" fillId="41" borderId="19" xfId="0" applyFont="1" applyFill="1" applyBorder="1" applyAlignment="1">
      <alignment wrapText="1"/>
    </xf>
    <xf numFmtId="0" fontId="5" fillId="41" borderId="5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46" xfId="0" applyNumberFormat="1" applyFont="1" applyFill="1" applyBorder="1" applyAlignment="1" applyProtection="1">
      <alignment/>
      <protection locked="0"/>
    </xf>
    <xf numFmtId="0" fontId="35" fillId="0" borderId="60" xfId="0" applyFont="1" applyFill="1" applyBorder="1" applyAlignment="1">
      <alignment/>
    </xf>
    <xf numFmtId="0" fontId="0" fillId="0" borderId="16" xfId="0" applyFont="1" applyFill="1" applyBorder="1" applyAlignment="1" applyProtection="1">
      <alignment wrapText="1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3" fontId="16" fillId="0" borderId="16" xfId="0" applyNumberFormat="1" applyFont="1" applyFill="1" applyBorder="1" applyAlignment="1" applyProtection="1">
      <alignment/>
      <protection/>
    </xf>
    <xf numFmtId="3" fontId="16" fillId="0" borderId="60" xfId="0" applyNumberFormat="1" applyFont="1" applyFill="1" applyBorder="1" applyAlignment="1" applyProtection="1">
      <alignment/>
      <protection/>
    </xf>
    <xf numFmtId="3" fontId="16" fillId="0" borderId="18" xfId="0" applyNumberFormat="1" applyFont="1" applyFill="1" applyBorder="1" applyAlignment="1">
      <alignment/>
    </xf>
    <xf numFmtId="3" fontId="16" fillId="33" borderId="16" xfId="0" applyNumberFormat="1" applyFont="1" applyFill="1" applyBorder="1" applyAlignment="1" applyProtection="1">
      <alignment/>
      <protection/>
    </xf>
    <xf numFmtId="3" fontId="16" fillId="33" borderId="13" xfId="0" applyNumberFormat="1" applyFont="1" applyFill="1" applyBorder="1" applyAlignment="1">
      <alignment/>
    </xf>
    <xf numFmtId="3" fontId="16" fillId="0" borderId="17" xfId="0" applyNumberFormat="1" applyFont="1" applyFill="1" applyBorder="1" applyAlignment="1" applyProtection="1">
      <alignment/>
      <protection/>
    </xf>
    <xf numFmtId="3" fontId="16" fillId="0" borderId="226" xfId="0" applyNumberFormat="1" applyFont="1" applyFill="1" applyBorder="1" applyAlignment="1" applyProtection="1">
      <alignment/>
      <protection/>
    </xf>
    <xf numFmtId="3" fontId="16" fillId="34" borderId="60" xfId="0" applyNumberFormat="1" applyFont="1" applyFill="1" applyBorder="1" applyAlignment="1">
      <alignment/>
    </xf>
    <xf numFmtId="3" fontId="16" fillId="0" borderId="14" xfId="0" applyNumberFormat="1" applyFont="1" applyFill="1" applyBorder="1" applyAlignment="1" applyProtection="1">
      <alignment/>
      <protection/>
    </xf>
    <xf numFmtId="3" fontId="12" fillId="34" borderId="60" xfId="0" applyNumberFormat="1" applyFont="1" applyFill="1" applyBorder="1" applyAlignment="1" applyProtection="1">
      <alignment/>
      <protection locked="0"/>
    </xf>
    <xf numFmtId="0" fontId="5" fillId="61" borderId="34" xfId="0" applyFont="1" applyFill="1" applyBorder="1" applyAlignment="1" applyProtection="1">
      <alignment horizontal="right" wrapText="1"/>
      <protection locked="0"/>
    </xf>
    <xf numFmtId="0" fontId="0" fillId="41" borderId="188" xfId="0" applyFont="1" applyFill="1" applyBorder="1" applyAlignment="1">
      <alignment wrapText="1"/>
    </xf>
    <xf numFmtId="0" fontId="9" fillId="0" borderId="268" xfId="0" applyFont="1" applyBorder="1" applyAlignment="1">
      <alignment horizontal="center"/>
    </xf>
    <xf numFmtId="0" fontId="9" fillId="0" borderId="269" xfId="0" applyFont="1" applyBorder="1" applyAlignment="1">
      <alignment horizontal="center"/>
    </xf>
    <xf numFmtId="0" fontId="5" fillId="0" borderId="23" xfId="0" applyFont="1" applyFill="1" applyBorder="1" applyAlignment="1" applyProtection="1">
      <alignment horizontal="right" wrapText="1"/>
      <protection locked="0"/>
    </xf>
    <xf numFmtId="0" fontId="5" fillId="0" borderId="54" xfId="0" applyFont="1" applyFill="1" applyBorder="1" applyAlignment="1" applyProtection="1">
      <alignment horizontal="right" wrapText="1"/>
      <protection locked="0"/>
    </xf>
    <xf numFmtId="3" fontId="28" fillId="37" borderId="14" xfId="0" applyNumberFormat="1" applyFont="1" applyFill="1" applyBorder="1" applyAlignment="1">
      <alignment horizontal="center"/>
    </xf>
    <xf numFmtId="0" fontId="11" fillId="37" borderId="14" xfId="0" applyFont="1" applyFill="1" applyBorder="1" applyAlignment="1">
      <alignment horizontal="center"/>
    </xf>
    <xf numFmtId="0" fontId="11" fillId="37" borderId="18" xfId="0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 wrapText="1"/>
    </xf>
    <xf numFmtId="0" fontId="9" fillId="0" borderId="62" xfId="0" applyFont="1" applyBorder="1" applyAlignment="1">
      <alignment horizontal="center" vertical="center" wrapText="1"/>
    </xf>
    <xf numFmtId="0" fontId="0" fillId="0" borderId="135" xfId="0" applyFont="1" applyBorder="1" applyAlignment="1">
      <alignment horizontal="center" vertical="center" wrapText="1"/>
    </xf>
    <xf numFmtId="0" fontId="20" fillId="34" borderId="59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31" fillId="0" borderId="66" xfId="0" applyFont="1" applyFill="1" applyBorder="1" applyAlignment="1">
      <alignment horizontal="center" vertical="center" wrapText="1"/>
    </xf>
    <xf numFmtId="0" fontId="0" fillId="0" borderId="153" xfId="0" applyFont="1" applyBorder="1" applyAlignment="1">
      <alignment horizontal="center" vertical="center"/>
    </xf>
    <xf numFmtId="0" fontId="20" fillId="34" borderId="58" xfId="0" applyFont="1" applyFill="1" applyBorder="1" applyAlignment="1">
      <alignment horizontal="center" vertical="center" wrapText="1"/>
    </xf>
    <xf numFmtId="0" fontId="0" fillId="34" borderId="59" xfId="0" applyFont="1" applyFill="1" applyBorder="1" applyAlignment="1">
      <alignment horizontal="center" vertical="center" wrapText="1"/>
    </xf>
    <xf numFmtId="0" fontId="14" fillId="34" borderId="26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/>
    </xf>
    <xf numFmtId="0" fontId="28" fillId="0" borderId="62" xfId="0" applyFont="1" applyFill="1" applyBorder="1" applyAlignment="1">
      <alignment horizontal="center" vertical="center"/>
    </xf>
    <xf numFmtId="0" fontId="28" fillId="0" borderId="135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0" fillId="33" borderId="130" xfId="0" applyFont="1" applyFill="1" applyBorder="1" applyAlignment="1">
      <alignment horizontal="center" vertical="center"/>
    </xf>
    <xf numFmtId="0" fontId="0" fillId="33" borderId="177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20" fillId="34" borderId="60" xfId="0" applyFont="1" applyFill="1" applyBorder="1" applyAlignment="1">
      <alignment horizontal="center" vertical="center"/>
    </xf>
    <xf numFmtId="0" fontId="20" fillId="34" borderId="226" xfId="0" applyFont="1" applyFill="1" applyBorder="1" applyAlignment="1">
      <alignment horizontal="center" vertical="center"/>
    </xf>
    <xf numFmtId="0" fontId="15" fillId="33" borderId="68" xfId="0" applyFont="1" applyFill="1" applyBorder="1" applyAlignment="1">
      <alignment horizontal="center" vertical="center" wrapText="1"/>
    </xf>
    <xf numFmtId="0" fontId="15" fillId="33" borderId="154" xfId="0" applyFont="1" applyFill="1" applyBorder="1" applyAlignment="1">
      <alignment horizontal="center" vertical="center" wrapText="1"/>
    </xf>
    <xf numFmtId="0" fontId="9" fillId="0" borderId="135" xfId="0" applyFont="1" applyFill="1" applyBorder="1" applyAlignment="1">
      <alignment horizontal="center" vertical="center" wrapText="1"/>
    </xf>
    <xf numFmtId="0" fontId="0" fillId="0" borderId="135" xfId="0" applyFont="1" applyFill="1" applyBorder="1" applyAlignment="1">
      <alignment horizontal="center" vertical="center"/>
    </xf>
    <xf numFmtId="0" fontId="31" fillId="0" borderId="68" xfId="0" applyFont="1" applyFill="1" applyBorder="1" applyAlignment="1">
      <alignment horizontal="center" vertical="center" wrapText="1"/>
    </xf>
    <xf numFmtId="0" fontId="0" fillId="0" borderId="154" xfId="0" applyFont="1" applyBorder="1" applyAlignment="1">
      <alignment horizontal="center" vertical="center" wrapText="1"/>
    </xf>
    <xf numFmtId="0" fontId="30" fillId="33" borderId="69" xfId="0" applyFont="1" applyFill="1" applyBorder="1" applyAlignment="1">
      <alignment horizontal="center" vertical="center" wrapText="1"/>
    </xf>
    <xf numFmtId="0" fontId="0" fillId="33" borderId="152" xfId="0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right" wrapText="1"/>
    </xf>
    <xf numFmtId="3" fontId="28" fillId="0" borderId="0" xfId="0" applyNumberFormat="1" applyFont="1" applyFill="1" applyBorder="1" applyAlignment="1">
      <alignment horizontal="center"/>
    </xf>
    <xf numFmtId="3" fontId="95" fillId="0" borderId="0" xfId="0" applyNumberFormat="1" applyFont="1" applyFill="1" applyBorder="1" applyAlignment="1">
      <alignment horizontal="center"/>
    </xf>
    <xf numFmtId="0" fontId="17" fillId="49" borderId="58" xfId="0" applyFont="1" applyFill="1" applyBorder="1" applyAlignment="1">
      <alignment horizontal="left" wrapText="1"/>
    </xf>
    <xf numFmtId="0" fontId="17" fillId="49" borderId="59" xfId="0" applyFont="1" applyFill="1" applyBorder="1" applyAlignment="1">
      <alignment horizontal="left" wrapText="1"/>
    </xf>
    <xf numFmtId="0" fontId="17" fillId="49" borderId="24" xfId="0" applyFont="1" applyFill="1" applyBorder="1" applyAlignment="1">
      <alignment horizontal="left" wrapText="1"/>
    </xf>
    <xf numFmtId="0" fontId="17" fillId="37" borderId="50" xfId="0" applyFont="1" applyFill="1" applyBorder="1" applyAlignment="1">
      <alignment horizontal="left"/>
    </xf>
    <xf numFmtId="0" fontId="17" fillId="37" borderId="10" xfId="0" applyFont="1" applyFill="1" applyBorder="1" applyAlignment="1">
      <alignment horizontal="left"/>
    </xf>
    <xf numFmtId="0" fontId="17" fillId="60" borderId="50" xfId="0" applyFont="1" applyFill="1" applyBorder="1" applyAlignment="1">
      <alignment horizontal="left" wrapText="1"/>
    </xf>
    <xf numFmtId="0" fontId="17" fillId="60" borderId="10" xfId="0" applyFont="1" applyFill="1" applyBorder="1" applyAlignment="1">
      <alignment horizontal="left" wrapText="1"/>
    </xf>
    <xf numFmtId="0" fontId="17" fillId="60" borderId="35" xfId="0" applyFont="1" applyFill="1" applyBorder="1" applyAlignment="1">
      <alignment horizontal="left" wrapText="1"/>
    </xf>
    <xf numFmtId="0" fontId="17" fillId="0" borderId="5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7" fillId="0" borderId="35" xfId="0" applyFont="1" applyFill="1" applyBorder="1" applyAlignment="1">
      <alignment horizontal="left" wrapText="1"/>
    </xf>
    <xf numFmtId="49" fontId="17" fillId="0" borderId="50" xfId="0" applyNumberFormat="1" applyFont="1" applyFill="1" applyBorder="1" applyAlignment="1">
      <alignment horizontal="right" wrapText="1"/>
    </xf>
    <xf numFmtId="49" fontId="17" fillId="0" borderId="10" xfId="0" applyNumberFormat="1" applyFont="1" applyFill="1" applyBorder="1" applyAlignment="1">
      <alignment horizontal="right" wrapText="1"/>
    </xf>
    <xf numFmtId="49" fontId="17" fillId="0" borderId="35" xfId="0" applyNumberFormat="1" applyFont="1" applyFill="1" applyBorder="1" applyAlignment="1">
      <alignment horizontal="right" wrapText="1"/>
    </xf>
    <xf numFmtId="49" fontId="17" fillId="62" borderId="50" xfId="0" applyNumberFormat="1" applyFont="1" applyFill="1" applyBorder="1" applyAlignment="1">
      <alignment horizontal="right" wrapText="1"/>
    </xf>
    <xf numFmtId="49" fontId="17" fillId="62" borderId="10" xfId="0" applyNumberFormat="1" applyFont="1" applyFill="1" applyBorder="1" applyAlignment="1">
      <alignment horizontal="right" wrapText="1"/>
    </xf>
    <xf numFmtId="49" fontId="17" fillId="62" borderId="35" xfId="0" applyNumberFormat="1" applyFont="1" applyFill="1" applyBorder="1" applyAlignment="1">
      <alignment horizontal="right" wrapText="1"/>
    </xf>
    <xf numFmtId="49" fontId="17" fillId="3" borderId="50" xfId="0" applyNumberFormat="1" applyFont="1" applyFill="1" applyBorder="1" applyAlignment="1">
      <alignment horizontal="right" wrapText="1"/>
    </xf>
    <xf numFmtId="49" fontId="17" fillId="3" borderId="10" xfId="0" applyNumberFormat="1" applyFont="1" applyFill="1" applyBorder="1" applyAlignment="1">
      <alignment horizontal="right" wrapText="1"/>
    </xf>
    <xf numFmtId="49" fontId="17" fillId="3" borderId="35" xfId="0" applyNumberFormat="1" applyFont="1" applyFill="1" applyBorder="1" applyAlignment="1">
      <alignment horizontal="right" wrapText="1"/>
    </xf>
    <xf numFmtId="3" fontId="28" fillId="0" borderId="41" xfId="0" applyNumberFormat="1" applyFont="1" applyFill="1" applyBorder="1" applyAlignment="1">
      <alignment horizontal="center"/>
    </xf>
    <xf numFmtId="3" fontId="28" fillId="0" borderId="10" xfId="0" applyNumberFormat="1" applyFont="1" applyFill="1" applyBorder="1" applyAlignment="1">
      <alignment horizontal="center"/>
    </xf>
    <xf numFmtId="3" fontId="28" fillId="0" borderId="39" xfId="0" applyNumberFormat="1" applyFont="1" applyFill="1" applyBorder="1" applyAlignment="1">
      <alignment horizontal="center"/>
    </xf>
    <xf numFmtId="3" fontId="28" fillId="60" borderId="41" xfId="0" applyNumberFormat="1" applyFont="1" applyFill="1" applyBorder="1" applyAlignment="1">
      <alignment horizontal="center"/>
    </xf>
    <xf numFmtId="3" fontId="28" fillId="60" borderId="10" xfId="0" applyNumberFormat="1" applyFont="1" applyFill="1" applyBorder="1" applyAlignment="1">
      <alignment horizontal="center"/>
    </xf>
    <xf numFmtId="3" fontId="28" fillId="60" borderId="39" xfId="0" applyNumberFormat="1" applyFont="1" applyFill="1" applyBorder="1" applyAlignment="1">
      <alignment horizontal="center"/>
    </xf>
    <xf numFmtId="3" fontId="28" fillId="37" borderId="41" xfId="0" applyNumberFormat="1" applyFont="1" applyFill="1" applyBorder="1" applyAlignment="1">
      <alignment horizontal="center"/>
    </xf>
    <xf numFmtId="3" fontId="28" fillId="37" borderId="10" xfId="0" applyNumberFormat="1" applyFont="1" applyFill="1" applyBorder="1" applyAlignment="1">
      <alignment horizontal="center"/>
    </xf>
    <xf numFmtId="3" fontId="28" fillId="37" borderId="39" xfId="0" applyNumberFormat="1" applyFont="1" applyFill="1" applyBorder="1" applyAlignment="1">
      <alignment horizontal="center"/>
    </xf>
    <xf numFmtId="3" fontId="28" fillId="49" borderId="22" xfId="0" applyNumberFormat="1" applyFont="1" applyFill="1" applyBorder="1" applyAlignment="1">
      <alignment horizontal="center"/>
    </xf>
    <xf numFmtId="3" fontId="28" fillId="49" borderId="59" xfId="0" applyNumberFormat="1" applyFont="1" applyFill="1" applyBorder="1" applyAlignment="1">
      <alignment horizontal="center"/>
    </xf>
    <xf numFmtId="3" fontId="28" fillId="49" borderId="26" xfId="0" applyNumberFormat="1" applyFont="1" applyFill="1" applyBorder="1" applyAlignment="1">
      <alignment horizontal="center"/>
    </xf>
    <xf numFmtId="3" fontId="28" fillId="62" borderId="41" xfId="0" applyNumberFormat="1" applyFont="1" applyFill="1" applyBorder="1" applyAlignment="1">
      <alignment horizontal="right"/>
    </xf>
    <xf numFmtId="3" fontId="28" fillId="62" borderId="10" xfId="0" applyNumberFormat="1" applyFont="1" applyFill="1" applyBorder="1" applyAlignment="1">
      <alignment horizontal="right"/>
    </xf>
    <xf numFmtId="3" fontId="28" fillId="62" borderId="39" xfId="0" applyNumberFormat="1" applyFont="1" applyFill="1" applyBorder="1" applyAlignment="1">
      <alignment horizontal="right"/>
    </xf>
    <xf numFmtId="3" fontId="28" fillId="3" borderId="41" xfId="0" applyNumberFormat="1" applyFont="1" applyFill="1" applyBorder="1" applyAlignment="1">
      <alignment horizontal="right"/>
    </xf>
    <xf numFmtId="3" fontId="28" fillId="3" borderId="10" xfId="0" applyNumberFormat="1" applyFont="1" applyFill="1" applyBorder="1" applyAlignment="1">
      <alignment horizontal="right"/>
    </xf>
    <xf numFmtId="3" fontId="28" fillId="3" borderId="39" xfId="0" applyNumberFormat="1" applyFont="1" applyFill="1" applyBorder="1" applyAlignment="1">
      <alignment horizontal="right"/>
    </xf>
    <xf numFmtId="3" fontId="28" fillId="0" borderId="41" xfId="0" applyNumberFormat="1" applyFont="1" applyFill="1" applyBorder="1" applyAlignment="1">
      <alignment horizontal="right"/>
    </xf>
    <xf numFmtId="3" fontId="28" fillId="0" borderId="10" xfId="0" applyNumberFormat="1" applyFont="1" applyFill="1" applyBorder="1" applyAlignment="1">
      <alignment horizontal="right"/>
    </xf>
    <xf numFmtId="3" fontId="28" fillId="0" borderId="39" xfId="0" applyNumberFormat="1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0" fontId="17" fillId="37" borderId="60" xfId="0" applyFont="1" applyFill="1" applyBorder="1" applyAlignment="1">
      <alignment horizontal="left" wrapText="1"/>
    </xf>
    <xf numFmtId="0" fontId="17" fillId="37" borderId="226" xfId="0" applyFont="1" applyFill="1" applyBorder="1" applyAlignment="1">
      <alignment horizontal="left" wrapText="1"/>
    </xf>
    <xf numFmtId="0" fontId="17" fillId="37" borderId="17" xfId="0" applyFont="1" applyFill="1" applyBorder="1" applyAlignment="1">
      <alignment horizontal="left" wrapText="1"/>
    </xf>
    <xf numFmtId="0" fontId="17" fillId="39" borderId="126" xfId="0" applyFont="1" applyFill="1" applyBorder="1" applyAlignment="1">
      <alignment horizontal="left" wrapText="1"/>
    </xf>
    <xf numFmtId="0" fontId="17" fillId="39" borderId="156" xfId="0" applyFont="1" applyFill="1" applyBorder="1" applyAlignment="1">
      <alignment horizontal="left" wrapText="1"/>
    </xf>
    <xf numFmtId="0" fontId="17" fillId="39" borderId="45" xfId="0" applyFont="1" applyFill="1" applyBorder="1" applyAlignment="1">
      <alignment horizontal="left" wrapText="1"/>
    </xf>
    <xf numFmtId="3" fontId="28" fillId="39" borderId="43" xfId="0" applyNumberFormat="1" applyFont="1" applyFill="1" applyBorder="1" applyAlignment="1">
      <alignment horizontal="center"/>
    </xf>
    <xf numFmtId="3" fontId="28" fillId="39" borderId="156" xfId="0" applyNumberFormat="1" applyFont="1" applyFill="1" applyBorder="1" applyAlignment="1">
      <alignment horizontal="center"/>
    </xf>
    <xf numFmtId="3" fontId="28" fillId="39" borderId="48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8" fillId="0" borderId="30" xfId="0" applyFont="1" applyFill="1" applyBorder="1" applyAlignment="1">
      <alignment horizontal="right"/>
    </xf>
    <xf numFmtId="0" fontId="28" fillId="0" borderId="177" xfId="0" applyFont="1" applyFill="1" applyBorder="1" applyAlignment="1">
      <alignment horizontal="right"/>
    </xf>
    <xf numFmtId="0" fontId="28" fillId="0" borderId="49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28" fillId="0" borderId="220" xfId="0" applyFont="1" applyFill="1" applyBorder="1" applyAlignment="1">
      <alignment horizontal="right"/>
    </xf>
    <xf numFmtId="0" fontId="20" fillId="42" borderId="0" xfId="0" applyFont="1" applyFill="1" applyBorder="1" applyAlignment="1">
      <alignment horizontal="center" wrapText="1"/>
    </xf>
    <xf numFmtId="0" fontId="20" fillId="42" borderId="91" xfId="0" applyFont="1" applyFill="1" applyBorder="1" applyAlignment="1">
      <alignment horizontal="center" wrapText="1"/>
    </xf>
    <xf numFmtId="0" fontId="28" fillId="0" borderId="270" xfId="0" applyFont="1" applyFill="1" applyBorder="1" applyAlignment="1">
      <alignment horizontal="center" vertical="center" wrapText="1"/>
    </xf>
    <xf numFmtId="0" fontId="9" fillId="0" borderId="260" xfId="0" applyFont="1" applyBorder="1" applyAlignment="1">
      <alignment horizontal="center" textRotation="90" wrapText="1"/>
    </xf>
    <xf numFmtId="0" fontId="9" fillId="0" borderId="271" xfId="0" applyFont="1" applyBorder="1" applyAlignment="1">
      <alignment horizontal="center" textRotation="90" wrapText="1"/>
    </xf>
    <xf numFmtId="0" fontId="9" fillId="0" borderId="272" xfId="0" applyFont="1" applyBorder="1" applyAlignment="1">
      <alignment horizontal="center" textRotation="90" wrapText="1"/>
    </xf>
    <xf numFmtId="0" fontId="9" fillId="0" borderId="162" xfId="0" applyFont="1" applyBorder="1" applyAlignment="1">
      <alignment horizontal="center" textRotation="90" wrapText="1"/>
    </xf>
    <xf numFmtId="0" fontId="9" fillId="0" borderId="258" xfId="0" applyFont="1" applyBorder="1" applyAlignment="1">
      <alignment horizontal="center" textRotation="90" wrapText="1"/>
    </xf>
    <xf numFmtId="0" fontId="9" fillId="0" borderId="273" xfId="0" applyFont="1" applyBorder="1" applyAlignment="1">
      <alignment horizontal="center" textRotation="90" wrapText="1"/>
    </xf>
    <xf numFmtId="0" fontId="15" fillId="0" borderId="165" xfId="0" applyFont="1" applyBorder="1" applyAlignment="1">
      <alignment horizontal="center"/>
    </xf>
    <xf numFmtId="0" fontId="14" fillId="0" borderId="80" xfId="0" applyFont="1" applyFill="1" applyBorder="1" applyAlignment="1">
      <alignment horizontal="center" vertical="center"/>
    </xf>
    <xf numFmtId="0" fontId="14" fillId="0" borderId="103" xfId="0" applyFont="1" applyFill="1" applyBorder="1" applyAlignment="1">
      <alignment horizontal="center" vertical="center"/>
    </xf>
    <xf numFmtId="0" fontId="14" fillId="0" borderId="104" xfId="0" applyFont="1" applyFill="1" applyBorder="1" applyAlignment="1">
      <alignment horizontal="center" vertical="center"/>
    </xf>
    <xf numFmtId="0" fontId="14" fillId="0" borderId="243" xfId="0" applyFont="1" applyFill="1" applyBorder="1" applyAlignment="1">
      <alignment horizontal="center" vertical="center"/>
    </xf>
    <xf numFmtId="0" fontId="14" fillId="0" borderId="253" xfId="0" applyFont="1" applyFill="1" applyBorder="1" applyAlignment="1">
      <alignment horizontal="center" vertical="center"/>
    </xf>
    <xf numFmtId="0" fontId="20" fillId="43" borderId="274" xfId="0" applyFont="1" applyFill="1" applyBorder="1" applyAlignment="1">
      <alignment horizontal="center" vertical="center"/>
    </xf>
    <xf numFmtId="0" fontId="20" fillId="43" borderId="275" xfId="0" applyFont="1" applyFill="1" applyBorder="1" applyAlignment="1">
      <alignment horizontal="center" vertical="center" wrapText="1"/>
    </xf>
    <xf numFmtId="3" fontId="20" fillId="43" borderId="243" xfId="0" applyNumberFormat="1" applyFont="1" applyFill="1" applyBorder="1" applyAlignment="1">
      <alignment horizontal="center" vertical="center" wrapText="1"/>
    </xf>
    <xf numFmtId="0" fontId="15" fillId="0" borderId="108" xfId="0" applyFont="1" applyBorder="1" applyAlignment="1">
      <alignment horizontal="center" textRotation="90"/>
    </xf>
    <xf numFmtId="0" fontId="15" fillId="0" borderId="227" xfId="0" applyFont="1" applyBorder="1" applyAlignment="1">
      <alignment horizontal="center" textRotation="90"/>
    </xf>
    <xf numFmtId="0" fontId="15" fillId="0" borderId="211" xfId="0" applyFont="1" applyBorder="1" applyAlignment="1">
      <alignment horizontal="center" textRotation="90" wrapText="1"/>
    </xf>
    <xf numFmtId="0" fontId="15" fillId="0" borderId="276" xfId="0" applyFont="1" applyBorder="1" applyAlignment="1">
      <alignment horizontal="center" textRotation="90" wrapText="1"/>
    </xf>
    <xf numFmtId="3" fontId="20" fillId="43" borderId="261" xfId="0" applyNumberFormat="1" applyFont="1" applyFill="1" applyBorder="1" applyAlignment="1">
      <alignment horizontal="center" vertical="center" wrapText="1"/>
    </xf>
    <xf numFmtId="0" fontId="14" fillId="0" borderId="277" xfId="0" applyFont="1" applyFill="1" applyBorder="1" applyAlignment="1">
      <alignment horizontal="center" vertical="center" wrapText="1"/>
    </xf>
    <xf numFmtId="0" fontId="14" fillId="0" borderId="243" xfId="0" applyFont="1" applyFill="1" applyBorder="1" applyAlignment="1">
      <alignment horizontal="center" vertical="center" wrapText="1"/>
    </xf>
    <xf numFmtId="0" fontId="14" fillId="0" borderId="278" xfId="0" applyFont="1" applyFill="1" applyBorder="1" applyAlignment="1">
      <alignment horizontal="center" vertical="center" wrapText="1"/>
    </xf>
    <xf numFmtId="0" fontId="20" fillId="42" borderId="8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left"/>
    </xf>
    <xf numFmtId="3" fontId="9" fillId="0" borderId="279" xfId="0" applyNumberFormat="1" applyFont="1" applyBorder="1" applyAlignment="1">
      <alignment horizontal="center" vertical="center" wrapText="1"/>
    </xf>
    <xf numFmtId="3" fontId="9" fillId="0" borderId="280" xfId="0" applyNumberFormat="1" applyFont="1" applyBorder="1" applyAlignment="1">
      <alignment horizontal="center" vertical="center" wrapText="1"/>
    </xf>
    <xf numFmtId="3" fontId="9" fillId="0" borderId="281" xfId="0" applyNumberFormat="1" applyFont="1" applyBorder="1" applyAlignment="1">
      <alignment horizontal="center" vertical="center" wrapText="1"/>
    </xf>
    <xf numFmtId="3" fontId="9" fillId="0" borderId="109" xfId="0" applyNumberFormat="1" applyFont="1" applyFill="1" applyBorder="1" applyAlignment="1">
      <alignment horizontal="center" vertical="center" wrapText="1"/>
    </xf>
    <xf numFmtId="3" fontId="9" fillId="0" borderId="122" xfId="0" applyNumberFormat="1" applyFont="1" applyFill="1" applyBorder="1" applyAlignment="1">
      <alignment horizontal="center" vertical="center" wrapText="1"/>
    </xf>
    <xf numFmtId="0" fontId="9" fillId="42" borderId="237" xfId="0" applyFont="1" applyFill="1" applyBorder="1" applyAlignment="1">
      <alignment horizontal="center" vertical="center" wrapText="1"/>
    </xf>
    <xf numFmtId="0" fontId="9" fillId="42" borderId="282" xfId="0" applyFont="1" applyFill="1" applyBorder="1" applyAlignment="1">
      <alignment horizontal="center" vertical="center" wrapText="1"/>
    </xf>
    <xf numFmtId="0" fontId="30" fillId="42" borderId="250" xfId="0" applyFont="1" applyFill="1" applyBorder="1" applyAlignment="1">
      <alignment horizontal="center" vertical="center" wrapText="1"/>
    </xf>
    <xf numFmtId="0" fontId="30" fillId="42" borderId="283" xfId="0" applyFont="1" applyFill="1" applyBorder="1" applyAlignment="1">
      <alignment horizontal="center" vertical="center" wrapText="1"/>
    </xf>
    <xf numFmtId="0" fontId="15" fillId="42" borderId="258" xfId="0" applyFont="1" applyFill="1" applyBorder="1" applyAlignment="1">
      <alignment horizontal="center" vertical="center" wrapText="1"/>
    </xf>
    <xf numFmtId="0" fontId="15" fillId="42" borderId="273" xfId="0" applyFont="1" applyFill="1" applyBorder="1" applyAlignment="1">
      <alignment horizontal="center" vertical="center" wrapText="1"/>
    </xf>
    <xf numFmtId="3" fontId="31" fillId="0" borderId="258" xfId="0" applyNumberFormat="1" applyFont="1" applyFill="1" applyBorder="1" applyAlignment="1">
      <alignment horizontal="center" vertical="center" wrapText="1"/>
    </xf>
    <xf numFmtId="3" fontId="31" fillId="0" borderId="273" xfId="0" applyNumberFormat="1" applyFont="1" applyFill="1" applyBorder="1" applyAlignment="1">
      <alignment horizontal="center" vertical="center" wrapText="1"/>
    </xf>
    <xf numFmtId="3" fontId="31" fillId="0" borderId="257" xfId="0" applyNumberFormat="1" applyFont="1" applyFill="1" applyBorder="1" applyAlignment="1">
      <alignment horizontal="center" vertical="center" wrapText="1"/>
    </xf>
    <xf numFmtId="3" fontId="31" fillId="0" borderId="284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right"/>
    </xf>
    <xf numFmtId="0" fontId="28" fillId="0" borderId="30" xfId="0" applyFont="1" applyBorder="1" applyAlignment="1">
      <alignment horizontal="right"/>
    </xf>
    <xf numFmtId="0" fontId="9" fillId="42" borderId="285" xfId="0" applyFont="1" applyFill="1" applyBorder="1" applyAlignment="1">
      <alignment horizontal="center" vertical="center" wrapText="1"/>
    </xf>
    <xf numFmtId="0" fontId="30" fillId="42" borderId="286" xfId="0" applyFont="1" applyFill="1" applyBorder="1" applyAlignment="1">
      <alignment horizontal="center" vertical="center" wrapText="1"/>
    </xf>
    <xf numFmtId="0" fontId="15" fillId="42" borderId="287" xfId="0" applyFont="1" applyFill="1" applyBorder="1" applyAlignment="1">
      <alignment horizontal="center" vertical="center" wrapText="1"/>
    </xf>
    <xf numFmtId="0" fontId="9" fillId="0" borderId="288" xfId="0" applyFont="1" applyFill="1" applyBorder="1" applyAlignment="1">
      <alignment horizontal="center" vertical="center" wrapText="1"/>
    </xf>
    <xf numFmtId="0" fontId="14" fillId="0" borderId="289" xfId="0" applyFont="1" applyFill="1" applyBorder="1" applyAlignment="1">
      <alignment horizontal="center" vertical="center"/>
    </xf>
    <xf numFmtId="0" fontId="14" fillId="0" borderId="290" xfId="0" applyFont="1" applyFill="1" applyBorder="1" applyAlignment="1">
      <alignment horizontal="center" vertical="center"/>
    </xf>
    <xf numFmtId="0" fontId="15" fillId="0" borderId="221" xfId="0" applyFont="1" applyBorder="1" applyAlignment="1">
      <alignment horizontal="center" textRotation="90"/>
    </xf>
    <xf numFmtId="0" fontId="15" fillId="0" borderId="222" xfId="0" applyFont="1" applyBorder="1" applyAlignment="1">
      <alignment horizontal="center" textRotation="90" wrapText="1"/>
    </xf>
    <xf numFmtId="0" fontId="20" fillId="43" borderId="243" xfId="0" applyFont="1" applyFill="1" applyBorder="1" applyAlignment="1">
      <alignment horizontal="center" vertical="center" wrapText="1"/>
    </xf>
    <xf numFmtId="0" fontId="20" fillId="43" borderId="251" xfId="0" applyFont="1" applyFill="1" applyBorder="1" applyAlignment="1">
      <alignment horizontal="center" vertical="center" wrapText="1"/>
    </xf>
    <xf numFmtId="0" fontId="31" fillId="0" borderId="287" xfId="0" applyFont="1" applyFill="1" applyBorder="1" applyAlignment="1">
      <alignment horizontal="center" vertical="center" wrapText="1"/>
    </xf>
    <xf numFmtId="0" fontId="31" fillId="0" borderId="291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wrapText="1"/>
    </xf>
    <xf numFmtId="0" fontId="14" fillId="0" borderId="292" xfId="0" applyFont="1" applyFill="1" applyBorder="1" applyAlignment="1">
      <alignment horizontal="center" vertical="center"/>
    </xf>
    <xf numFmtId="0" fontId="28" fillId="0" borderId="191" xfId="0" applyFont="1" applyBorder="1" applyAlignment="1">
      <alignment horizontal="center" vertical="center" wrapText="1"/>
    </xf>
    <xf numFmtId="0" fontId="9" fillId="0" borderId="286" xfId="0" applyFont="1" applyBorder="1" applyAlignment="1">
      <alignment horizontal="center" textRotation="90" wrapText="1"/>
    </xf>
    <xf numFmtId="0" fontId="9" fillId="0" borderId="287" xfId="0" applyFont="1" applyBorder="1" applyAlignment="1">
      <alignment horizontal="center" textRotation="90" wrapText="1"/>
    </xf>
    <xf numFmtId="0" fontId="15" fillId="0" borderId="257" xfId="0" applyFont="1" applyBorder="1" applyAlignment="1">
      <alignment horizontal="center"/>
    </xf>
    <xf numFmtId="0" fontId="14" fillId="0" borderId="191" xfId="0" applyFont="1" applyFill="1" applyBorder="1" applyAlignment="1">
      <alignment horizontal="center" vertical="center" wrapText="1"/>
    </xf>
    <xf numFmtId="0" fontId="20" fillId="42" borderId="191" xfId="0" applyFont="1" applyFill="1" applyBorder="1" applyAlignment="1">
      <alignment horizontal="center" vertical="center"/>
    </xf>
    <xf numFmtId="0" fontId="20" fillId="43" borderId="270" xfId="0" applyFont="1" applyFill="1" applyBorder="1" applyAlignment="1">
      <alignment horizontal="center" vertical="center"/>
    </xf>
    <xf numFmtId="0" fontId="9" fillId="0" borderId="191" xfId="0" applyFont="1" applyBorder="1" applyAlignment="1">
      <alignment horizontal="center" vertical="center" wrapText="1"/>
    </xf>
    <xf numFmtId="0" fontId="28" fillId="0" borderId="193" xfId="0" applyFont="1" applyFill="1" applyBorder="1" applyAlignment="1">
      <alignment horizontal="right"/>
    </xf>
    <xf numFmtId="0" fontId="28" fillId="0" borderId="293" xfId="0" applyFont="1" applyFill="1" applyBorder="1" applyAlignment="1">
      <alignment horizontal="right"/>
    </xf>
    <xf numFmtId="0" fontId="9" fillId="42" borderId="294" xfId="0" applyFont="1" applyFill="1" applyBorder="1" applyAlignment="1">
      <alignment horizontal="center" vertical="center" wrapText="1"/>
    </xf>
    <xf numFmtId="0" fontId="30" fillId="42" borderId="295" xfId="0" applyFont="1" applyFill="1" applyBorder="1" applyAlignment="1">
      <alignment horizontal="center" vertical="center" wrapText="1"/>
    </xf>
    <xf numFmtId="0" fontId="15" fillId="42" borderId="296" xfId="0" applyFont="1" applyFill="1" applyBorder="1" applyAlignment="1">
      <alignment horizontal="center" vertical="center" wrapText="1"/>
    </xf>
    <xf numFmtId="0" fontId="15" fillId="0" borderId="207" xfId="0" applyFont="1" applyBorder="1" applyAlignment="1">
      <alignment horizontal="center" textRotation="90" wrapText="1"/>
    </xf>
    <xf numFmtId="0" fontId="9" fillId="0" borderId="297" xfId="0" applyFont="1" applyFill="1" applyBorder="1" applyAlignment="1">
      <alignment horizontal="center" vertical="center" wrapText="1"/>
    </xf>
    <xf numFmtId="0" fontId="14" fillId="0" borderId="298" xfId="0" applyFont="1" applyFill="1" applyBorder="1" applyAlignment="1">
      <alignment horizontal="center" vertical="center"/>
    </xf>
    <xf numFmtId="0" fontId="14" fillId="0" borderId="299" xfId="0" applyFont="1" applyFill="1" applyBorder="1" applyAlignment="1">
      <alignment horizontal="center" vertical="center"/>
    </xf>
    <xf numFmtId="0" fontId="14" fillId="0" borderId="135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5" fillId="0" borderId="206" xfId="0" applyFont="1" applyBorder="1" applyAlignment="1">
      <alignment horizontal="center" textRotation="90"/>
    </xf>
    <xf numFmtId="0" fontId="31" fillId="0" borderId="296" xfId="0" applyFont="1" applyFill="1" applyBorder="1" applyAlignment="1">
      <alignment horizontal="center" vertical="center" wrapText="1"/>
    </xf>
    <xf numFmtId="0" fontId="31" fillId="0" borderId="300" xfId="0" applyFont="1" applyFill="1" applyBorder="1" applyAlignment="1">
      <alignment horizontal="center" vertical="center" wrapText="1"/>
    </xf>
    <xf numFmtId="0" fontId="3" fillId="60" borderId="0" xfId="0" applyFont="1" applyFill="1" applyBorder="1" applyAlignment="1">
      <alignment horizontal="center" wrapText="1"/>
    </xf>
    <xf numFmtId="0" fontId="28" fillId="0" borderId="301" xfId="0" applyFont="1" applyBorder="1" applyAlignment="1">
      <alignment horizontal="center" vertical="center" wrapText="1"/>
    </xf>
    <xf numFmtId="0" fontId="28" fillId="0" borderId="302" xfId="0" applyFont="1" applyBorder="1" applyAlignment="1">
      <alignment horizontal="center" vertical="center" wrapText="1"/>
    </xf>
    <xf numFmtId="0" fontId="28" fillId="0" borderId="303" xfId="0" applyFont="1" applyBorder="1" applyAlignment="1">
      <alignment horizontal="center" vertical="center" wrapText="1"/>
    </xf>
    <xf numFmtId="0" fontId="9" fillId="0" borderId="304" xfId="0" applyFont="1" applyBorder="1" applyAlignment="1">
      <alignment horizontal="center" textRotation="90" wrapText="1"/>
    </xf>
    <xf numFmtId="0" fontId="9" fillId="0" borderId="296" xfId="0" applyFont="1" applyBorder="1" applyAlignment="1">
      <alignment horizontal="center" textRotation="90" wrapText="1"/>
    </xf>
    <xf numFmtId="0" fontId="14" fillId="0" borderId="292" xfId="0" applyFont="1" applyFill="1" applyBorder="1" applyAlignment="1">
      <alignment horizontal="center" vertical="center" wrapText="1"/>
    </xf>
    <xf numFmtId="0" fontId="20" fillId="42" borderId="292" xfId="0" applyFont="1" applyFill="1" applyBorder="1" applyAlignment="1">
      <alignment horizontal="center" vertical="center"/>
    </xf>
    <xf numFmtId="0" fontId="20" fillId="43" borderId="292" xfId="0" applyFont="1" applyFill="1" applyBorder="1" applyAlignment="1">
      <alignment horizontal="center" vertical="center"/>
    </xf>
    <xf numFmtId="0" fontId="9" fillId="0" borderId="292" xfId="0" applyFont="1" applyBorder="1" applyAlignment="1">
      <alignment horizontal="center" vertical="center" wrapText="1"/>
    </xf>
    <xf numFmtId="0" fontId="9" fillId="0" borderId="305" xfId="0" applyFont="1" applyFill="1" applyBorder="1" applyAlignment="1">
      <alignment horizontal="center" vertical="center"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_2008 - 12" xfId="50"/>
    <cellStyle name="normální_Navrh IR2009 - 21_10_2008" xfId="51"/>
    <cellStyle name="normální_Sešit2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65</xdr:row>
      <xdr:rowOff>28575</xdr:rowOff>
    </xdr:from>
    <xdr:to>
      <xdr:col>5</xdr:col>
      <xdr:colOff>476250</xdr:colOff>
      <xdr:row>65</xdr:row>
      <xdr:rowOff>209550</xdr:rowOff>
    </xdr:to>
    <xdr:sp>
      <xdr:nvSpPr>
        <xdr:cNvPr id="1" name="Přímá spojnice se šipkou 3"/>
        <xdr:cNvSpPr>
          <a:spLocks/>
        </xdr:cNvSpPr>
      </xdr:nvSpPr>
      <xdr:spPr>
        <a:xfrm flipH="1">
          <a:off x="8305800" y="17164050"/>
          <a:ext cx="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88"/>
  <sheetViews>
    <sheetView tabSelected="1" view="pageBreakPreview" zoomScale="60" zoomScaleNormal="90" workbookViewId="0" topLeftCell="A1">
      <selection activeCell="AB84" sqref="AB84"/>
    </sheetView>
  </sheetViews>
  <sheetFormatPr defaultColWidth="9.140625" defaultRowHeight="12.75"/>
  <cols>
    <col min="1" max="1" width="57.421875" style="0" customWidth="1"/>
    <col min="2" max="3" width="13.8515625" style="0" customWidth="1"/>
    <col min="4" max="4" width="18.7109375" style="0" customWidth="1"/>
    <col min="5" max="5" width="13.57421875" style="0" customWidth="1"/>
    <col min="6" max="6" width="12.28125" style="0" customWidth="1"/>
    <col min="7" max="7" width="15.28125" style="0" customWidth="1"/>
    <col min="8" max="8" width="14.57421875" style="0" customWidth="1"/>
    <col min="9" max="9" width="11.421875" style="0" customWidth="1"/>
    <col min="10" max="10" width="14.00390625" style="0" customWidth="1"/>
    <col min="11" max="11" width="15.421875" style="13" customWidth="1"/>
    <col min="12" max="12" width="11.421875" style="0" customWidth="1"/>
    <col min="13" max="13" width="14.421875" style="0" customWidth="1"/>
    <col min="14" max="14" width="13.7109375" style="0" customWidth="1"/>
    <col min="15" max="15" width="12.7109375" style="0" customWidth="1"/>
    <col min="16" max="16" width="14.140625" style="0" customWidth="1"/>
  </cols>
  <sheetData>
    <row r="1" spans="15:16" ht="15">
      <c r="O1" s="1499" t="s">
        <v>620</v>
      </c>
      <c r="P1" s="1499"/>
    </row>
    <row r="2" spans="1:16" ht="34.5" customHeight="1">
      <c r="A2" s="1434" t="s">
        <v>608</v>
      </c>
      <c r="B2" s="1434"/>
      <c r="C2" s="1434"/>
      <c r="D2" s="1434"/>
      <c r="E2" s="1434"/>
      <c r="F2" s="1434"/>
      <c r="G2" s="1434"/>
      <c r="H2" s="1434"/>
      <c r="I2" s="1434"/>
      <c r="J2" s="1434"/>
      <c r="K2" s="1435"/>
      <c r="L2" s="1435"/>
      <c r="M2" s="1435"/>
      <c r="N2" s="1435"/>
      <c r="O2" s="1435"/>
      <c r="P2" s="1435"/>
    </row>
    <row r="3" spans="1:16" ht="16.5" customHeight="1" thickBot="1">
      <c r="A3" s="1436"/>
      <c r="B3" s="1436"/>
      <c r="C3" s="1436"/>
      <c r="D3" s="1436"/>
      <c r="E3" s="1436"/>
      <c r="F3" s="1436"/>
      <c r="G3" s="1436"/>
      <c r="H3" s="1436"/>
      <c r="I3" s="1436"/>
      <c r="J3" s="1436"/>
      <c r="K3" s="1437"/>
      <c r="L3" s="1437"/>
      <c r="M3" s="1437"/>
      <c r="N3" s="1437"/>
      <c r="O3" s="1437"/>
      <c r="P3" s="1437"/>
    </row>
    <row r="4" spans="1:16" ht="18" customHeight="1" thickBot="1">
      <c r="A4" s="1438" t="s">
        <v>378</v>
      </c>
      <c r="B4" s="890" t="s">
        <v>227</v>
      </c>
      <c r="C4" s="1441" t="s">
        <v>11</v>
      </c>
      <c r="D4" s="1442"/>
      <c r="E4" s="1442"/>
      <c r="F4" s="1443"/>
      <c r="G4" s="1444" t="s">
        <v>12</v>
      </c>
      <c r="H4" s="1445"/>
      <c r="I4" s="1445"/>
      <c r="J4" s="1445"/>
      <c r="K4" s="1445"/>
      <c r="L4" s="1445"/>
      <c r="M4" s="1445"/>
      <c r="N4" s="1445"/>
      <c r="O4" s="1445"/>
      <c r="P4" s="1423" t="s">
        <v>551</v>
      </c>
    </row>
    <row r="5" spans="1:16" ht="15.75" customHeight="1">
      <c r="A5" s="1439"/>
      <c r="B5" s="1448" t="s">
        <v>554</v>
      </c>
      <c r="C5" s="1452" t="s">
        <v>555</v>
      </c>
      <c r="D5" s="1446" t="s">
        <v>123</v>
      </c>
      <c r="E5" s="1427" t="s">
        <v>233</v>
      </c>
      <c r="F5" s="1450" t="s">
        <v>379</v>
      </c>
      <c r="G5" s="1429" t="s">
        <v>234</v>
      </c>
      <c r="H5" s="1425"/>
      <c r="I5" s="1430"/>
      <c r="J5" s="1429" t="s">
        <v>441</v>
      </c>
      <c r="K5" s="1425"/>
      <c r="L5" s="1431"/>
      <c r="M5" s="1425" t="s">
        <v>13</v>
      </c>
      <c r="N5" s="1425"/>
      <c r="O5" s="1426"/>
      <c r="P5" s="1424"/>
    </row>
    <row r="6" spans="1:16" ht="57.75" customHeight="1" thickBot="1">
      <c r="A6" s="1440"/>
      <c r="B6" s="1449"/>
      <c r="C6" s="1453"/>
      <c r="D6" s="1447"/>
      <c r="E6" s="1428"/>
      <c r="F6" s="1451"/>
      <c r="G6" s="891" t="s">
        <v>235</v>
      </c>
      <c r="H6" s="892" t="s">
        <v>236</v>
      </c>
      <c r="I6" s="783" t="s">
        <v>380</v>
      </c>
      <c r="J6" s="891" t="s">
        <v>235</v>
      </c>
      <c r="K6" s="1336" t="s">
        <v>236</v>
      </c>
      <c r="L6" s="783" t="s">
        <v>381</v>
      </c>
      <c r="M6" s="891" t="s">
        <v>235</v>
      </c>
      <c r="N6" s="892" t="s">
        <v>236</v>
      </c>
      <c r="O6" s="783" t="s">
        <v>381</v>
      </c>
      <c r="P6" s="1424"/>
    </row>
    <row r="7" spans="1:16" ht="19.5" customHeight="1" thickBot="1">
      <c r="A7" s="200" t="s">
        <v>423</v>
      </c>
      <c r="B7" s="893">
        <f>SUM(B8:B9)</f>
        <v>12046</v>
      </c>
      <c r="C7" s="893">
        <f aca="true" t="shared" si="0" ref="C7:P7">SUM(C8:C9)</f>
        <v>2046</v>
      </c>
      <c r="D7" s="893">
        <f t="shared" si="0"/>
        <v>1000</v>
      </c>
      <c r="E7" s="893">
        <f t="shared" si="0"/>
        <v>0</v>
      </c>
      <c r="F7" s="893">
        <f t="shared" si="0"/>
        <v>9000</v>
      </c>
      <c r="G7" s="893">
        <f t="shared" si="0"/>
        <v>14000</v>
      </c>
      <c r="H7" s="893">
        <f t="shared" si="0"/>
        <v>0</v>
      </c>
      <c r="I7" s="893">
        <f t="shared" si="0"/>
        <v>0</v>
      </c>
      <c r="J7" s="893">
        <f t="shared" si="0"/>
        <v>0</v>
      </c>
      <c r="K7" s="893">
        <f t="shared" si="0"/>
        <v>0</v>
      </c>
      <c r="L7" s="893">
        <f t="shared" si="0"/>
        <v>0</v>
      </c>
      <c r="M7" s="893">
        <f t="shared" si="0"/>
        <v>0</v>
      </c>
      <c r="N7" s="893">
        <f t="shared" si="0"/>
        <v>0</v>
      </c>
      <c r="O7" s="893">
        <f t="shared" si="0"/>
        <v>0</v>
      </c>
      <c r="P7" s="893">
        <f t="shared" si="0"/>
        <v>0</v>
      </c>
    </row>
    <row r="8" spans="1:16" ht="29.25" customHeight="1">
      <c r="A8" s="895" t="s">
        <v>424</v>
      </c>
      <c r="B8" s="930">
        <f>'PODLE §'!M12</f>
        <v>11654</v>
      </c>
      <c r="C8" s="931">
        <f>'PODLE §'!N12</f>
        <v>1654</v>
      </c>
      <c r="D8" s="931">
        <f>'PODLE §'!O12</f>
        <v>1000</v>
      </c>
      <c r="E8" s="930">
        <f>'PODLE §'!P12</f>
        <v>0</v>
      </c>
      <c r="F8" s="930">
        <f>'PODLE §'!Q12</f>
        <v>9000</v>
      </c>
      <c r="G8" s="932">
        <f>'PODLE §'!R12</f>
        <v>14000</v>
      </c>
      <c r="H8" s="930">
        <f>'PODLE §'!S12</f>
        <v>0</v>
      </c>
      <c r="I8" s="930">
        <f>'PODLE §'!T12</f>
        <v>0</v>
      </c>
      <c r="J8" s="932">
        <f>'PODLE §'!U12</f>
        <v>0</v>
      </c>
      <c r="K8" s="930">
        <f>'PODLE §'!V12</f>
        <v>0</v>
      </c>
      <c r="L8" s="930">
        <f>'PODLE §'!W12</f>
        <v>0</v>
      </c>
      <c r="M8" s="932">
        <f>'PODLE §'!X12</f>
        <v>0</v>
      </c>
      <c r="N8" s="930">
        <f>'PODLE §'!Y12</f>
        <v>0</v>
      </c>
      <c r="O8" s="930">
        <f>'PODLE §'!Z12</f>
        <v>0</v>
      </c>
      <c r="P8" s="933">
        <f>'PODLE §'!AA12</f>
        <v>0</v>
      </c>
    </row>
    <row r="9" spans="1:16" ht="29.25" customHeight="1" thickBot="1">
      <c r="A9" s="299" t="s">
        <v>624</v>
      </c>
      <c r="B9" s="896">
        <f>'PODLE §'!M16</f>
        <v>392</v>
      </c>
      <c r="C9" s="897">
        <f>'PODLE §'!N16</f>
        <v>392</v>
      </c>
      <c r="D9" s="897">
        <f>'PODLE §'!O16</f>
        <v>0</v>
      </c>
      <c r="E9" s="1390">
        <f>'PODLE §'!P16</f>
        <v>0</v>
      </c>
      <c r="F9" s="1390">
        <f>'PODLE §'!Q16</f>
        <v>0</v>
      </c>
      <c r="G9" s="900">
        <f>'PODLE §'!R16</f>
        <v>0</v>
      </c>
      <c r="H9" s="898">
        <f>'PODLE §'!S16</f>
        <v>0</v>
      </c>
      <c r="I9" s="898">
        <f>'PODLE §'!T16</f>
        <v>0</v>
      </c>
      <c r="J9" s="900">
        <f>'PODLE §'!U16</f>
        <v>0</v>
      </c>
      <c r="K9" s="898">
        <f>'PODLE §'!V16</f>
        <v>0</v>
      </c>
      <c r="L9" s="898">
        <f>'PODLE §'!W16</f>
        <v>0</v>
      </c>
      <c r="M9" s="900">
        <f>'PODLE §'!X16</f>
        <v>0</v>
      </c>
      <c r="N9" s="898">
        <f>'PODLE §'!Y16</f>
        <v>0</v>
      </c>
      <c r="O9" s="898">
        <f>'PODLE §'!Z16</f>
        <v>0</v>
      </c>
      <c r="P9" s="901">
        <f>'PODLE §'!AA16</f>
        <v>0</v>
      </c>
    </row>
    <row r="10" spans="1:16" ht="19.5" customHeight="1" thickBot="1">
      <c r="A10" s="200" t="s">
        <v>382</v>
      </c>
      <c r="B10" s="893">
        <f aca="true" t="shared" si="1" ref="B10:P10">SUM(B11:B17)</f>
        <v>425177</v>
      </c>
      <c r="C10" s="893">
        <f t="shared" si="1"/>
        <v>150412</v>
      </c>
      <c r="D10" s="893">
        <f t="shared" si="1"/>
        <v>196340</v>
      </c>
      <c r="E10" s="893">
        <f t="shared" si="1"/>
        <v>78425</v>
      </c>
      <c r="F10" s="893">
        <f t="shared" si="1"/>
        <v>0</v>
      </c>
      <c r="G10" s="893">
        <f t="shared" si="1"/>
        <v>1174774</v>
      </c>
      <c r="H10" s="893">
        <f t="shared" si="1"/>
        <v>235150</v>
      </c>
      <c r="I10" s="893">
        <f t="shared" si="1"/>
        <v>0</v>
      </c>
      <c r="J10" s="893">
        <f t="shared" si="1"/>
        <v>1592916</v>
      </c>
      <c r="K10" s="893">
        <f t="shared" si="1"/>
        <v>1630395</v>
      </c>
      <c r="L10" s="893">
        <f t="shared" si="1"/>
        <v>0</v>
      </c>
      <c r="M10" s="893">
        <f t="shared" si="1"/>
        <v>1578951</v>
      </c>
      <c r="N10" s="893">
        <f t="shared" si="1"/>
        <v>3539636</v>
      </c>
      <c r="O10" s="893">
        <f t="shared" si="1"/>
        <v>0</v>
      </c>
      <c r="P10" s="894">
        <f t="shared" si="1"/>
        <v>2239731</v>
      </c>
    </row>
    <row r="11" spans="1:16" ht="19.5" customHeight="1">
      <c r="A11" s="902" t="s">
        <v>383</v>
      </c>
      <c r="B11" s="898">
        <f>'PODLE §'!M58</f>
        <v>288716</v>
      </c>
      <c r="C11" s="899">
        <f>'PODLE §'!N58</f>
        <v>73583</v>
      </c>
      <c r="D11" s="899">
        <f>'PODLE §'!O58</f>
        <v>136708</v>
      </c>
      <c r="E11" s="898">
        <f>'PODLE §'!P58</f>
        <v>78425</v>
      </c>
      <c r="F11" s="898">
        <f>'PODLE §'!Q58</f>
        <v>0</v>
      </c>
      <c r="G11" s="900">
        <f>'PODLE §'!R58</f>
        <v>505804</v>
      </c>
      <c r="H11" s="898">
        <f>'PODLE §'!S58</f>
        <v>17000</v>
      </c>
      <c r="I11" s="898">
        <f>'PODLE §'!T58</f>
        <v>0</v>
      </c>
      <c r="J11" s="900">
        <f>'PODLE §'!U58</f>
        <v>497390</v>
      </c>
      <c r="K11" s="898">
        <f>'PODLE §'!V58</f>
        <v>1213721</v>
      </c>
      <c r="L11" s="898">
        <f>'PODLE §'!W58</f>
        <v>0</v>
      </c>
      <c r="M11" s="900">
        <f>'PODLE §'!X58</f>
        <v>460600</v>
      </c>
      <c r="N11" s="898">
        <f>'PODLE §'!Y58</f>
        <v>3011480</v>
      </c>
      <c r="O11" s="898">
        <f>'PODLE §'!Z58</f>
        <v>0</v>
      </c>
      <c r="P11" s="901">
        <f>'PODLE §'!AA58</f>
        <v>1091750</v>
      </c>
    </row>
    <row r="12" spans="1:16" ht="19.5" customHeight="1">
      <c r="A12" s="902" t="s">
        <v>384</v>
      </c>
      <c r="B12" s="903">
        <f>'PODLE §'!M100</f>
        <v>97414</v>
      </c>
      <c r="C12" s="904">
        <f>'PODLE §'!N100</f>
        <v>49417</v>
      </c>
      <c r="D12" s="904">
        <f>'PODLE §'!O100</f>
        <v>47997</v>
      </c>
      <c r="E12" s="903">
        <f>'PODLE §'!P100</f>
        <v>0</v>
      </c>
      <c r="F12" s="903">
        <f>'PODLE §'!Q100</f>
        <v>0</v>
      </c>
      <c r="G12" s="905">
        <f>'PODLE §'!R100</f>
        <v>358630</v>
      </c>
      <c r="H12" s="903">
        <f>'PODLE §'!S100</f>
        <v>0</v>
      </c>
      <c r="I12" s="903">
        <f>'PODLE §'!T100</f>
        <v>0</v>
      </c>
      <c r="J12" s="905">
        <f>'PODLE §'!U100</f>
        <v>414386</v>
      </c>
      <c r="K12" s="903">
        <f>'PODLE §'!V100</f>
        <v>259964</v>
      </c>
      <c r="L12" s="903">
        <f>'PODLE §'!W100</f>
        <v>0</v>
      </c>
      <c r="M12" s="905">
        <f>'PODLE §'!X100</f>
        <v>188662</v>
      </c>
      <c r="N12" s="903">
        <f>'PODLE §'!Y100</f>
        <v>381446</v>
      </c>
      <c r="O12" s="903">
        <f>'PODLE §'!Z100</f>
        <v>0</v>
      </c>
      <c r="P12" s="906">
        <f>'PODLE §'!AA100</f>
        <v>0</v>
      </c>
    </row>
    <row r="13" spans="1:16" ht="19.5" customHeight="1">
      <c r="A13" s="902" t="s">
        <v>385</v>
      </c>
      <c r="B13" s="903">
        <f>'PODLE §'!M106</f>
        <v>21912</v>
      </c>
      <c r="C13" s="904">
        <f>'PODLE §'!N106</f>
        <v>16314</v>
      </c>
      <c r="D13" s="904">
        <f>'PODLE §'!O106</f>
        <v>5598</v>
      </c>
      <c r="E13" s="903">
        <f>'PODLE §'!P106</f>
        <v>0</v>
      </c>
      <c r="F13" s="903">
        <f>'PODLE §'!Q106</f>
        <v>0</v>
      </c>
      <c r="G13" s="905">
        <f>'PODLE §'!R106</f>
        <v>95990</v>
      </c>
      <c r="H13" s="903">
        <f>'PODLE §'!S106</f>
        <v>0</v>
      </c>
      <c r="I13" s="903">
        <f>'PODLE §'!T106</f>
        <v>0</v>
      </c>
      <c r="J13" s="905">
        <f>'PODLE §'!U106</f>
        <v>600000</v>
      </c>
      <c r="K13" s="903">
        <f>'PODLE §'!V106</f>
        <v>0</v>
      </c>
      <c r="L13" s="903">
        <f>'PODLE §'!W106</f>
        <v>0</v>
      </c>
      <c r="M13" s="905">
        <f>'PODLE §'!X106</f>
        <v>641000</v>
      </c>
      <c r="N13" s="903">
        <f>'PODLE §'!Y106</f>
        <v>0</v>
      </c>
      <c r="O13" s="903">
        <f>'PODLE §'!Z106</f>
        <v>0</v>
      </c>
      <c r="P13" s="906">
        <f>'PODLE §'!AA106</f>
        <v>622981</v>
      </c>
    </row>
    <row r="14" spans="1:16" s="3" customFormat="1" ht="19.5" customHeight="1">
      <c r="A14" s="902" t="s">
        <v>6</v>
      </c>
      <c r="B14" s="903">
        <f>'PODLE §'!M110</f>
        <v>0</v>
      </c>
      <c r="C14" s="904">
        <f>'PODLE §'!N110</f>
        <v>0</v>
      </c>
      <c r="D14" s="904">
        <f>'PODLE §'!O110</f>
        <v>0</v>
      </c>
      <c r="E14" s="903">
        <f>'PODLE §'!P110</f>
        <v>0</v>
      </c>
      <c r="F14" s="903">
        <f>'PODLE §'!Q110</f>
        <v>0</v>
      </c>
      <c r="G14" s="905">
        <f>'PODLE §'!R110</f>
        <v>0</v>
      </c>
      <c r="H14" s="903">
        <f>'PODLE §'!S110</f>
        <v>0</v>
      </c>
      <c r="I14" s="903">
        <f>'PODLE §'!T110</f>
        <v>0</v>
      </c>
      <c r="J14" s="905">
        <f>'PODLE §'!U110</f>
        <v>0</v>
      </c>
      <c r="K14" s="903">
        <f>'PODLE §'!V110</f>
        <v>0</v>
      </c>
      <c r="L14" s="903">
        <f>'PODLE §'!W110</f>
        <v>0</v>
      </c>
      <c r="M14" s="905">
        <f>'PODLE §'!X110</f>
        <v>0</v>
      </c>
      <c r="N14" s="903">
        <f>'PODLE §'!Y110</f>
        <v>0</v>
      </c>
      <c r="O14" s="903">
        <f>'PODLE §'!Z110</f>
        <v>0</v>
      </c>
      <c r="P14" s="906">
        <f>'PODLE §'!AA110</f>
        <v>0</v>
      </c>
    </row>
    <row r="15" spans="1:16" ht="19.5" customHeight="1">
      <c r="A15" s="902" t="s">
        <v>386</v>
      </c>
      <c r="B15" s="903">
        <f>'PODLE §'!M114</f>
        <v>2860</v>
      </c>
      <c r="C15" s="904">
        <f>'PODLE §'!N114</f>
        <v>2310</v>
      </c>
      <c r="D15" s="904">
        <f>'PODLE §'!O114</f>
        <v>550</v>
      </c>
      <c r="E15" s="903">
        <f>'PODLE §'!P114</f>
        <v>0</v>
      </c>
      <c r="F15" s="903">
        <f>'PODLE §'!Q114</f>
        <v>0</v>
      </c>
      <c r="G15" s="905">
        <f>'PODLE §'!R114</f>
        <v>12000</v>
      </c>
      <c r="H15" s="903">
        <f>'PODLE §'!S114</f>
        <v>0</v>
      </c>
      <c r="I15" s="903">
        <f>'PODLE §'!T114</f>
        <v>0</v>
      </c>
      <c r="J15" s="905">
        <f>'PODLE §'!U114</f>
        <v>8400</v>
      </c>
      <c r="K15" s="903">
        <f>'PODLE §'!V114</f>
        <v>0</v>
      </c>
      <c r="L15" s="903">
        <f>'PODLE §'!W114</f>
        <v>0</v>
      </c>
      <c r="M15" s="905">
        <f>'PODLE §'!X114</f>
        <v>0</v>
      </c>
      <c r="N15" s="903">
        <f>'PODLE §'!Y114</f>
        <v>0</v>
      </c>
      <c r="O15" s="903">
        <f>'PODLE §'!Z114</f>
        <v>0</v>
      </c>
      <c r="P15" s="906">
        <f>'PODLE §'!AA114</f>
        <v>0</v>
      </c>
    </row>
    <row r="16" spans="1:16" ht="19.5" customHeight="1">
      <c r="A16" s="902" t="s">
        <v>387</v>
      </c>
      <c r="B16" s="903">
        <f>'PODLE §'!M127</f>
        <v>2000</v>
      </c>
      <c r="C16" s="904">
        <f>'PODLE §'!N127</f>
        <v>0</v>
      </c>
      <c r="D16" s="904">
        <f>'PODLE §'!O127</f>
        <v>2000</v>
      </c>
      <c r="E16" s="903">
        <f>'PODLE §'!P127</f>
        <v>0</v>
      </c>
      <c r="F16" s="903">
        <f>'PODLE §'!Q127</f>
        <v>0</v>
      </c>
      <c r="G16" s="905">
        <f>'PODLE §'!R127</f>
        <v>157750</v>
      </c>
      <c r="H16" s="903">
        <f>'PODLE §'!S127</f>
        <v>218150</v>
      </c>
      <c r="I16" s="903">
        <f>'PODLE §'!T127</f>
        <v>0</v>
      </c>
      <c r="J16" s="905">
        <f>'PODLE §'!U127</f>
        <v>72740</v>
      </c>
      <c r="K16" s="903">
        <f>'PODLE §'!V127</f>
        <v>156710</v>
      </c>
      <c r="L16" s="903">
        <f>'PODLE §'!W127</f>
        <v>0</v>
      </c>
      <c r="M16" s="905">
        <f>'PODLE §'!X127</f>
        <v>238689</v>
      </c>
      <c r="N16" s="903">
        <f>'PODLE §'!Y127</f>
        <v>146710</v>
      </c>
      <c r="O16" s="903">
        <f>'PODLE §'!Z127</f>
        <v>0</v>
      </c>
      <c r="P16" s="906">
        <f>'PODLE §'!AA127</f>
        <v>375000</v>
      </c>
    </row>
    <row r="17" spans="1:16" ht="19.5" customHeight="1" thickBot="1">
      <c r="A17" s="907" t="s">
        <v>388</v>
      </c>
      <c r="B17" s="908">
        <f>'PODLE §'!M133</f>
        <v>12275</v>
      </c>
      <c r="C17" s="909">
        <f>'PODLE §'!N133</f>
        <v>8788</v>
      </c>
      <c r="D17" s="909">
        <f>'PODLE §'!O133</f>
        <v>3487</v>
      </c>
      <c r="E17" s="908">
        <f>'PODLE §'!P133</f>
        <v>0</v>
      </c>
      <c r="F17" s="908">
        <f>'PODLE §'!Q133</f>
        <v>0</v>
      </c>
      <c r="G17" s="910">
        <f>'PODLE §'!R133</f>
        <v>44600</v>
      </c>
      <c r="H17" s="908">
        <f>'PODLE §'!S133</f>
        <v>0</v>
      </c>
      <c r="I17" s="908">
        <f>'PODLE §'!T133</f>
        <v>0</v>
      </c>
      <c r="J17" s="910">
        <f>'PODLE §'!U133</f>
        <v>0</v>
      </c>
      <c r="K17" s="908">
        <f>'PODLE §'!V133</f>
        <v>0</v>
      </c>
      <c r="L17" s="908">
        <f>'PODLE §'!W133</f>
        <v>0</v>
      </c>
      <c r="M17" s="910">
        <f>'PODLE §'!X133</f>
        <v>50000</v>
      </c>
      <c r="N17" s="908">
        <f>'PODLE §'!Y133</f>
        <v>0</v>
      </c>
      <c r="O17" s="908">
        <f>'PODLE §'!Z133</f>
        <v>0</v>
      </c>
      <c r="P17" s="911">
        <f>'PODLE §'!AA133</f>
        <v>150000</v>
      </c>
    </row>
    <row r="18" spans="1:16" ht="19.5" customHeight="1" thickBot="1">
      <c r="A18" s="201" t="s">
        <v>389</v>
      </c>
      <c r="B18" s="893">
        <f>SUM(B19:B47)</f>
        <v>1816786</v>
      </c>
      <c r="C18" s="893">
        <f aca="true" t="shared" si="2" ref="C18:O18">SUM(C19:C47)</f>
        <v>1044782</v>
      </c>
      <c r="D18" s="893">
        <f t="shared" si="2"/>
        <v>539640</v>
      </c>
      <c r="E18" s="893">
        <f t="shared" si="2"/>
        <v>98800</v>
      </c>
      <c r="F18" s="893">
        <f t="shared" si="2"/>
        <v>133564</v>
      </c>
      <c r="G18" s="893">
        <f t="shared" si="2"/>
        <v>1143288</v>
      </c>
      <c r="H18" s="893">
        <f t="shared" si="2"/>
        <v>4000</v>
      </c>
      <c r="I18" s="893">
        <f t="shared" si="2"/>
        <v>278454</v>
      </c>
      <c r="J18" s="893">
        <f t="shared" si="2"/>
        <v>799340</v>
      </c>
      <c r="K18" s="893">
        <f t="shared" si="2"/>
        <v>0</v>
      </c>
      <c r="L18" s="893">
        <f t="shared" si="2"/>
        <v>127380</v>
      </c>
      <c r="M18" s="893">
        <f t="shared" si="2"/>
        <v>805000</v>
      </c>
      <c r="N18" s="893">
        <f t="shared" si="2"/>
        <v>0</v>
      </c>
      <c r="O18" s="893">
        <f t="shared" si="2"/>
        <v>19200</v>
      </c>
      <c r="P18" s="894">
        <f>SUM(P19:P47)</f>
        <v>1774182</v>
      </c>
    </row>
    <row r="19" spans="1:16" ht="19.5" customHeight="1">
      <c r="A19" s="912" t="s">
        <v>390</v>
      </c>
      <c r="B19" s="898">
        <f>'PODLE §'!M137</f>
        <v>500</v>
      </c>
      <c r="C19" s="899">
        <f>'PODLE §'!N137</f>
        <v>0</v>
      </c>
      <c r="D19" s="899">
        <f>'PODLE §'!O137</f>
        <v>500</v>
      </c>
      <c r="E19" s="898">
        <f>'PODLE §'!P137</f>
        <v>0</v>
      </c>
      <c r="F19" s="898">
        <f>'PODLE §'!Q137</f>
        <v>0</v>
      </c>
      <c r="G19" s="900">
        <f>'PODLE §'!R137</f>
        <v>500</v>
      </c>
      <c r="H19" s="898">
        <f>'PODLE §'!S137</f>
        <v>0</v>
      </c>
      <c r="I19" s="898">
        <f>'PODLE §'!T137</f>
        <v>0</v>
      </c>
      <c r="J19" s="900">
        <f>'PODLE §'!U137</f>
        <v>500</v>
      </c>
      <c r="K19" s="898">
        <f>'PODLE §'!V137</f>
        <v>0</v>
      </c>
      <c r="L19" s="898">
        <f>'PODLE §'!W137</f>
        <v>0</v>
      </c>
      <c r="M19" s="900">
        <f>'PODLE §'!X137</f>
        <v>500</v>
      </c>
      <c r="N19" s="898">
        <f>'PODLE §'!Y137</f>
        <v>0</v>
      </c>
      <c r="O19" s="898">
        <f>'PODLE §'!Z137</f>
        <v>0</v>
      </c>
      <c r="P19" s="901">
        <f>'PODLE §'!AA137</f>
        <v>500</v>
      </c>
    </row>
    <row r="20" spans="1:16" ht="19.5" customHeight="1">
      <c r="A20" s="912" t="s">
        <v>391</v>
      </c>
      <c r="B20" s="898">
        <f>'PODLE §'!M141</f>
        <v>18947</v>
      </c>
      <c r="C20" s="899">
        <f>'PODLE §'!N141</f>
        <v>6647</v>
      </c>
      <c r="D20" s="899">
        <f>'PODLE §'!O141</f>
        <v>12300</v>
      </c>
      <c r="E20" s="898">
        <f>'PODLE §'!P141</f>
        <v>0</v>
      </c>
      <c r="F20" s="898">
        <f>'PODLE §'!Q141</f>
        <v>0</v>
      </c>
      <c r="G20" s="900">
        <f>'PODLE §'!R141</f>
        <v>500</v>
      </c>
      <c r="H20" s="898">
        <f>'PODLE §'!S141</f>
        <v>0</v>
      </c>
      <c r="I20" s="898">
        <f>'PODLE §'!T141</f>
        <v>0</v>
      </c>
      <c r="J20" s="900">
        <f>'PODLE §'!U141</f>
        <v>500</v>
      </c>
      <c r="K20" s="898">
        <f>'PODLE §'!V141</f>
        <v>0</v>
      </c>
      <c r="L20" s="898">
        <f>'PODLE §'!W141</f>
        <v>0</v>
      </c>
      <c r="M20" s="900">
        <f>'PODLE §'!X141</f>
        <v>500</v>
      </c>
      <c r="N20" s="898">
        <f>'PODLE §'!Y141</f>
        <v>0</v>
      </c>
      <c r="O20" s="898">
        <f>'PODLE §'!Z141</f>
        <v>0</v>
      </c>
      <c r="P20" s="901">
        <f>'PODLE §'!AA141</f>
        <v>500</v>
      </c>
    </row>
    <row r="21" spans="1:16" ht="19.5" customHeight="1">
      <c r="A21" s="902" t="s">
        <v>392</v>
      </c>
      <c r="B21" s="898">
        <f>'PODLE §'!M146</f>
        <v>22179</v>
      </c>
      <c r="C21" s="899">
        <f>'PODLE §'!N146</f>
        <v>19579</v>
      </c>
      <c r="D21" s="899">
        <f>'PODLE §'!O146</f>
        <v>300</v>
      </c>
      <c r="E21" s="898">
        <f>'PODLE §'!P146</f>
        <v>2300</v>
      </c>
      <c r="F21" s="898">
        <f>'PODLE §'!Q146</f>
        <v>0</v>
      </c>
      <c r="G21" s="900">
        <f>'PODLE §'!R146</f>
        <v>10000</v>
      </c>
      <c r="H21" s="898">
        <f>'PODLE §'!S146</f>
        <v>0</v>
      </c>
      <c r="I21" s="898">
        <f>'PODLE §'!T146</f>
        <v>0</v>
      </c>
      <c r="J21" s="900">
        <f>'PODLE §'!U146</f>
        <v>0</v>
      </c>
      <c r="K21" s="898">
        <f>'PODLE §'!V146</f>
        <v>0</v>
      </c>
      <c r="L21" s="898">
        <f>'PODLE §'!W146</f>
        <v>0</v>
      </c>
      <c r="M21" s="900">
        <f>'PODLE §'!X146</f>
        <v>0</v>
      </c>
      <c r="N21" s="898">
        <f>'PODLE §'!Y146</f>
        <v>0</v>
      </c>
      <c r="O21" s="898">
        <f>'PODLE §'!Z146</f>
        <v>0</v>
      </c>
      <c r="P21" s="901">
        <f>'PODLE §'!AA146</f>
        <v>0</v>
      </c>
    </row>
    <row r="22" spans="1:16" ht="19.5" customHeight="1">
      <c r="A22" s="913" t="s">
        <v>393</v>
      </c>
      <c r="B22" s="898">
        <f>'PODLE §'!M153</f>
        <v>63994</v>
      </c>
      <c r="C22" s="899">
        <f>'PODLE §'!N153</f>
        <v>5936</v>
      </c>
      <c r="D22" s="899">
        <f>'PODLE §'!O153</f>
        <v>44358</v>
      </c>
      <c r="E22" s="898">
        <f>'PODLE §'!P153</f>
        <v>0</v>
      </c>
      <c r="F22" s="898">
        <f>'PODLE §'!Q153</f>
        <v>13700</v>
      </c>
      <c r="G22" s="900">
        <f>'PODLE §'!R153</f>
        <v>50000</v>
      </c>
      <c r="H22" s="898">
        <f>'PODLE §'!S153</f>
        <v>0</v>
      </c>
      <c r="I22" s="898">
        <f>'PODLE §'!T153</f>
        <v>0</v>
      </c>
      <c r="J22" s="900">
        <f>'PODLE §'!U153</f>
        <v>20000</v>
      </c>
      <c r="K22" s="898">
        <f>'PODLE §'!V153</f>
        <v>0</v>
      </c>
      <c r="L22" s="898">
        <f>'PODLE §'!W153</f>
        <v>0</v>
      </c>
      <c r="M22" s="900">
        <f>'PODLE §'!X153</f>
        <v>8000</v>
      </c>
      <c r="N22" s="898">
        <f>'PODLE §'!Y153</f>
        <v>0</v>
      </c>
      <c r="O22" s="898">
        <f>'PODLE §'!Z153</f>
        <v>0</v>
      </c>
      <c r="P22" s="901">
        <f>'PODLE §'!AA153</f>
        <v>0</v>
      </c>
    </row>
    <row r="23" spans="1:16" ht="19.5" customHeight="1">
      <c r="A23" s="913" t="s">
        <v>10</v>
      </c>
      <c r="B23" s="898">
        <f>'PODLE §'!M157</f>
        <v>203032</v>
      </c>
      <c r="C23" s="899">
        <f>'PODLE §'!N157</f>
        <v>203032</v>
      </c>
      <c r="D23" s="899">
        <f>'PODLE §'!O157</f>
        <v>0</v>
      </c>
      <c r="E23" s="898">
        <f>'PODLE §'!P157</f>
        <v>0</v>
      </c>
      <c r="F23" s="898">
        <f>'PODLE §'!Q157</f>
        <v>0</v>
      </c>
      <c r="G23" s="900">
        <f>'PODLE §'!R157</f>
        <v>100000</v>
      </c>
      <c r="H23" s="898">
        <f>'PODLE §'!S157</f>
        <v>0</v>
      </c>
      <c r="I23" s="898">
        <f>'PODLE §'!T157</f>
        <v>0</v>
      </c>
      <c r="J23" s="900">
        <f>'PODLE §'!U157</f>
        <v>100000</v>
      </c>
      <c r="K23" s="898">
        <f>'PODLE §'!V157</f>
        <v>0</v>
      </c>
      <c r="L23" s="898">
        <f>'PODLE §'!W157</f>
        <v>0</v>
      </c>
      <c r="M23" s="900">
        <f>'PODLE §'!X157</f>
        <v>100000</v>
      </c>
      <c r="N23" s="898">
        <f>'PODLE §'!Y157</f>
        <v>0</v>
      </c>
      <c r="O23" s="898">
        <f>'PODLE §'!Z157</f>
        <v>0</v>
      </c>
      <c r="P23" s="901">
        <f>'PODLE §'!AA157</f>
        <v>500000</v>
      </c>
    </row>
    <row r="24" spans="1:16" ht="19.5" customHeight="1">
      <c r="A24" s="913" t="s">
        <v>394</v>
      </c>
      <c r="B24" s="898">
        <f>'PODLE §'!M160</f>
        <v>11804</v>
      </c>
      <c r="C24" s="899">
        <f>'PODLE §'!N160</f>
        <v>6804</v>
      </c>
      <c r="D24" s="899">
        <f>'PODLE §'!O160</f>
        <v>2000</v>
      </c>
      <c r="E24" s="898">
        <f>'PODLE §'!P160</f>
        <v>0</v>
      </c>
      <c r="F24" s="898">
        <f>'PODLE §'!Q160</f>
        <v>3000</v>
      </c>
      <c r="G24" s="900">
        <f>'PODLE §'!R160</f>
        <v>23934</v>
      </c>
      <c r="H24" s="898">
        <f>'PODLE §'!S160</f>
        <v>0</v>
      </c>
      <c r="I24" s="898">
        <f>'PODLE §'!T160</f>
        <v>0</v>
      </c>
      <c r="J24" s="900">
        <f>'PODLE §'!U160</f>
        <v>0</v>
      </c>
      <c r="K24" s="898">
        <f>'PODLE §'!V160</f>
        <v>0</v>
      </c>
      <c r="L24" s="898">
        <f>'PODLE §'!W160</f>
        <v>0</v>
      </c>
      <c r="M24" s="900">
        <f>'PODLE §'!X160</f>
        <v>0</v>
      </c>
      <c r="N24" s="898">
        <f>'PODLE §'!Y160</f>
        <v>0</v>
      </c>
      <c r="O24" s="898">
        <f>'PODLE §'!Z160</f>
        <v>0</v>
      </c>
      <c r="P24" s="901">
        <f>'PODLE §'!AA160</f>
        <v>0</v>
      </c>
    </row>
    <row r="25" spans="1:16" ht="19.5" customHeight="1">
      <c r="A25" s="913" t="s">
        <v>395</v>
      </c>
      <c r="B25" s="898">
        <f>'PODLE §'!M163</f>
        <v>943</v>
      </c>
      <c r="C25" s="899">
        <f>'PODLE §'!N163</f>
        <v>943</v>
      </c>
      <c r="D25" s="899">
        <f>'PODLE §'!O163</f>
        <v>0</v>
      </c>
      <c r="E25" s="898">
        <f>'PODLE §'!P163</f>
        <v>0</v>
      </c>
      <c r="F25" s="898">
        <f>'PODLE §'!Q163</f>
        <v>0</v>
      </c>
      <c r="G25" s="900">
        <f>'PODLE §'!R163</f>
        <v>5000</v>
      </c>
      <c r="H25" s="898">
        <f>'PODLE §'!S163</f>
        <v>0</v>
      </c>
      <c r="I25" s="898">
        <f>'PODLE §'!T163</f>
        <v>0</v>
      </c>
      <c r="J25" s="900">
        <f>'PODLE §'!U163</f>
        <v>30000</v>
      </c>
      <c r="K25" s="898">
        <f>'PODLE §'!V163</f>
        <v>0</v>
      </c>
      <c r="L25" s="898">
        <f>'PODLE §'!W163</f>
        <v>0</v>
      </c>
      <c r="M25" s="900">
        <f>'PODLE §'!X163</f>
        <v>120000</v>
      </c>
      <c r="N25" s="898">
        <f>'PODLE §'!Y163</f>
        <v>0</v>
      </c>
      <c r="O25" s="898">
        <f>'PODLE §'!Z163</f>
        <v>0</v>
      </c>
      <c r="P25" s="901">
        <f>'PODLE §'!AA163</f>
        <v>500000</v>
      </c>
    </row>
    <row r="26" spans="1:16" ht="19.5" customHeight="1">
      <c r="A26" s="202" t="s">
        <v>159</v>
      </c>
      <c r="B26" s="898">
        <f>'PODLE §'!M166</f>
        <v>0</v>
      </c>
      <c r="C26" s="899">
        <f>'PODLE §'!N166</f>
        <v>0</v>
      </c>
      <c r="D26" s="899">
        <f>'PODLE §'!O166</f>
        <v>0</v>
      </c>
      <c r="E26" s="898">
        <f>'PODLE §'!P166</f>
        <v>0</v>
      </c>
      <c r="F26" s="898">
        <f>'PODLE §'!Q166</f>
        <v>0</v>
      </c>
      <c r="G26" s="900">
        <f>'PODLE §'!R166</f>
        <v>2000</v>
      </c>
      <c r="H26" s="898">
        <f>'PODLE §'!S166</f>
        <v>0</v>
      </c>
      <c r="I26" s="898">
        <f>'PODLE §'!T166</f>
        <v>0</v>
      </c>
      <c r="J26" s="900">
        <f>'PODLE §'!U166</f>
        <v>50000</v>
      </c>
      <c r="K26" s="898">
        <f>'PODLE §'!V166</f>
        <v>0</v>
      </c>
      <c r="L26" s="898">
        <f>'PODLE §'!W166</f>
        <v>0</v>
      </c>
      <c r="M26" s="900">
        <f>'PODLE §'!X166</f>
        <v>100000</v>
      </c>
      <c r="N26" s="898">
        <f>'PODLE §'!Y166</f>
        <v>0</v>
      </c>
      <c r="O26" s="898">
        <f>'PODLE §'!Z166</f>
        <v>0</v>
      </c>
      <c r="P26" s="901">
        <f>'PODLE §'!AA166</f>
        <v>28000</v>
      </c>
    </row>
    <row r="27" spans="1:16" ht="19.5" customHeight="1">
      <c r="A27" s="913" t="s">
        <v>489</v>
      </c>
      <c r="B27" s="898">
        <f>'PODLE §'!M169</f>
        <v>11940</v>
      </c>
      <c r="C27" s="899">
        <f>'PODLE §'!N169</f>
        <v>3698</v>
      </c>
      <c r="D27" s="899">
        <f>'PODLE §'!O169</f>
        <v>8242</v>
      </c>
      <c r="E27" s="898">
        <f>'PODLE §'!P169</f>
        <v>0</v>
      </c>
      <c r="F27" s="898">
        <f>'PODLE §'!Q169</f>
        <v>0</v>
      </c>
      <c r="G27" s="900">
        <f>'PODLE §'!R169</f>
        <v>97000</v>
      </c>
      <c r="H27" s="898">
        <f>'PODLE §'!S169</f>
        <v>0</v>
      </c>
      <c r="I27" s="898">
        <f>'PODLE §'!T169</f>
        <v>0</v>
      </c>
      <c r="J27" s="900">
        <f>'PODLE §'!U169</f>
        <v>90000</v>
      </c>
      <c r="K27" s="898">
        <f>'PODLE §'!V169</f>
        <v>0</v>
      </c>
      <c r="L27" s="898">
        <f>'PODLE §'!W169</f>
        <v>0</v>
      </c>
      <c r="M27" s="900">
        <f>'PODLE §'!X169</f>
        <v>0</v>
      </c>
      <c r="N27" s="898">
        <f>'PODLE §'!Y169</f>
        <v>0</v>
      </c>
      <c r="O27" s="898">
        <f>'PODLE §'!Z169</f>
        <v>0</v>
      </c>
      <c r="P27" s="901">
        <f>'PODLE §'!AA169</f>
        <v>0</v>
      </c>
    </row>
    <row r="28" spans="1:16" ht="19.5" customHeight="1">
      <c r="A28" s="914" t="s">
        <v>396</v>
      </c>
      <c r="B28" s="898">
        <f>'PODLE §'!M174</f>
        <v>50000</v>
      </c>
      <c r="C28" s="899">
        <f>'PODLE §'!N174</f>
        <v>0</v>
      </c>
      <c r="D28" s="899">
        <f>'PODLE §'!O174</f>
        <v>10000</v>
      </c>
      <c r="E28" s="898">
        <f>'PODLE §'!P174</f>
        <v>0</v>
      </c>
      <c r="F28" s="898">
        <f>'PODLE §'!Q174</f>
        <v>40000</v>
      </c>
      <c r="G28" s="900">
        <f>'PODLE §'!R174</f>
        <v>280000</v>
      </c>
      <c r="H28" s="898">
        <f>'PODLE §'!S174</f>
        <v>0</v>
      </c>
      <c r="I28" s="898">
        <f>'PODLE §'!T174</f>
        <v>0</v>
      </c>
      <c r="J28" s="900">
        <f>'PODLE §'!U174</f>
        <v>24000</v>
      </c>
      <c r="K28" s="898">
        <f>'PODLE §'!V174</f>
        <v>0</v>
      </c>
      <c r="L28" s="898">
        <f>'PODLE §'!W174</f>
        <v>0</v>
      </c>
      <c r="M28" s="900">
        <f>'PODLE §'!X174</f>
        <v>0</v>
      </c>
      <c r="N28" s="898">
        <f>'PODLE §'!Y174</f>
        <v>0</v>
      </c>
      <c r="O28" s="898">
        <f>'PODLE §'!Z174</f>
        <v>0</v>
      </c>
      <c r="P28" s="901">
        <f>'PODLE §'!AA174</f>
        <v>0</v>
      </c>
    </row>
    <row r="29" spans="1:16" ht="19.5" customHeight="1">
      <c r="A29" s="902" t="s">
        <v>397</v>
      </c>
      <c r="B29" s="903">
        <f>'PODLE §'!M190</f>
        <v>326292</v>
      </c>
      <c r="C29" s="904">
        <f>'PODLE §'!N190</f>
        <v>18579</v>
      </c>
      <c r="D29" s="904">
        <f>'PODLE §'!O190</f>
        <v>192536</v>
      </c>
      <c r="E29" s="903">
        <f>'PODLE §'!P190</f>
        <v>84000</v>
      </c>
      <c r="F29" s="903">
        <f>'PODLE §'!Q190</f>
        <v>31177</v>
      </c>
      <c r="G29" s="905">
        <f>'PODLE §'!R190</f>
        <v>254700</v>
      </c>
      <c r="H29" s="903">
        <f>'PODLE §'!S190</f>
        <v>4000</v>
      </c>
      <c r="I29" s="903">
        <f>'PODLE §'!T190</f>
        <v>2454</v>
      </c>
      <c r="J29" s="905">
        <f>'PODLE §'!U190</f>
        <v>262780</v>
      </c>
      <c r="K29" s="903">
        <f>'PODLE §'!V190</f>
        <v>0</v>
      </c>
      <c r="L29" s="903">
        <f>'PODLE §'!W190</f>
        <v>0</v>
      </c>
      <c r="M29" s="905">
        <f>'PODLE §'!X190</f>
        <v>111000</v>
      </c>
      <c r="N29" s="903">
        <f>'PODLE §'!Y190</f>
        <v>0</v>
      </c>
      <c r="O29" s="903">
        <f>'PODLE §'!Z190</f>
        <v>0</v>
      </c>
      <c r="P29" s="906">
        <f>'PODLE §'!AA190</f>
        <v>0</v>
      </c>
    </row>
    <row r="30" spans="1:16" ht="19.5" customHeight="1">
      <c r="A30" s="902" t="s">
        <v>575</v>
      </c>
      <c r="B30" s="903">
        <f>'PODLE §'!M193</f>
        <v>9520</v>
      </c>
      <c r="C30" s="904">
        <f>'PODLE §'!N193</f>
        <v>0</v>
      </c>
      <c r="D30" s="904">
        <f>'PODLE §'!O193</f>
        <v>9520</v>
      </c>
      <c r="E30" s="903">
        <f>'PODLE §'!P193</f>
        <v>0</v>
      </c>
      <c r="F30" s="903">
        <f>'PODLE §'!Q193</f>
        <v>0</v>
      </c>
      <c r="G30" s="905">
        <f>'PODLE §'!R193</f>
        <v>0</v>
      </c>
      <c r="H30" s="903">
        <f>'PODLE §'!S193</f>
        <v>0</v>
      </c>
      <c r="I30" s="903">
        <f>'PODLE §'!T193</f>
        <v>0</v>
      </c>
      <c r="J30" s="905">
        <f>'PODLE §'!U193</f>
        <v>0</v>
      </c>
      <c r="K30" s="903">
        <f>'PODLE §'!V193</f>
        <v>0</v>
      </c>
      <c r="L30" s="903">
        <f>'PODLE §'!W193</f>
        <v>0</v>
      </c>
      <c r="M30" s="905">
        <f>'PODLE §'!X193</f>
        <v>0</v>
      </c>
      <c r="N30" s="903">
        <f>'PODLE §'!Y193</f>
        <v>0</v>
      </c>
      <c r="O30" s="903">
        <f>'PODLE §'!Z193</f>
        <v>0</v>
      </c>
      <c r="P30" s="906">
        <f>'PODLE §'!AA193</f>
        <v>0</v>
      </c>
    </row>
    <row r="31" spans="1:16" ht="19.5" customHeight="1">
      <c r="A31" s="902" t="s">
        <v>498</v>
      </c>
      <c r="B31" s="903">
        <f>'PODLE §'!M196</f>
        <v>10000</v>
      </c>
      <c r="C31" s="904">
        <f>'PODLE §'!N196</f>
        <v>6000</v>
      </c>
      <c r="D31" s="904">
        <f>'PODLE §'!O196</f>
        <v>4000</v>
      </c>
      <c r="E31" s="903">
        <f>'PODLE §'!P196</f>
        <v>0</v>
      </c>
      <c r="F31" s="903">
        <f>'PODLE §'!Q196</f>
        <v>0</v>
      </c>
      <c r="G31" s="905">
        <f>'PODLE §'!R196</f>
        <v>0</v>
      </c>
      <c r="H31" s="903">
        <f>'PODLE §'!S196</f>
        <v>0</v>
      </c>
      <c r="I31" s="903">
        <f>'PODLE §'!T196</f>
        <v>0</v>
      </c>
      <c r="J31" s="905">
        <f>'PODLE §'!U196</f>
        <v>0</v>
      </c>
      <c r="K31" s="903">
        <f>'PODLE §'!V196</f>
        <v>0</v>
      </c>
      <c r="L31" s="903">
        <f>'PODLE §'!W196</f>
        <v>0</v>
      </c>
      <c r="M31" s="905">
        <f>'PODLE §'!X196</f>
        <v>0</v>
      </c>
      <c r="N31" s="903">
        <f>'PODLE §'!Y196</f>
        <v>0</v>
      </c>
      <c r="O31" s="903">
        <f>'PODLE §'!Z196</f>
        <v>0</v>
      </c>
      <c r="P31" s="906">
        <f>'PODLE §'!AA196</f>
        <v>0</v>
      </c>
    </row>
    <row r="32" spans="1:16" ht="19.5" customHeight="1">
      <c r="A32" s="902" t="s">
        <v>160</v>
      </c>
      <c r="B32" s="903">
        <f>'PODLE §'!M210</f>
        <v>84613</v>
      </c>
      <c r="C32" s="904">
        <f>'PODLE §'!N210</f>
        <v>57669</v>
      </c>
      <c r="D32" s="904">
        <f>'PODLE §'!O210</f>
        <v>0</v>
      </c>
      <c r="E32" s="903">
        <f>'PODLE §'!P210</f>
        <v>0</v>
      </c>
      <c r="F32" s="903">
        <f>'PODLE §'!Q210</f>
        <v>26944</v>
      </c>
      <c r="G32" s="905">
        <f>'PODLE §'!R210</f>
        <v>0</v>
      </c>
      <c r="H32" s="903">
        <f>'PODLE §'!S210</f>
        <v>0</v>
      </c>
      <c r="I32" s="903">
        <f>'PODLE §'!T210</f>
        <v>237000</v>
      </c>
      <c r="J32" s="905">
        <f>'PODLE §'!U210</f>
        <v>0</v>
      </c>
      <c r="K32" s="903">
        <f>'PODLE §'!V210</f>
        <v>0</v>
      </c>
      <c r="L32" s="903">
        <f>'PODLE §'!W210</f>
        <v>126880</v>
      </c>
      <c r="M32" s="905">
        <f>'PODLE §'!X210</f>
        <v>0</v>
      </c>
      <c r="N32" s="903">
        <f>'PODLE §'!Y210</f>
        <v>0</v>
      </c>
      <c r="O32" s="903">
        <f>'PODLE §'!Z210</f>
        <v>19200</v>
      </c>
      <c r="P32" s="906">
        <f>'PODLE §'!AA210</f>
        <v>0</v>
      </c>
    </row>
    <row r="33" spans="1:16" ht="19.5" customHeight="1">
      <c r="A33" s="902" t="s">
        <v>161</v>
      </c>
      <c r="B33" s="903">
        <f>'PODLE §'!M214</f>
        <v>72392</v>
      </c>
      <c r="C33" s="904">
        <f>'PODLE §'!N214</f>
        <v>72392</v>
      </c>
      <c r="D33" s="904">
        <f>'PODLE §'!O214</f>
        <v>0</v>
      </c>
      <c r="E33" s="903">
        <f>'PODLE §'!P214</f>
        <v>0</v>
      </c>
      <c r="F33" s="903">
        <f>'PODLE §'!Q214</f>
        <v>0</v>
      </c>
      <c r="G33" s="905">
        <f>'PODLE §'!R214</f>
        <v>0</v>
      </c>
      <c r="H33" s="903">
        <f>'PODLE §'!S214</f>
        <v>0</v>
      </c>
      <c r="I33" s="903">
        <f>'PODLE §'!T214</f>
        <v>19000</v>
      </c>
      <c r="J33" s="905">
        <f>'PODLE §'!U214</f>
        <v>0</v>
      </c>
      <c r="K33" s="903">
        <f>'PODLE §'!V214</f>
        <v>0</v>
      </c>
      <c r="L33" s="903">
        <f>'PODLE §'!W214</f>
        <v>500</v>
      </c>
      <c r="M33" s="905">
        <f>'PODLE §'!X214</f>
        <v>0</v>
      </c>
      <c r="N33" s="903">
        <f>'PODLE §'!Y214</f>
        <v>0</v>
      </c>
      <c r="O33" s="903">
        <f>'PODLE §'!Z214</f>
        <v>0</v>
      </c>
      <c r="P33" s="906">
        <f>'PODLE §'!AA214</f>
        <v>0</v>
      </c>
    </row>
    <row r="34" spans="1:16" ht="19.5" customHeight="1">
      <c r="A34" s="902" t="s">
        <v>398</v>
      </c>
      <c r="B34" s="903">
        <f>'PODLE §'!M218</f>
        <v>2700</v>
      </c>
      <c r="C34" s="904">
        <f>'PODLE §'!N218</f>
        <v>2700</v>
      </c>
      <c r="D34" s="904">
        <f>'PODLE §'!O218</f>
        <v>0</v>
      </c>
      <c r="E34" s="903">
        <f>'PODLE §'!P218</f>
        <v>0</v>
      </c>
      <c r="F34" s="903">
        <f>'PODLE §'!Q218</f>
        <v>0</v>
      </c>
      <c r="G34" s="905">
        <f>'PODLE §'!R218</f>
        <v>3000</v>
      </c>
      <c r="H34" s="903">
        <f>'PODLE §'!S218</f>
        <v>0</v>
      </c>
      <c r="I34" s="903">
        <f>'PODLE §'!T218</f>
        <v>0</v>
      </c>
      <c r="J34" s="905">
        <f>'PODLE §'!U218</f>
        <v>0</v>
      </c>
      <c r="K34" s="903">
        <f>'PODLE §'!V218</f>
        <v>0</v>
      </c>
      <c r="L34" s="903">
        <f>'PODLE §'!W218</f>
        <v>0</v>
      </c>
      <c r="M34" s="905">
        <f>'PODLE §'!X218</f>
        <v>0</v>
      </c>
      <c r="N34" s="903">
        <f>'PODLE §'!Y218</f>
        <v>0</v>
      </c>
      <c r="O34" s="903">
        <f>'PODLE §'!Z218</f>
        <v>0</v>
      </c>
      <c r="P34" s="906">
        <f>'PODLE §'!AA218</f>
        <v>0</v>
      </c>
    </row>
    <row r="35" spans="1:16" ht="19.5" customHeight="1">
      <c r="A35" s="902" t="s">
        <v>540</v>
      </c>
      <c r="B35" s="903">
        <f>'PODLE §'!M221</f>
        <v>517875</v>
      </c>
      <c r="C35" s="904">
        <f>'PODLE §'!N221</f>
        <v>467875</v>
      </c>
      <c r="D35" s="904">
        <f>'PODLE §'!O221</f>
        <v>50000</v>
      </c>
      <c r="E35" s="903">
        <f>'PODLE §'!P221</f>
        <v>0</v>
      </c>
      <c r="F35" s="903">
        <f>'PODLE §'!Q221</f>
        <v>0</v>
      </c>
      <c r="G35" s="905">
        <f>'PODLE §'!R221</f>
        <v>0</v>
      </c>
      <c r="H35" s="903">
        <f>'PODLE §'!S221</f>
        <v>0</v>
      </c>
      <c r="I35" s="903">
        <f>'PODLE §'!T221</f>
        <v>0</v>
      </c>
      <c r="J35" s="905">
        <f>'PODLE §'!U221</f>
        <v>0</v>
      </c>
      <c r="K35" s="903">
        <f>'PODLE §'!V221</f>
        <v>0</v>
      </c>
      <c r="L35" s="903">
        <f>'PODLE §'!W221</f>
        <v>0</v>
      </c>
      <c r="M35" s="905">
        <f>'PODLE §'!X221</f>
        <v>0</v>
      </c>
      <c r="N35" s="903">
        <f>'PODLE §'!Y221</f>
        <v>0</v>
      </c>
      <c r="O35" s="903">
        <f>'PODLE §'!Z221</f>
        <v>0</v>
      </c>
      <c r="P35" s="906">
        <f>'PODLE §'!AA221</f>
        <v>0</v>
      </c>
    </row>
    <row r="36" spans="1:16" ht="19.5" customHeight="1">
      <c r="A36" s="902" t="s">
        <v>399</v>
      </c>
      <c r="B36" s="903">
        <f>'PODLE §'!M225</f>
        <v>38137</v>
      </c>
      <c r="C36" s="904">
        <f>'PODLE §'!N225</f>
        <v>11510</v>
      </c>
      <c r="D36" s="904">
        <f>'PODLE §'!O225</f>
        <v>26627</v>
      </c>
      <c r="E36" s="903">
        <f>'PODLE §'!P225</f>
        <v>0</v>
      </c>
      <c r="F36" s="903">
        <f>'PODLE §'!Q225</f>
        <v>0</v>
      </c>
      <c r="G36" s="905">
        <f>'PODLE §'!R225</f>
        <v>30000</v>
      </c>
      <c r="H36" s="903">
        <f>'PODLE §'!S225</f>
        <v>0</v>
      </c>
      <c r="I36" s="903">
        <f>'PODLE §'!T225</f>
        <v>0</v>
      </c>
      <c r="J36" s="905">
        <f>'PODLE §'!U225</f>
        <v>0</v>
      </c>
      <c r="K36" s="903">
        <f>'PODLE §'!V225</f>
        <v>0</v>
      </c>
      <c r="L36" s="903">
        <f>'PODLE §'!W225</f>
        <v>0</v>
      </c>
      <c r="M36" s="905">
        <f>'PODLE §'!X225</f>
        <v>0</v>
      </c>
      <c r="N36" s="903">
        <f>'PODLE §'!Y225</f>
        <v>0</v>
      </c>
      <c r="O36" s="903">
        <f>'PODLE §'!Z225</f>
        <v>0</v>
      </c>
      <c r="P36" s="906">
        <f>'PODLE §'!AA225</f>
        <v>0</v>
      </c>
    </row>
    <row r="37" spans="1:16" ht="19.5" customHeight="1">
      <c r="A37" s="902" t="s">
        <v>124</v>
      </c>
      <c r="B37" s="906">
        <f>'PODLE §'!M228</f>
        <v>0</v>
      </c>
      <c r="C37" s="915">
        <f>'PODLE §'!N228</f>
        <v>0</v>
      </c>
      <c r="D37" s="915">
        <f>'PODLE §'!O228</f>
        <v>0</v>
      </c>
      <c r="E37" s="906">
        <f>'PODLE §'!P228</f>
        <v>0</v>
      </c>
      <c r="F37" s="906">
        <f>'PODLE §'!Q228</f>
        <v>0</v>
      </c>
      <c r="G37" s="916">
        <f>'PODLE §'!R228</f>
        <v>16000</v>
      </c>
      <c r="H37" s="906">
        <f>'PODLE §'!S228</f>
        <v>0</v>
      </c>
      <c r="I37" s="906">
        <f>'PODLE §'!T228</f>
        <v>0</v>
      </c>
      <c r="J37" s="916">
        <f>'PODLE §'!U228</f>
        <v>0</v>
      </c>
      <c r="K37" s="906">
        <f>'PODLE §'!V228</f>
        <v>0</v>
      </c>
      <c r="L37" s="906">
        <f>'PODLE §'!W228</f>
        <v>0</v>
      </c>
      <c r="M37" s="916">
        <f>'PODLE §'!X228</f>
        <v>0</v>
      </c>
      <c r="N37" s="906">
        <f>'PODLE §'!Y228</f>
        <v>0</v>
      </c>
      <c r="O37" s="906">
        <f>'PODLE §'!Z228</f>
        <v>0</v>
      </c>
      <c r="P37" s="906">
        <f>'PODLE §'!AA228</f>
        <v>0</v>
      </c>
    </row>
    <row r="38" spans="1:16" ht="19.5" customHeight="1">
      <c r="A38" s="912" t="s">
        <v>400</v>
      </c>
      <c r="B38" s="898">
        <f>'PODLE §'!M261</f>
        <v>35154</v>
      </c>
      <c r="C38" s="899">
        <f>'PODLE §'!N261</f>
        <v>11654</v>
      </c>
      <c r="D38" s="917">
        <f>'PODLE §'!O261</f>
        <v>23500</v>
      </c>
      <c r="E38" s="898">
        <f>'PODLE §'!P261</f>
        <v>0</v>
      </c>
      <c r="F38" s="898">
        <f>'PODLE §'!Q261</f>
        <v>0</v>
      </c>
      <c r="G38" s="900">
        <f>'PODLE §'!R261</f>
        <v>24890</v>
      </c>
      <c r="H38" s="898">
        <f>'PODLE §'!S261</f>
        <v>0</v>
      </c>
      <c r="I38" s="898">
        <f>'PODLE §'!T261</f>
        <v>0</v>
      </c>
      <c r="J38" s="900">
        <f>'PODLE §'!U261</f>
        <v>19090</v>
      </c>
      <c r="K38" s="898">
        <f>'PODLE §'!V261</f>
        <v>0</v>
      </c>
      <c r="L38" s="898">
        <f>'PODLE §'!W261</f>
        <v>0</v>
      </c>
      <c r="M38" s="900">
        <f>'PODLE §'!X261</f>
        <v>0</v>
      </c>
      <c r="N38" s="898">
        <f>'PODLE §'!Y261</f>
        <v>0</v>
      </c>
      <c r="O38" s="898">
        <f>'PODLE §'!Z261</f>
        <v>0</v>
      </c>
      <c r="P38" s="901">
        <f>'PODLE §'!AA261</f>
        <v>0</v>
      </c>
    </row>
    <row r="39" spans="1:16" ht="19.5" customHeight="1">
      <c r="A39" s="918" t="s">
        <v>191</v>
      </c>
      <c r="B39" s="898">
        <f>'PODLE §'!M264</f>
        <v>2000</v>
      </c>
      <c r="C39" s="899">
        <f>'PODLE §'!N264</f>
        <v>0</v>
      </c>
      <c r="D39" s="899">
        <f>'PODLE §'!O264</f>
        <v>2000</v>
      </c>
      <c r="E39" s="898">
        <f>'PODLE §'!P264</f>
        <v>0</v>
      </c>
      <c r="F39" s="898">
        <f>'PODLE §'!Q264</f>
        <v>0</v>
      </c>
      <c r="G39" s="900">
        <f>'PODLE §'!R264</f>
        <v>20000</v>
      </c>
      <c r="H39" s="898">
        <f>'PODLE §'!S264</f>
        <v>0</v>
      </c>
      <c r="I39" s="898">
        <f>'PODLE §'!T264</f>
        <v>20000</v>
      </c>
      <c r="J39" s="900">
        <f>'PODLE §'!U264</f>
        <v>0</v>
      </c>
      <c r="K39" s="898">
        <f>'PODLE §'!V264</f>
        <v>0</v>
      </c>
      <c r="L39" s="898">
        <f>'PODLE §'!W264</f>
        <v>0</v>
      </c>
      <c r="M39" s="900">
        <f>'PODLE §'!X264</f>
        <v>0</v>
      </c>
      <c r="N39" s="898">
        <f>'PODLE §'!Y264</f>
        <v>0</v>
      </c>
      <c r="O39" s="898">
        <f>'PODLE §'!Z264</f>
        <v>0</v>
      </c>
      <c r="P39" s="901">
        <f>'PODLE §'!AA264</f>
        <v>0</v>
      </c>
    </row>
    <row r="40" spans="1:16" ht="19.5" customHeight="1">
      <c r="A40" s="902" t="s">
        <v>401</v>
      </c>
      <c r="B40" s="898">
        <f>'PODLE §'!M268</f>
        <v>2500</v>
      </c>
      <c r="C40" s="899">
        <f>'PODLE §'!N268</f>
        <v>0</v>
      </c>
      <c r="D40" s="899">
        <f>'PODLE §'!O268</f>
        <v>2500</v>
      </c>
      <c r="E40" s="898">
        <f>'PODLE §'!P268</f>
        <v>0</v>
      </c>
      <c r="F40" s="898">
        <f>'PODLE §'!Q268</f>
        <v>0</v>
      </c>
      <c r="G40" s="900">
        <f>'PODLE §'!R268</f>
        <v>0</v>
      </c>
      <c r="H40" s="898">
        <f>'PODLE §'!S268</f>
        <v>0</v>
      </c>
      <c r="I40" s="898">
        <f>'PODLE §'!T268</f>
        <v>0</v>
      </c>
      <c r="J40" s="900">
        <f>'PODLE §'!U268</f>
        <v>0</v>
      </c>
      <c r="K40" s="898">
        <f>'PODLE §'!V268</f>
        <v>0</v>
      </c>
      <c r="L40" s="898">
        <f>'PODLE §'!W268</f>
        <v>0</v>
      </c>
      <c r="M40" s="900">
        <f>'PODLE §'!X268</f>
        <v>0</v>
      </c>
      <c r="N40" s="898">
        <f>'PODLE §'!Y268</f>
        <v>0</v>
      </c>
      <c r="O40" s="898">
        <f>'PODLE §'!Z268</f>
        <v>0</v>
      </c>
      <c r="P40" s="901">
        <f>'PODLE §'!AA268</f>
        <v>0</v>
      </c>
    </row>
    <row r="41" spans="1:16" ht="19.5" customHeight="1">
      <c r="A41" s="902" t="s">
        <v>402</v>
      </c>
      <c r="B41" s="903">
        <f>'PODLE §'!M282</f>
        <v>241731</v>
      </c>
      <c r="C41" s="904">
        <f>'PODLE §'!N282</f>
        <v>134833</v>
      </c>
      <c r="D41" s="904">
        <f>'PODLE §'!O282</f>
        <v>86655</v>
      </c>
      <c r="E41" s="903">
        <f>'PODLE §'!P282</f>
        <v>12500</v>
      </c>
      <c r="F41" s="903">
        <f>'PODLE §'!Q282</f>
        <v>7743</v>
      </c>
      <c r="G41" s="905">
        <f>'PODLE §'!R282</f>
        <v>107000</v>
      </c>
      <c r="H41" s="903">
        <f>'PODLE §'!S282</f>
        <v>0</v>
      </c>
      <c r="I41" s="903">
        <f>'PODLE §'!T282</f>
        <v>0</v>
      </c>
      <c r="J41" s="905">
        <f>'PODLE §'!U282</f>
        <v>75000</v>
      </c>
      <c r="K41" s="903">
        <f>'PODLE §'!V282</f>
        <v>0</v>
      </c>
      <c r="L41" s="903">
        <f>'PODLE §'!W282</f>
        <v>0</v>
      </c>
      <c r="M41" s="905">
        <f>'PODLE §'!X282</f>
        <v>105000</v>
      </c>
      <c r="N41" s="903">
        <f>'PODLE §'!Y282</f>
        <v>0</v>
      </c>
      <c r="O41" s="903">
        <f>'PODLE §'!Z282</f>
        <v>0</v>
      </c>
      <c r="P41" s="906">
        <f>'PODLE §'!AA282</f>
        <v>559800</v>
      </c>
    </row>
    <row r="42" spans="1:16" ht="26.25" customHeight="1">
      <c r="A42" s="902" t="s">
        <v>490</v>
      </c>
      <c r="B42" s="903">
        <f>'PODLE §'!M286</f>
        <v>14475</v>
      </c>
      <c r="C42" s="904">
        <f>'PODLE §'!N286</f>
        <v>475</v>
      </c>
      <c r="D42" s="904">
        <f>'PODLE §'!O286</f>
        <v>14000</v>
      </c>
      <c r="E42" s="903">
        <f>'PODLE §'!P286</f>
        <v>0</v>
      </c>
      <c r="F42" s="903">
        <f>'PODLE §'!Q286</f>
        <v>0</v>
      </c>
      <c r="G42" s="905">
        <f>'PODLE §'!R286</f>
        <v>34000</v>
      </c>
      <c r="H42" s="903">
        <f>'PODLE §'!S286</f>
        <v>0</v>
      </c>
      <c r="I42" s="903">
        <f>'PODLE §'!T286</f>
        <v>0</v>
      </c>
      <c r="J42" s="905">
        <f>'PODLE §'!U286</f>
        <v>24000</v>
      </c>
      <c r="K42" s="903">
        <f>'PODLE §'!V286</f>
        <v>0</v>
      </c>
      <c r="L42" s="903">
        <f>'PODLE §'!W286</f>
        <v>0</v>
      </c>
      <c r="M42" s="905">
        <f>'PODLE §'!X286</f>
        <v>204000</v>
      </c>
      <c r="N42" s="903">
        <f>'PODLE §'!Y286</f>
        <v>0</v>
      </c>
      <c r="O42" s="903">
        <f>'PODLE §'!Z286</f>
        <v>0</v>
      </c>
      <c r="P42" s="906">
        <f>'PODLE §'!AA286</f>
        <v>0</v>
      </c>
    </row>
    <row r="43" spans="1:16" ht="19.5" customHeight="1">
      <c r="A43" s="902" t="s">
        <v>573</v>
      </c>
      <c r="B43" s="903">
        <f>'PODLE §'!M289</f>
        <v>5000</v>
      </c>
      <c r="C43" s="904">
        <f>'PODLE §'!N289</f>
        <v>0</v>
      </c>
      <c r="D43" s="904">
        <f>'PODLE §'!O289</f>
        <v>0</v>
      </c>
      <c r="E43" s="903">
        <f>'PODLE §'!P289</f>
        <v>0</v>
      </c>
      <c r="F43" s="903">
        <f>'PODLE §'!Q289</f>
        <v>5000</v>
      </c>
      <c r="G43" s="905">
        <f>'PODLE §'!R289</f>
        <v>10000</v>
      </c>
      <c r="H43" s="903">
        <f>'PODLE §'!S289</f>
        <v>0</v>
      </c>
      <c r="I43" s="903">
        <f>'PODLE §'!T289</f>
        <v>0</v>
      </c>
      <c r="J43" s="905">
        <f>'PODLE §'!U289</f>
        <v>15000</v>
      </c>
      <c r="K43" s="903">
        <f>'PODLE §'!V289</f>
        <v>0</v>
      </c>
      <c r="L43" s="903">
        <f>'PODLE §'!W289</f>
        <v>0</v>
      </c>
      <c r="M43" s="905">
        <f>'PODLE §'!X289</f>
        <v>0</v>
      </c>
      <c r="N43" s="903">
        <f>'PODLE §'!Y289</f>
        <v>0</v>
      </c>
      <c r="O43" s="903">
        <f>'PODLE §'!Z289</f>
        <v>0</v>
      </c>
      <c r="P43" s="906">
        <f>'PODLE §'!AA289</f>
        <v>0</v>
      </c>
    </row>
    <row r="44" spans="1:16" ht="19.5" customHeight="1">
      <c r="A44" s="902" t="s">
        <v>403</v>
      </c>
      <c r="B44" s="903">
        <f>'PODLE §'!M295</f>
        <v>43753</v>
      </c>
      <c r="C44" s="904">
        <f>'PODLE §'!N295</f>
        <v>12574</v>
      </c>
      <c r="D44" s="904">
        <f>'PODLE §'!O295</f>
        <v>30179</v>
      </c>
      <c r="E44" s="903">
        <f>'PODLE §'!P295</f>
        <v>0</v>
      </c>
      <c r="F44" s="903">
        <f>'PODLE §'!Q295</f>
        <v>1000</v>
      </c>
      <c r="G44" s="905">
        <f>'PODLE §'!R295</f>
        <v>10000</v>
      </c>
      <c r="H44" s="903">
        <f>'PODLE §'!S295</f>
        <v>0</v>
      </c>
      <c r="I44" s="903">
        <f>'PODLE §'!T295</f>
        <v>0</v>
      </c>
      <c r="J44" s="905">
        <f>'PODLE §'!U295</f>
        <v>25000</v>
      </c>
      <c r="K44" s="903">
        <f>'PODLE §'!V295</f>
        <v>0</v>
      </c>
      <c r="L44" s="903">
        <f>'PODLE §'!W295</f>
        <v>0</v>
      </c>
      <c r="M44" s="905">
        <f>'PODLE §'!X295</f>
        <v>31000</v>
      </c>
      <c r="N44" s="903">
        <f>'PODLE §'!Y295</f>
        <v>0</v>
      </c>
      <c r="O44" s="903">
        <f>'PODLE §'!Z295</f>
        <v>0</v>
      </c>
      <c r="P44" s="906">
        <f>'PODLE §'!AA295</f>
        <v>40000</v>
      </c>
    </row>
    <row r="45" spans="1:16" ht="19.5" customHeight="1">
      <c r="A45" s="913" t="s">
        <v>404</v>
      </c>
      <c r="B45" s="903">
        <f>'PODLE §'!M298</f>
        <v>0</v>
      </c>
      <c r="C45" s="904">
        <f>'PODLE §'!N298</f>
        <v>0</v>
      </c>
      <c r="D45" s="904">
        <f>'PODLE §'!O298</f>
        <v>0</v>
      </c>
      <c r="E45" s="903">
        <f>'PODLE §'!P298</f>
        <v>0</v>
      </c>
      <c r="F45" s="903">
        <f>'PODLE §'!Q298</f>
        <v>0</v>
      </c>
      <c r="G45" s="905">
        <f>'PODLE §'!R298</f>
        <v>3500</v>
      </c>
      <c r="H45" s="903">
        <f>'PODLE §'!S298</f>
        <v>0</v>
      </c>
      <c r="I45" s="903">
        <f>'PODLE §'!T298</f>
        <v>0</v>
      </c>
      <c r="J45" s="905">
        <f>'PODLE §'!U298</f>
        <v>6000</v>
      </c>
      <c r="K45" s="903">
        <f>'PODLE §'!V298</f>
        <v>0</v>
      </c>
      <c r="L45" s="903">
        <f>'PODLE §'!W298</f>
        <v>0</v>
      </c>
      <c r="M45" s="905">
        <f>'PODLE §'!X298</f>
        <v>0</v>
      </c>
      <c r="N45" s="903">
        <f>'PODLE §'!Y298</f>
        <v>0</v>
      </c>
      <c r="O45" s="903">
        <f>'PODLE §'!Z298</f>
        <v>0</v>
      </c>
      <c r="P45" s="906">
        <f>'PODLE §'!AA298</f>
        <v>0</v>
      </c>
    </row>
    <row r="46" spans="1:21" ht="19.5" customHeight="1">
      <c r="A46" s="913" t="s">
        <v>440</v>
      </c>
      <c r="B46" s="908">
        <f>'PODLE §'!M311</f>
        <v>25045</v>
      </c>
      <c r="C46" s="909">
        <f>'PODLE §'!N311</f>
        <v>1882</v>
      </c>
      <c r="D46" s="909">
        <f>'PODLE §'!O311</f>
        <v>18163</v>
      </c>
      <c r="E46" s="908">
        <f>'PODLE §'!P311</f>
        <v>0</v>
      </c>
      <c r="F46" s="908">
        <f>'PODLE §'!Q311</f>
        <v>5000</v>
      </c>
      <c r="G46" s="910">
        <f>'PODLE §'!R311</f>
        <v>61264</v>
      </c>
      <c r="H46" s="908">
        <f>'PODLE §'!S311</f>
        <v>0</v>
      </c>
      <c r="I46" s="908">
        <f>'PODLE §'!T311</f>
        <v>0</v>
      </c>
      <c r="J46" s="910">
        <f>'PODLE §'!U311</f>
        <v>57470</v>
      </c>
      <c r="K46" s="908">
        <f>'PODLE §'!V311</f>
        <v>0</v>
      </c>
      <c r="L46" s="908">
        <f>'PODLE §'!W311</f>
        <v>0</v>
      </c>
      <c r="M46" s="910">
        <f>'PODLE §'!X311</f>
        <v>25000</v>
      </c>
      <c r="N46" s="908">
        <f>'PODLE §'!Y311</f>
        <v>0</v>
      </c>
      <c r="O46" s="908">
        <f>'PODLE §'!Z311</f>
        <v>0</v>
      </c>
      <c r="P46" s="911">
        <f>'PODLE §'!AA311</f>
        <v>145382</v>
      </c>
      <c r="Q46" s="9"/>
      <c r="R46" s="9"/>
      <c r="S46" s="9"/>
      <c r="T46" s="9"/>
      <c r="U46" s="9"/>
    </row>
    <row r="47" spans="1:21" ht="19.5" customHeight="1" thickBot="1">
      <c r="A47" s="914" t="s">
        <v>628</v>
      </c>
      <c r="B47" s="908">
        <f>'PODLE §'!M314</f>
        <v>2260</v>
      </c>
      <c r="C47" s="909">
        <f>'PODLE §'!N314</f>
        <v>0</v>
      </c>
      <c r="D47" s="909">
        <f>'PODLE §'!O314</f>
        <v>2260</v>
      </c>
      <c r="E47" s="908">
        <f>'PODLE §'!P314</f>
        <v>0</v>
      </c>
      <c r="F47" s="908">
        <f>'PODLE §'!Q314</f>
        <v>0</v>
      </c>
      <c r="G47" s="910">
        <f>'PODLE §'!R314</f>
        <v>0</v>
      </c>
      <c r="H47" s="908">
        <f>'PODLE §'!S314</f>
        <v>0</v>
      </c>
      <c r="I47" s="908">
        <f>'PODLE §'!T314</f>
        <v>0</v>
      </c>
      <c r="J47" s="910">
        <f>'PODLE §'!U314</f>
        <v>0</v>
      </c>
      <c r="K47" s="908">
        <f>'PODLE §'!V314</f>
        <v>0</v>
      </c>
      <c r="L47" s="908">
        <f>'PODLE §'!W314</f>
        <v>0</v>
      </c>
      <c r="M47" s="910">
        <f>'PODLE §'!X314</f>
        <v>0</v>
      </c>
      <c r="N47" s="908">
        <f>'PODLE §'!Y314</f>
        <v>0</v>
      </c>
      <c r="O47" s="908">
        <f>'PODLE §'!Z314</f>
        <v>0</v>
      </c>
      <c r="P47" s="911">
        <f>'PODLE §'!AA314</f>
        <v>0</v>
      </c>
      <c r="Q47" s="9"/>
      <c r="R47" s="9"/>
      <c r="S47" s="9"/>
      <c r="T47" s="9"/>
      <c r="U47" s="9"/>
    </row>
    <row r="48" spans="1:16" ht="19.5" customHeight="1" thickBot="1">
      <c r="A48" s="200" t="s">
        <v>405</v>
      </c>
      <c r="B48" s="893">
        <f>SUM(B49:B51)</f>
        <v>168391</v>
      </c>
      <c r="C48" s="893">
        <f aca="true" t="shared" si="3" ref="C48:P48">SUM(C49:C51)</f>
        <v>37605</v>
      </c>
      <c r="D48" s="893">
        <f t="shared" si="3"/>
        <v>60786</v>
      </c>
      <c r="E48" s="893">
        <f t="shared" si="3"/>
        <v>70000</v>
      </c>
      <c r="F48" s="893">
        <f t="shared" si="3"/>
        <v>0</v>
      </c>
      <c r="G48" s="893">
        <f t="shared" si="3"/>
        <v>50903</v>
      </c>
      <c r="H48" s="893">
        <f t="shared" si="3"/>
        <v>2000</v>
      </c>
      <c r="I48" s="893">
        <f t="shared" si="3"/>
        <v>0</v>
      </c>
      <c r="J48" s="893">
        <f t="shared" si="3"/>
        <v>151000</v>
      </c>
      <c r="K48" s="893">
        <f t="shared" si="3"/>
        <v>60000</v>
      </c>
      <c r="L48" s="893">
        <f t="shared" si="3"/>
        <v>0</v>
      </c>
      <c r="M48" s="893">
        <f t="shared" si="3"/>
        <v>300000</v>
      </c>
      <c r="N48" s="893">
        <f t="shared" si="3"/>
        <v>0</v>
      </c>
      <c r="O48" s="893">
        <f t="shared" si="3"/>
        <v>0</v>
      </c>
      <c r="P48" s="894">
        <f t="shared" si="3"/>
        <v>200000</v>
      </c>
    </row>
    <row r="49" spans="1:16" ht="27" customHeight="1">
      <c r="A49" s="919" t="s">
        <v>420</v>
      </c>
      <c r="B49" s="898">
        <f>'PODLE §'!M336</f>
        <v>165462</v>
      </c>
      <c r="C49" s="899">
        <f>'PODLE §'!N336</f>
        <v>36676</v>
      </c>
      <c r="D49" s="899">
        <f>'PODLE §'!O336</f>
        <v>58786</v>
      </c>
      <c r="E49" s="898">
        <f>'PODLE §'!P336</f>
        <v>70000</v>
      </c>
      <c r="F49" s="898">
        <f>'PODLE §'!Q336</f>
        <v>0</v>
      </c>
      <c r="G49" s="900">
        <f>'PODLE §'!R336</f>
        <v>50903</v>
      </c>
      <c r="H49" s="898">
        <f>'PODLE §'!S336</f>
        <v>0</v>
      </c>
      <c r="I49" s="898">
        <f>'PODLE §'!T336</f>
        <v>0</v>
      </c>
      <c r="J49" s="900">
        <f>'PODLE §'!U336</f>
        <v>151000</v>
      </c>
      <c r="K49" s="898">
        <f>'PODLE §'!V336</f>
        <v>0</v>
      </c>
      <c r="L49" s="898">
        <f>'PODLE §'!W336</f>
        <v>0</v>
      </c>
      <c r="M49" s="900">
        <f>'PODLE §'!X336</f>
        <v>300000</v>
      </c>
      <c r="N49" s="898">
        <f>'PODLE §'!Y336</f>
        <v>0</v>
      </c>
      <c r="O49" s="898">
        <f>'PODLE §'!Z336</f>
        <v>0</v>
      </c>
      <c r="P49" s="901">
        <f>'PODLE §'!AA336</f>
        <v>200000</v>
      </c>
    </row>
    <row r="50" spans="1:16" ht="19.5" customHeight="1">
      <c r="A50" s="914" t="s">
        <v>494</v>
      </c>
      <c r="B50" s="903">
        <f>'PODLE §'!M339</f>
        <v>929</v>
      </c>
      <c r="C50" s="904">
        <f>'PODLE §'!N339</f>
        <v>929</v>
      </c>
      <c r="D50" s="904">
        <f>'PODLE §'!O339</f>
        <v>0</v>
      </c>
      <c r="E50" s="903">
        <f>'PODLE §'!P339</f>
        <v>0</v>
      </c>
      <c r="F50" s="903">
        <f>'PODLE §'!Q339</f>
        <v>0</v>
      </c>
      <c r="G50" s="905">
        <f>'PODLE §'!R339</f>
        <v>0</v>
      </c>
      <c r="H50" s="903">
        <f>'PODLE §'!S339</f>
        <v>2000</v>
      </c>
      <c r="I50" s="903">
        <f>'PODLE §'!T339</f>
        <v>0</v>
      </c>
      <c r="J50" s="905">
        <f>'PODLE §'!U339</f>
        <v>0</v>
      </c>
      <c r="K50" s="903">
        <f>'PODLE §'!V339</f>
        <v>60000</v>
      </c>
      <c r="L50" s="903">
        <f>'PODLE §'!W339</f>
        <v>0</v>
      </c>
      <c r="M50" s="905">
        <f>'PODLE §'!X339</f>
        <v>0</v>
      </c>
      <c r="N50" s="903">
        <f>'PODLE §'!Y339</f>
        <v>0</v>
      </c>
      <c r="O50" s="903">
        <f>'PODLE §'!Z339</f>
        <v>0</v>
      </c>
      <c r="P50" s="906">
        <f>'PODLE §'!AA339</f>
        <v>0</v>
      </c>
    </row>
    <row r="51" spans="1:16" ht="19.5" customHeight="1" thickBot="1">
      <c r="A51" s="913" t="s">
        <v>491</v>
      </c>
      <c r="B51" s="908">
        <f>'PODLE §'!M342</f>
        <v>2000</v>
      </c>
      <c r="C51" s="909">
        <f>'PODLE §'!N342</f>
        <v>0</v>
      </c>
      <c r="D51" s="909">
        <f>'PODLE §'!O342</f>
        <v>2000</v>
      </c>
      <c r="E51" s="908">
        <f>'PODLE §'!P342</f>
        <v>0</v>
      </c>
      <c r="F51" s="908">
        <f>'PODLE §'!Q342</f>
        <v>0</v>
      </c>
      <c r="G51" s="910">
        <f>'PODLE §'!R342</f>
        <v>0</v>
      </c>
      <c r="H51" s="908">
        <f>'PODLE §'!S342</f>
        <v>0</v>
      </c>
      <c r="I51" s="908">
        <f>'PODLE §'!T342</f>
        <v>0</v>
      </c>
      <c r="J51" s="910">
        <f>'PODLE §'!U342</f>
        <v>0</v>
      </c>
      <c r="K51" s="908">
        <f>'PODLE §'!V342</f>
        <v>0</v>
      </c>
      <c r="L51" s="908">
        <f>'PODLE §'!W342</f>
        <v>0</v>
      </c>
      <c r="M51" s="910">
        <f>'PODLE §'!X342</f>
        <v>0</v>
      </c>
      <c r="N51" s="908">
        <f>'PODLE §'!Y342</f>
        <v>0</v>
      </c>
      <c r="O51" s="908">
        <f>'PODLE §'!Z342</f>
        <v>0</v>
      </c>
      <c r="P51" s="911">
        <f>'PODLE §'!AA342</f>
        <v>0</v>
      </c>
    </row>
    <row r="52" spans="1:16" ht="19.5" customHeight="1" thickBot="1">
      <c r="A52" s="200" t="s">
        <v>406</v>
      </c>
      <c r="B52" s="893">
        <f aca="true" t="shared" si="4" ref="B52:P52">SUM(B53:B56)</f>
        <v>35086</v>
      </c>
      <c r="C52" s="893">
        <f t="shared" si="4"/>
        <v>19686</v>
      </c>
      <c r="D52" s="893">
        <f t="shared" si="4"/>
        <v>10675</v>
      </c>
      <c r="E52" s="893">
        <f t="shared" si="4"/>
        <v>650</v>
      </c>
      <c r="F52" s="893">
        <f t="shared" si="4"/>
        <v>4075</v>
      </c>
      <c r="G52" s="893">
        <f t="shared" si="4"/>
        <v>74200</v>
      </c>
      <c r="H52" s="893">
        <f t="shared" si="4"/>
        <v>30000</v>
      </c>
      <c r="I52" s="893">
        <f t="shared" si="4"/>
        <v>0</v>
      </c>
      <c r="J52" s="893">
        <f t="shared" si="4"/>
        <v>58186</v>
      </c>
      <c r="K52" s="893">
        <f t="shared" si="4"/>
        <v>83343</v>
      </c>
      <c r="L52" s="893">
        <f t="shared" si="4"/>
        <v>80000</v>
      </c>
      <c r="M52" s="893">
        <f t="shared" si="4"/>
        <v>76650</v>
      </c>
      <c r="N52" s="893">
        <f t="shared" si="4"/>
        <v>0</v>
      </c>
      <c r="O52" s="893">
        <f t="shared" si="4"/>
        <v>100000</v>
      </c>
      <c r="P52" s="894">
        <f t="shared" si="4"/>
        <v>110000</v>
      </c>
    </row>
    <row r="53" spans="1:16" ht="19.5" customHeight="1">
      <c r="A53" s="919" t="s">
        <v>493</v>
      </c>
      <c r="B53" s="898">
        <f>'PODLE §'!M346</f>
        <v>2292</v>
      </c>
      <c r="C53" s="899">
        <f>'PODLE §'!N346</f>
        <v>292</v>
      </c>
      <c r="D53" s="899">
        <f>'PODLE §'!O346</f>
        <v>2000</v>
      </c>
      <c r="E53" s="898">
        <f>'PODLE §'!P346</f>
        <v>0</v>
      </c>
      <c r="F53" s="898">
        <f>'PODLE §'!Q346</f>
        <v>0</v>
      </c>
      <c r="G53" s="900">
        <f>'PODLE §'!R346</f>
        <v>0</v>
      </c>
      <c r="H53" s="898">
        <f>'PODLE §'!S346</f>
        <v>0</v>
      </c>
      <c r="I53" s="898">
        <f>'PODLE §'!T346</f>
        <v>0</v>
      </c>
      <c r="J53" s="900">
        <f>'PODLE §'!U346</f>
        <v>0</v>
      </c>
      <c r="K53" s="898">
        <f>'PODLE §'!V346</f>
        <v>0</v>
      </c>
      <c r="L53" s="898">
        <f>'PODLE §'!W346</f>
        <v>0</v>
      </c>
      <c r="M53" s="900">
        <f>'PODLE §'!X346</f>
        <v>54950</v>
      </c>
      <c r="N53" s="898">
        <f>'PODLE §'!Y346</f>
        <v>0</v>
      </c>
      <c r="O53" s="898">
        <f>'PODLE §'!Z346</f>
        <v>0</v>
      </c>
      <c r="P53" s="901">
        <f>'PODLE §'!AA346</f>
        <v>50000</v>
      </c>
    </row>
    <row r="54" spans="1:16" ht="19.5" customHeight="1">
      <c r="A54" s="12" t="s">
        <v>407</v>
      </c>
      <c r="B54" s="898">
        <f>'PODLE §'!M350</f>
        <v>3260</v>
      </c>
      <c r="C54" s="899">
        <f>'PODLE §'!N350</f>
        <v>2610</v>
      </c>
      <c r="D54" s="899">
        <f>'PODLE §'!O350</f>
        <v>0</v>
      </c>
      <c r="E54" s="898">
        <f>'PODLE §'!P350</f>
        <v>650</v>
      </c>
      <c r="F54" s="898">
        <f>'PODLE §'!Q350</f>
        <v>0</v>
      </c>
      <c r="G54" s="900">
        <f>'PODLE §'!R350</f>
        <v>1200</v>
      </c>
      <c r="H54" s="898">
        <f>'PODLE §'!S350</f>
        <v>0</v>
      </c>
      <c r="I54" s="898">
        <f>'PODLE §'!T350</f>
        <v>0</v>
      </c>
      <c r="J54" s="900">
        <f>'PODLE §'!U350</f>
        <v>1200</v>
      </c>
      <c r="K54" s="898">
        <f>'PODLE §'!V350</f>
        <v>0</v>
      </c>
      <c r="L54" s="898">
        <f>'PODLE §'!W350</f>
        <v>0</v>
      </c>
      <c r="M54" s="900">
        <f>'PODLE §'!X350</f>
        <v>1200</v>
      </c>
      <c r="N54" s="898">
        <f>'PODLE §'!Y350</f>
        <v>0</v>
      </c>
      <c r="O54" s="898">
        <f>'PODLE §'!Z350</f>
        <v>0</v>
      </c>
      <c r="P54" s="901">
        <f>'PODLE §'!AA350</f>
        <v>0</v>
      </c>
    </row>
    <row r="55" spans="1:16" ht="19.5" customHeight="1">
      <c r="A55" s="920" t="s">
        <v>196</v>
      </c>
      <c r="B55" s="898">
        <f>'PODLE §'!M353</f>
        <v>0</v>
      </c>
      <c r="C55" s="899">
        <f>'PODLE §'!N353</f>
        <v>0</v>
      </c>
      <c r="D55" s="899">
        <f>'PODLE §'!O353</f>
        <v>0</v>
      </c>
      <c r="E55" s="898">
        <f>'PODLE §'!P353</f>
        <v>0</v>
      </c>
      <c r="F55" s="898">
        <f>'PODLE §'!Q353</f>
        <v>0</v>
      </c>
      <c r="G55" s="900">
        <f>'PODLE §'!R353</f>
        <v>16000</v>
      </c>
      <c r="H55" s="898">
        <f>'PODLE §'!S353</f>
        <v>0</v>
      </c>
      <c r="I55" s="898">
        <f>'PODLE §'!T353</f>
        <v>0</v>
      </c>
      <c r="J55" s="900">
        <f>'PODLE §'!U353</f>
        <v>0</v>
      </c>
      <c r="K55" s="898">
        <f>'PODLE §'!V353</f>
        <v>0</v>
      </c>
      <c r="L55" s="898">
        <f>'PODLE §'!W353</f>
        <v>0</v>
      </c>
      <c r="M55" s="900">
        <f>'PODLE §'!X353</f>
        <v>0</v>
      </c>
      <c r="N55" s="898">
        <f>'PODLE §'!Y353</f>
        <v>0</v>
      </c>
      <c r="O55" s="898">
        <f>'PODLE §'!Z353</f>
        <v>0</v>
      </c>
      <c r="P55" s="901">
        <f>'PODLE §'!AA353</f>
        <v>0</v>
      </c>
    </row>
    <row r="56" spans="1:16" ht="19.5" customHeight="1" thickBot="1">
      <c r="A56" s="902" t="s">
        <v>408</v>
      </c>
      <c r="B56" s="908">
        <f>'PODLE §'!M360</f>
        <v>29534</v>
      </c>
      <c r="C56" s="909">
        <f>'PODLE §'!N360</f>
        <v>16784</v>
      </c>
      <c r="D56" s="909">
        <f>'PODLE §'!O360</f>
        <v>8675</v>
      </c>
      <c r="E56" s="908">
        <f>'PODLE §'!P360</f>
        <v>0</v>
      </c>
      <c r="F56" s="908">
        <f>'PODLE §'!Q360</f>
        <v>4075</v>
      </c>
      <c r="G56" s="910">
        <f>'PODLE §'!R360</f>
        <v>57000</v>
      </c>
      <c r="H56" s="908">
        <f>'PODLE §'!S360</f>
        <v>30000</v>
      </c>
      <c r="I56" s="908">
        <f>'PODLE §'!T360</f>
        <v>0</v>
      </c>
      <c r="J56" s="910">
        <f>'PODLE §'!U360</f>
        <v>56986</v>
      </c>
      <c r="K56" s="908">
        <f>'PODLE §'!V360</f>
        <v>83343</v>
      </c>
      <c r="L56" s="908">
        <f>'PODLE §'!W360</f>
        <v>80000</v>
      </c>
      <c r="M56" s="910">
        <f>'PODLE §'!X360</f>
        <v>20500</v>
      </c>
      <c r="N56" s="908">
        <f>'PODLE §'!Y360</f>
        <v>0</v>
      </c>
      <c r="O56" s="908">
        <f>'PODLE §'!Z360</f>
        <v>100000</v>
      </c>
      <c r="P56" s="911">
        <f>'PODLE §'!AA360</f>
        <v>60000</v>
      </c>
    </row>
    <row r="57" spans="1:16" ht="19.5" customHeight="1" thickBot="1">
      <c r="A57" s="200" t="s">
        <v>409</v>
      </c>
      <c r="B57" s="893">
        <f aca="true" t="shared" si="5" ref="B57:P57">SUM(B58:B59)</f>
        <v>186299</v>
      </c>
      <c r="C57" s="893">
        <f t="shared" si="5"/>
        <v>32191</v>
      </c>
      <c r="D57" s="893">
        <f t="shared" si="5"/>
        <v>149678</v>
      </c>
      <c r="E57" s="893">
        <f t="shared" si="5"/>
        <v>0</v>
      </c>
      <c r="F57" s="893">
        <f t="shared" si="5"/>
        <v>4430</v>
      </c>
      <c r="G57" s="893">
        <f t="shared" si="5"/>
        <v>159560</v>
      </c>
      <c r="H57" s="893">
        <f t="shared" si="5"/>
        <v>0</v>
      </c>
      <c r="I57" s="893">
        <f t="shared" si="5"/>
        <v>0</v>
      </c>
      <c r="J57" s="893">
        <f t="shared" si="5"/>
        <v>345460</v>
      </c>
      <c r="K57" s="893">
        <f t="shared" si="5"/>
        <v>0</v>
      </c>
      <c r="L57" s="893">
        <f t="shared" si="5"/>
        <v>0</v>
      </c>
      <c r="M57" s="893">
        <f t="shared" si="5"/>
        <v>335960</v>
      </c>
      <c r="N57" s="893">
        <f t="shared" si="5"/>
        <v>0</v>
      </c>
      <c r="O57" s="893">
        <f t="shared" si="5"/>
        <v>0</v>
      </c>
      <c r="P57" s="894">
        <f t="shared" si="5"/>
        <v>618000</v>
      </c>
    </row>
    <row r="58" spans="1:16" ht="19.5" customHeight="1">
      <c r="A58" s="914" t="s">
        <v>410</v>
      </c>
      <c r="B58" s="898">
        <f>'PODLE §'!M378</f>
        <v>148307</v>
      </c>
      <c r="C58" s="899">
        <f>'PODLE §'!N378</f>
        <v>32191</v>
      </c>
      <c r="D58" s="899">
        <f>'PODLE §'!O378</f>
        <v>111686</v>
      </c>
      <c r="E58" s="898">
        <f>'PODLE §'!P378</f>
        <v>0</v>
      </c>
      <c r="F58" s="898">
        <f>'PODLE §'!Q378</f>
        <v>4430</v>
      </c>
      <c r="G58" s="900">
        <f>'PODLE §'!R378</f>
        <v>69560</v>
      </c>
      <c r="H58" s="898">
        <f>'PODLE §'!S378</f>
        <v>0</v>
      </c>
      <c r="I58" s="898">
        <f>'PODLE §'!T378</f>
        <v>0</v>
      </c>
      <c r="J58" s="900">
        <f>'PODLE §'!U378</f>
        <v>255460</v>
      </c>
      <c r="K58" s="898">
        <f>'PODLE §'!V378</f>
        <v>0</v>
      </c>
      <c r="L58" s="898">
        <f>'PODLE §'!W378</f>
        <v>0</v>
      </c>
      <c r="M58" s="900">
        <f>'PODLE §'!X378</f>
        <v>245960</v>
      </c>
      <c r="N58" s="898">
        <f>'PODLE §'!Y378</f>
        <v>0</v>
      </c>
      <c r="O58" s="898">
        <f>'PODLE §'!Z378</f>
        <v>0</v>
      </c>
      <c r="P58" s="901">
        <f>'PODLE §'!AA378</f>
        <v>618000</v>
      </c>
    </row>
    <row r="59" spans="1:16" ht="19.5" customHeight="1" thickBot="1">
      <c r="A59" s="902" t="s">
        <v>411</v>
      </c>
      <c r="B59" s="921">
        <f>'PODLE §'!M382</f>
        <v>37992</v>
      </c>
      <c r="C59" s="922">
        <f>'PODLE §'!N382</f>
        <v>0</v>
      </c>
      <c r="D59" s="922">
        <f>'PODLE §'!O382</f>
        <v>37992</v>
      </c>
      <c r="E59" s="921">
        <f>'PODLE §'!P382</f>
        <v>0</v>
      </c>
      <c r="F59" s="921">
        <f>'PODLE §'!Q382</f>
        <v>0</v>
      </c>
      <c r="G59" s="923">
        <f>'PODLE §'!R382</f>
        <v>90000</v>
      </c>
      <c r="H59" s="921">
        <f>'PODLE §'!S382</f>
        <v>0</v>
      </c>
      <c r="I59" s="921">
        <f>'PODLE §'!T382</f>
        <v>0</v>
      </c>
      <c r="J59" s="923">
        <f>'PODLE §'!U382</f>
        <v>90000</v>
      </c>
      <c r="K59" s="921">
        <f>'PODLE §'!V382</f>
        <v>0</v>
      </c>
      <c r="L59" s="921">
        <f>'PODLE §'!W382</f>
        <v>0</v>
      </c>
      <c r="M59" s="923">
        <f>'PODLE §'!X382</f>
        <v>90000</v>
      </c>
      <c r="N59" s="921">
        <f>'PODLE §'!Y382</f>
        <v>0</v>
      </c>
      <c r="O59" s="921">
        <f>'PODLE §'!Z382</f>
        <v>0</v>
      </c>
      <c r="P59" s="924">
        <f>'PODLE §'!AA382</f>
        <v>0</v>
      </c>
    </row>
    <row r="60" spans="1:16" ht="19.5" customHeight="1" thickBot="1">
      <c r="A60" s="925" t="s">
        <v>412</v>
      </c>
      <c r="B60" s="893">
        <f aca="true" t="shared" si="6" ref="B60:P60">B10+B18+B48+B52+B57+B7</f>
        <v>2643785</v>
      </c>
      <c r="C60" s="893">
        <f t="shared" si="6"/>
        <v>1286722</v>
      </c>
      <c r="D60" s="893">
        <f t="shared" si="6"/>
        <v>958119</v>
      </c>
      <c r="E60" s="893">
        <f t="shared" si="6"/>
        <v>247875</v>
      </c>
      <c r="F60" s="893">
        <f t="shared" si="6"/>
        <v>151069</v>
      </c>
      <c r="G60" s="893">
        <f t="shared" si="6"/>
        <v>2616725</v>
      </c>
      <c r="H60" s="893">
        <f t="shared" si="6"/>
        <v>271150</v>
      </c>
      <c r="I60" s="893">
        <f t="shared" si="6"/>
        <v>278454</v>
      </c>
      <c r="J60" s="893">
        <f t="shared" si="6"/>
        <v>2946902</v>
      </c>
      <c r="K60" s="893">
        <f t="shared" si="6"/>
        <v>1773738</v>
      </c>
      <c r="L60" s="893">
        <f t="shared" si="6"/>
        <v>207380</v>
      </c>
      <c r="M60" s="893">
        <f t="shared" si="6"/>
        <v>3096561</v>
      </c>
      <c r="N60" s="893">
        <f t="shared" si="6"/>
        <v>3539636</v>
      </c>
      <c r="O60" s="893">
        <f t="shared" si="6"/>
        <v>119200</v>
      </c>
      <c r="P60" s="894">
        <f t="shared" si="6"/>
        <v>4941913</v>
      </c>
    </row>
    <row r="61" spans="1:16" ht="19.5" customHeight="1">
      <c r="A61" s="926"/>
      <c r="B61" s="321"/>
      <c r="C61" s="321"/>
      <c r="D61" s="321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1389"/>
    </row>
    <row r="62" spans="1:16" s="9" customFormat="1" ht="19.5" customHeight="1" thickBot="1">
      <c r="A62" s="927"/>
      <c r="B62" s="321"/>
      <c r="C62" s="321"/>
      <c r="D62" s="321"/>
      <c r="E62" s="1348"/>
      <c r="F62" s="321"/>
      <c r="G62" s="1319"/>
      <c r="H62" s="321"/>
      <c r="I62" s="321"/>
      <c r="J62" s="321"/>
      <c r="K62" s="321"/>
      <c r="L62" s="321"/>
      <c r="M62" s="321"/>
      <c r="N62" s="321"/>
      <c r="O62" s="321"/>
      <c r="P62" s="321"/>
    </row>
    <row r="63" spans="1:16" ht="19.5" customHeight="1">
      <c r="A63" s="1349" t="s">
        <v>632</v>
      </c>
      <c r="B63" s="930">
        <f>'Příloha B - Pitná voda'!L37</f>
        <v>106512</v>
      </c>
      <c r="C63" s="931">
        <f>'Příloha B - Pitná voda'!M37</f>
        <v>42352</v>
      </c>
      <c r="D63" s="931">
        <f>'Příloha B - Pitná voda'!N37</f>
        <v>64160</v>
      </c>
      <c r="E63" s="930">
        <f>'Příloha B - Pitná voda'!O37</f>
        <v>0</v>
      </c>
      <c r="F63" s="930">
        <f>'Příloha B - Pitná voda'!P37</f>
        <v>0</v>
      </c>
      <c r="G63" s="932">
        <f>'Příloha B - Pitná voda'!Q37</f>
        <v>69604</v>
      </c>
      <c r="H63" s="930">
        <f>'Příloha B - Pitná voda'!R37</f>
        <v>0</v>
      </c>
      <c r="I63" s="930">
        <f>'Příloha B - Pitná voda'!S37</f>
        <v>0</v>
      </c>
      <c r="J63" s="932">
        <f>'Příloha B - Pitná voda'!T37</f>
        <v>69470</v>
      </c>
      <c r="K63" s="930">
        <f>'Příloha B - Pitná voda'!U37</f>
        <v>0</v>
      </c>
      <c r="L63" s="930">
        <f>'Příloha B - Pitná voda'!V37</f>
        <v>0</v>
      </c>
      <c r="M63" s="932">
        <f>'Příloha B - Pitná voda'!W37</f>
        <v>77000</v>
      </c>
      <c r="N63" s="930">
        <f>'Příloha B - Pitná voda'!X37</f>
        <v>0</v>
      </c>
      <c r="O63" s="930">
        <f>'Příloha B - Pitná voda'!Y37</f>
        <v>0</v>
      </c>
      <c r="P63" s="933">
        <f>'Příloha B - Pitná voda'!Z37</f>
        <v>210000</v>
      </c>
    </row>
    <row r="64" spans="1:16" ht="27" customHeight="1" thickBot="1">
      <c r="A64" s="1350" t="s">
        <v>633</v>
      </c>
      <c r="B64" s="934">
        <f>'Příloha C - kanalizace'!L75</f>
        <v>543565</v>
      </c>
      <c r="C64" s="935">
        <f>'Příloha C - kanalizace'!M75</f>
        <v>200669</v>
      </c>
      <c r="D64" s="935">
        <f>'Příloha C - kanalizace'!N75</f>
        <v>295200</v>
      </c>
      <c r="E64" s="934">
        <f>'Příloha C - kanalizace'!O75</f>
        <v>47696</v>
      </c>
      <c r="F64" s="934">
        <f>'Příloha C - kanalizace'!P75</f>
        <v>0</v>
      </c>
      <c r="G64" s="936">
        <f>'Příloha C - kanalizace'!Q75</f>
        <v>409321</v>
      </c>
      <c r="H64" s="934">
        <f>'Příloha C - kanalizace'!R75</f>
        <v>31424</v>
      </c>
      <c r="I64" s="934">
        <f>'Příloha C - kanalizace'!S75</f>
        <v>0</v>
      </c>
      <c r="J64" s="936">
        <f>'Příloha C - kanalizace'!T75</f>
        <v>415783</v>
      </c>
      <c r="K64" s="934">
        <f>'Příloha C - kanalizace'!U75</f>
        <v>31000</v>
      </c>
      <c r="L64" s="934">
        <f>'Příloha C - kanalizace'!V75</f>
        <v>0</v>
      </c>
      <c r="M64" s="936">
        <f>'Příloha C - kanalizace'!W75</f>
        <v>410278</v>
      </c>
      <c r="N64" s="934">
        <f>'Příloha C - kanalizace'!X75</f>
        <v>31000</v>
      </c>
      <c r="O64" s="934">
        <f>'Příloha C - kanalizace'!Y75</f>
        <v>0</v>
      </c>
      <c r="P64" s="937">
        <f>'Příloha C - kanalizace'!Z75</f>
        <v>411655</v>
      </c>
    </row>
    <row r="65" spans="1:16" s="2" customFormat="1" ht="19.5" customHeight="1" thickBot="1">
      <c r="A65" s="925" t="s">
        <v>413</v>
      </c>
      <c r="B65" s="939">
        <f>B60+B63+B64</f>
        <v>3293862</v>
      </c>
      <c r="C65" s="939">
        <f>C60+C63+C64</f>
        <v>1529743</v>
      </c>
      <c r="D65" s="939">
        <f>D60+D63+D64+D62</f>
        <v>1317479</v>
      </c>
      <c r="E65" s="939">
        <f aca="true" t="shared" si="7" ref="E65:P65">E60+E63+E64</f>
        <v>295571</v>
      </c>
      <c r="F65" s="939">
        <f t="shared" si="7"/>
        <v>151069</v>
      </c>
      <c r="G65" s="939">
        <f t="shared" si="7"/>
        <v>3095650</v>
      </c>
      <c r="H65" s="939">
        <f t="shared" si="7"/>
        <v>302574</v>
      </c>
      <c r="I65" s="939">
        <f t="shared" si="7"/>
        <v>278454</v>
      </c>
      <c r="J65" s="939">
        <f t="shared" si="7"/>
        <v>3432155</v>
      </c>
      <c r="K65" s="939">
        <f t="shared" si="7"/>
        <v>1804738</v>
      </c>
      <c r="L65" s="939">
        <f t="shared" si="7"/>
        <v>207380</v>
      </c>
      <c r="M65" s="939">
        <f t="shared" si="7"/>
        <v>3583839</v>
      </c>
      <c r="N65" s="939">
        <f t="shared" si="7"/>
        <v>3570636</v>
      </c>
      <c r="O65" s="939">
        <f t="shared" si="7"/>
        <v>119200</v>
      </c>
      <c r="P65" s="939">
        <f t="shared" si="7"/>
        <v>5563568</v>
      </c>
    </row>
    <row r="66" spans="1:16" s="3" customFormat="1" ht="16.5" customHeight="1">
      <c r="A66" s="940"/>
      <c r="B66" s="941"/>
      <c r="C66" s="942"/>
      <c r="D66" s="943"/>
      <c r="E66" s="944"/>
      <c r="F66" s="321"/>
      <c r="G66" s="321"/>
      <c r="H66" s="944"/>
      <c r="I66" s="944"/>
      <c r="J66" s="944"/>
      <c r="K66" s="945"/>
      <c r="L66" s="944"/>
      <c r="M66" s="945"/>
      <c r="N66" s="945"/>
      <c r="O66" s="945"/>
      <c r="P66" s="945"/>
    </row>
    <row r="67" spans="1:16" s="3" customFormat="1" ht="16.5" customHeight="1">
      <c r="A67" s="940"/>
      <c r="B67" s="941"/>
      <c r="C67" s="942"/>
      <c r="D67" s="943"/>
      <c r="E67" s="944"/>
      <c r="F67" s="928">
        <f>'PODLE §'!Q198+'PODLE §'!Q199+'PODLE §'!Q200+'PODLE §'!Q201+'PODLE §'!Q202+'PODLE §'!Q203+'PODLE §'!Q204+'PODLE §'!Q205+'PODLE §'!Q206+'PODLE §'!Q207+'PODLE §'!Q208+'PODLE §'!Q209+'PODLE §'!Q212+'PODLE §'!Q213</f>
        <v>26944</v>
      </c>
      <c r="G67" s="929" t="s">
        <v>502</v>
      </c>
      <c r="H67" s="321"/>
      <c r="I67" s="944"/>
      <c r="J67" s="944"/>
      <c r="K67" s="928"/>
      <c r="L67" s="944"/>
      <c r="M67" s="945"/>
      <c r="N67" s="945"/>
      <c r="O67" s="945"/>
      <c r="P67" s="945"/>
    </row>
    <row r="68" spans="1:16" s="3" customFormat="1" ht="16.5" customHeight="1">
      <c r="A68" s="940"/>
      <c r="B68" s="941"/>
      <c r="C68" s="942"/>
      <c r="D68" s="943"/>
      <c r="E68" s="944"/>
      <c r="F68" s="927">
        <f>'PODLE §'!Q150+'PODLE §'!Q159+'PODLE §'!Q358+'PODLE §'!Q373</f>
        <v>13205</v>
      </c>
      <c r="G68" s="929" t="s">
        <v>503</v>
      </c>
      <c r="H68" s="321"/>
      <c r="I68" s="944"/>
      <c r="J68" s="927"/>
      <c r="K68" s="945"/>
      <c r="L68" s="944"/>
      <c r="M68" s="945"/>
      <c r="N68" s="945"/>
      <c r="O68" s="945"/>
      <c r="P68" s="945"/>
    </row>
    <row r="69" spans="1:16" s="3" customFormat="1" ht="16.5" customHeight="1">
      <c r="A69" s="940"/>
      <c r="B69" s="941"/>
      <c r="C69" s="942"/>
      <c r="D69" s="943"/>
      <c r="E69" s="944"/>
      <c r="F69" s="1320">
        <f>F65-F67-F68</f>
        <v>110920</v>
      </c>
      <c r="G69" s="929" t="s">
        <v>612</v>
      </c>
      <c r="H69" s="321"/>
      <c r="I69" s="944"/>
      <c r="J69" s="944"/>
      <c r="K69" s="945"/>
      <c r="L69" s="944"/>
      <c r="M69" s="945"/>
      <c r="N69" s="945"/>
      <c r="O69" s="945"/>
      <c r="P69" s="945"/>
    </row>
    <row r="70" spans="1:16" s="3" customFormat="1" ht="24.75" customHeight="1" thickBot="1">
      <c r="A70" s="946" t="s">
        <v>605</v>
      </c>
      <c r="B70" s="947"/>
      <c r="C70" s="948"/>
      <c r="D70" s="949"/>
      <c r="E70" s="945"/>
      <c r="F70" s="945"/>
      <c r="G70" s="945"/>
      <c r="H70" s="945"/>
      <c r="I70" s="945"/>
      <c r="J70" s="945"/>
      <c r="K70" s="1432"/>
      <c r="L70" s="1433"/>
      <c r="M70" s="1339"/>
      <c r="N70" s="1339"/>
      <c r="O70" s="1339"/>
      <c r="P70" s="1339"/>
    </row>
    <row r="71" spans="1:16" s="3" customFormat="1" ht="22.5" customHeight="1">
      <c r="A71" s="1458" t="s">
        <v>414</v>
      </c>
      <c r="B71" s="1459"/>
      <c r="C71" s="1459"/>
      <c r="D71" s="1459"/>
      <c r="E71" s="1459"/>
      <c r="F71" s="1459"/>
      <c r="G71" s="1460"/>
      <c r="H71" s="1487">
        <f>D60</f>
        <v>958119</v>
      </c>
      <c r="I71" s="1488"/>
      <c r="J71" s="1489"/>
      <c r="K71" s="1367"/>
      <c r="L71" s="1370"/>
      <c r="M71" s="1370"/>
      <c r="N71" s="253"/>
      <c r="O71" s="1421"/>
      <c r="P71" s="1421"/>
    </row>
    <row r="72" spans="1:16" s="3" customFormat="1" ht="22.5" customHeight="1">
      <c r="A72" s="1461" t="s">
        <v>632</v>
      </c>
      <c r="B72" s="1462"/>
      <c r="C72" s="1462"/>
      <c r="D72" s="1462"/>
      <c r="E72" s="1462"/>
      <c r="F72" s="1462"/>
      <c r="G72" s="1462"/>
      <c r="H72" s="1484">
        <f>D63</f>
        <v>64160</v>
      </c>
      <c r="I72" s="1485"/>
      <c r="J72" s="1486"/>
      <c r="K72" s="938"/>
      <c r="L72" s="875"/>
      <c r="M72" s="1258"/>
      <c r="N72" s="253"/>
      <c r="O72" s="1421"/>
      <c r="P72" s="1422"/>
    </row>
    <row r="73" spans="1:16" s="3" customFormat="1" ht="22.5" customHeight="1">
      <c r="A73" s="1463" t="s">
        <v>633</v>
      </c>
      <c r="B73" s="1464"/>
      <c r="C73" s="1464"/>
      <c r="D73" s="1464"/>
      <c r="E73" s="1464"/>
      <c r="F73" s="1464"/>
      <c r="G73" s="1465"/>
      <c r="H73" s="1481">
        <f>D64</f>
        <v>295200</v>
      </c>
      <c r="I73" s="1482"/>
      <c r="J73" s="1483"/>
      <c r="K73" s="938"/>
      <c r="L73" s="1258"/>
      <c r="M73" s="1258"/>
      <c r="N73" s="253"/>
      <c r="O73" s="1421"/>
      <c r="P73" s="1422"/>
    </row>
    <row r="74" spans="1:16" s="3" customFormat="1" ht="22.5" customHeight="1">
      <c r="A74" s="1466" t="s">
        <v>606</v>
      </c>
      <c r="B74" s="1467"/>
      <c r="C74" s="1467"/>
      <c r="D74" s="1467"/>
      <c r="E74" s="1467"/>
      <c r="F74" s="1467"/>
      <c r="G74" s="1468"/>
      <c r="H74" s="1478">
        <f>C65</f>
        <v>1529743</v>
      </c>
      <c r="I74" s="1479"/>
      <c r="J74" s="1480"/>
      <c r="K74" s="938"/>
      <c r="L74" s="1370"/>
      <c r="M74" s="1258"/>
      <c r="N74" s="938"/>
      <c r="O74" s="1421"/>
      <c r="P74" s="1422"/>
    </row>
    <row r="75" spans="1:16" s="3" customFormat="1" ht="22.5" customHeight="1">
      <c r="A75" s="1469" t="s">
        <v>578</v>
      </c>
      <c r="B75" s="1470"/>
      <c r="C75" s="1470"/>
      <c r="D75" s="1470"/>
      <c r="E75" s="1470"/>
      <c r="F75" s="1470"/>
      <c r="G75" s="1471"/>
      <c r="H75" s="1496">
        <f>H74-H76-H77-H78-H79-H80-H81-H82-H83-H84-H85</f>
        <v>583005</v>
      </c>
      <c r="I75" s="1497"/>
      <c r="J75" s="1498"/>
      <c r="K75" s="952"/>
      <c r="L75" s="951"/>
      <c r="M75" s="950"/>
      <c r="N75" s="1368"/>
      <c r="O75" s="1421"/>
      <c r="P75" s="1422"/>
    </row>
    <row r="76" spans="1:16" s="3" customFormat="1" ht="22.5" customHeight="1">
      <c r="A76" s="1469" t="s">
        <v>609</v>
      </c>
      <c r="B76" s="1470"/>
      <c r="C76" s="1470"/>
      <c r="D76" s="1470"/>
      <c r="E76" s="1470"/>
      <c r="F76" s="1470"/>
      <c r="G76" s="1471"/>
      <c r="H76" s="1496">
        <f>'PODLE §'!N310</f>
        <v>0</v>
      </c>
      <c r="I76" s="1497"/>
      <c r="J76" s="1498"/>
      <c r="K76" s="952"/>
      <c r="L76" s="951"/>
      <c r="M76" s="950"/>
      <c r="N76" s="1368"/>
      <c r="O76" s="1421"/>
      <c r="P76" s="1421"/>
    </row>
    <row r="77" spans="1:16" s="3" customFormat="1" ht="22.5" customHeight="1">
      <c r="A77" s="1469" t="s">
        <v>582</v>
      </c>
      <c r="B77" s="1470"/>
      <c r="C77" s="1470"/>
      <c r="D77" s="1470"/>
      <c r="E77" s="1470"/>
      <c r="F77" s="1470"/>
      <c r="G77" s="1471"/>
      <c r="H77" s="1496">
        <f>'PODLE §'!N182</f>
        <v>1967</v>
      </c>
      <c r="I77" s="1497"/>
      <c r="J77" s="1498"/>
      <c r="K77" s="952"/>
      <c r="L77" s="951"/>
      <c r="M77" s="951"/>
      <c r="N77" s="952"/>
      <c r="O77" s="1454"/>
      <c r="P77" s="1455"/>
    </row>
    <row r="78" spans="1:16" s="3" customFormat="1" ht="22.5" customHeight="1">
      <c r="A78" s="1469" t="s">
        <v>610</v>
      </c>
      <c r="B78" s="1470"/>
      <c r="C78" s="1470"/>
      <c r="D78" s="1470"/>
      <c r="E78" s="1470"/>
      <c r="F78" s="1470"/>
      <c r="G78" s="1471"/>
      <c r="H78" s="1496">
        <f>'PODLE §'!N373+'PODLE §'!N374+'PODLE §'!N349</f>
        <v>9155</v>
      </c>
      <c r="I78" s="1497"/>
      <c r="J78" s="1498"/>
      <c r="K78" s="1420"/>
      <c r="L78" s="1420"/>
      <c r="M78" s="1420"/>
      <c r="N78" s="952"/>
      <c r="O78" s="951"/>
      <c r="P78" s="951"/>
    </row>
    <row r="79" spans="1:16" s="3" customFormat="1" ht="22.5" customHeight="1">
      <c r="A79" s="1469" t="s">
        <v>600</v>
      </c>
      <c r="B79" s="1470"/>
      <c r="C79" s="1470"/>
      <c r="D79" s="1470"/>
      <c r="E79" s="1470"/>
      <c r="F79" s="1470"/>
      <c r="G79" s="1471"/>
      <c r="H79" s="1496">
        <f>'PODLE §'!N278</f>
        <v>2209</v>
      </c>
      <c r="I79" s="1497"/>
      <c r="J79" s="1498"/>
      <c r="K79" s="1290"/>
      <c r="L79" s="1258"/>
      <c r="M79" s="950"/>
      <c r="N79" s="1369"/>
      <c r="O79" s="1456"/>
      <c r="P79" s="1456"/>
    </row>
    <row r="80" spans="1:16" s="3" customFormat="1" ht="22.5" customHeight="1">
      <c r="A80" s="1469" t="s">
        <v>619</v>
      </c>
      <c r="B80" s="1470"/>
      <c r="C80" s="1470"/>
      <c r="D80" s="1470"/>
      <c r="E80" s="1470"/>
      <c r="F80" s="1470"/>
      <c r="G80" s="1471"/>
      <c r="H80" s="1496">
        <f>'PODLE §'!N279</f>
        <v>120000</v>
      </c>
      <c r="I80" s="1497"/>
      <c r="J80" s="1498"/>
      <c r="K80" s="1290"/>
      <c r="L80" s="1340"/>
      <c r="M80" s="1340"/>
      <c r="N80" s="1341"/>
      <c r="O80" s="1457"/>
      <c r="P80" s="1457"/>
    </row>
    <row r="81" spans="1:16" s="3" customFormat="1" ht="22.5" customHeight="1">
      <c r="A81" s="1469" t="s">
        <v>603</v>
      </c>
      <c r="B81" s="1470"/>
      <c r="C81" s="1470"/>
      <c r="D81" s="1470"/>
      <c r="E81" s="1470"/>
      <c r="F81" s="1470"/>
      <c r="G81" s="1471"/>
      <c r="H81" s="1496">
        <f>'PODLE §'!N145</f>
        <v>12500</v>
      </c>
      <c r="I81" s="1497"/>
      <c r="J81" s="1498"/>
      <c r="K81" s="1290"/>
      <c r="L81" s="1341"/>
      <c r="M81" s="1341"/>
      <c r="N81" s="952"/>
      <c r="O81" s="951"/>
      <c r="P81" s="951"/>
    </row>
    <row r="82" spans="1:16" s="3" customFormat="1" ht="22.5" customHeight="1">
      <c r="A82" s="1469" t="s">
        <v>611</v>
      </c>
      <c r="B82" s="1470"/>
      <c r="C82" s="1470"/>
      <c r="D82" s="1470"/>
      <c r="E82" s="1470"/>
      <c r="F82" s="1470"/>
      <c r="G82" s="1471"/>
      <c r="H82" s="1496">
        <f>'PODLE §'!N156</f>
        <v>3032</v>
      </c>
      <c r="I82" s="1497"/>
      <c r="J82" s="1498"/>
      <c r="K82" s="1290"/>
      <c r="L82" s="1258"/>
      <c r="M82" s="950"/>
      <c r="N82" s="952"/>
      <c r="O82" s="951"/>
      <c r="P82" s="950"/>
    </row>
    <row r="83" spans="1:16" s="3" customFormat="1" ht="22.5" customHeight="1">
      <c r="A83" s="1475" t="s">
        <v>579</v>
      </c>
      <c r="B83" s="1476"/>
      <c r="C83" s="1476"/>
      <c r="D83" s="1476"/>
      <c r="E83" s="1476"/>
      <c r="F83" s="1476"/>
      <c r="G83" s="1477"/>
      <c r="H83" s="1493">
        <f>'PODLE §'!N155</f>
        <v>200000</v>
      </c>
      <c r="I83" s="1494"/>
      <c r="J83" s="1495"/>
      <c r="K83" s="1259"/>
      <c r="L83" s="951"/>
      <c r="M83" s="950"/>
      <c r="N83" s="952"/>
      <c r="O83" s="951"/>
      <c r="P83" s="950"/>
    </row>
    <row r="84" spans="1:16" s="3" customFormat="1" ht="22.5" customHeight="1">
      <c r="A84" s="1472" t="s">
        <v>581</v>
      </c>
      <c r="B84" s="1473"/>
      <c r="C84" s="1473"/>
      <c r="D84" s="1473"/>
      <c r="E84" s="1473"/>
      <c r="F84" s="1473"/>
      <c r="G84" s="1474"/>
      <c r="H84" s="1490">
        <f>'PODLE §'!N220</f>
        <v>467875</v>
      </c>
      <c r="I84" s="1491"/>
      <c r="J84" s="1492"/>
      <c r="K84" s="1259"/>
      <c r="L84" s="951"/>
      <c r="M84" s="950"/>
      <c r="N84" s="952"/>
      <c r="O84" s="951"/>
      <c r="P84" s="950"/>
    </row>
    <row r="85" spans="1:16" s="3" customFormat="1" ht="22.5" customHeight="1">
      <c r="A85" s="1472" t="s">
        <v>580</v>
      </c>
      <c r="B85" s="1473"/>
      <c r="C85" s="1473"/>
      <c r="D85" s="1473"/>
      <c r="E85" s="1473"/>
      <c r="F85" s="1473"/>
      <c r="G85" s="1474"/>
      <c r="H85" s="1490">
        <f>+'PODLE §'!N199+'PODLE §'!N200+'PODLE §'!N201+'PODLE §'!N202+'PODLE §'!N203+'PODLE §'!N204+'PODLE §'!N205+'PODLE §'!N206+'PODLE §'!N207+'PODLE §'!N208+'PODLE §'!N209+'PODLE §'!N212+'PODLE §'!N213</f>
        <v>130000</v>
      </c>
      <c r="I85" s="1491"/>
      <c r="J85" s="1492"/>
      <c r="K85" s="1259"/>
      <c r="L85" s="951"/>
      <c r="M85" s="950"/>
      <c r="N85" s="938"/>
      <c r="O85" s="951"/>
      <c r="P85" s="950"/>
    </row>
    <row r="86" spans="1:16" s="3" customFormat="1" ht="22.5" customHeight="1" thickBot="1">
      <c r="A86" s="1503" t="s">
        <v>415</v>
      </c>
      <c r="B86" s="1504"/>
      <c r="C86" s="1504"/>
      <c r="D86" s="1504"/>
      <c r="E86" s="1504"/>
      <c r="F86" s="1504"/>
      <c r="G86" s="1505"/>
      <c r="H86" s="1506">
        <f>H71+H72+H73+H74</f>
        <v>2847222</v>
      </c>
      <c r="I86" s="1507"/>
      <c r="J86" s="1508"/>
      <c r="K86" s="938"/>
      <c r="L86" s="1266"/>
      <c r="M86" s="875"/>
      <c r="N86" s="262"/>
      <c r="O86" s="1258"/>
      <c r="P86" s="875"/>
    </row>
    <row r="87" spans="1:16" ht="22.5" customHeight="1" thickBot="1">
      <c r="A87" s="245"/>
      <c r="B87" s="245"/>
      <c r="C87" s="245"/>
      <c r="D87" s="123"/>
      <c r="E87" s="123"/>
      <c r="F87" s="123"/>
      <c r="G87" s="261"/>
      <c r="H87" s="1267"/>
      <c r="I87" s="261"/>
      <c r="J87" s="938"/>
      <c r="K87" s="262"/>
      <c r="L87" s="261"/>
      <c r="M87" s="938"/>
      <c r="N87" s="1258"/>
      <c r="O87" s="875"/>
      <c r="P87" s="17"/>
    </row>
    <row r="88" spans="1:16" s="3" customFormat="1" ht="22.5" customHeight="1" thickBot="1">
      <c r="A88" s="1500" t="s">
        <v>435</v>
      </c>
      <c r="B88" s="1501"/>
      <c r="C88" s="1501"/>
      <c r="D88" s="1501"/>
      <c r="E88" s="1501"/>
      <c r="F88" s="1501"/>
      <c r="G88" s="1502"/>
      <c r="H88" s="1417">
        <f>D65</f>
        <v>1317479</v>
      </c>
      <c r="I88" s="1418"/>
      <c r="J88" s="1419"/>
      <c r="K88" s="953"/>
      <c r="L88" s="1266"/>
      <c r="M88" s="875"/>
      <c r="N88" s="938"/>
      <c r="O88" s="262"/>
      <c r="P88" s="261"/>
    </row>
  </sheetData>
  <sheetProtection/>
  <mergeCells count="60">
    <mergeCell ref="O1:P1"/>
    <mergeCell ref="A88:G88"/>
    <mergeCell ref="H81:J81"/>
    <mergeCell ref="H80:J80"/>
    <mergeCell ref="H79:J79"/>
    <mergeCell ref="H78:J78"/>
    <mergeCell ref="H77:J77"/>
    <mergeCell ref="A86:G86"/>
    <mergeCell ref="H86:J86"/>
    <mergeCell ref="A78:G78"/>
    <mergeCell ref="H74:J74"/>
    <mergeCell ref="H73:J73"/>
    <mergeCell ref="H72:J72"/>
    <mergeCell ref="H71:J71"/>
    <mergeCell ref="H85:J85"/>
    <mergeCell ref="H84:J84"/>
    <mergeCell ref="H83:J83"/>
    <mergeCell ref="H82:J82"/>
    <mergeCell ref="H75:J75"/>
    <mergeCell ref="H76:J76"/>
    <mergeCell ref="A76:G76"/>
    <mergeCell ref="A85:G85"/>
    <mergeCell ref="A83:G83"/>
    <mergeCell ref="A82:G82"/>
    <mergeCell ref="A81:G81"/>
    <mergeCell ref="A84:G84"/>
    <mergeCell ref="A77:G77"/>
    <mergeCell ref="O77:P77"/>
    <mergeCell ref="O79:P79"/>
    <mergeCell ref="O80:P80"/>
    <mergeCell ref="A71:G71"/>
    <mergeCell ref="A72:G72"/>
    <mergeCell ref="A73:G73"/>
    <mergeCell ref="A74:G74"/>
    <mergeCell ref="A75:G75"/>
    <mergeCell ref="A80:G80"/>
    <mergeCell ref="A79:G79"/>
    <mergeCell ref="A2:P2"/>
    <mergeCell ref="A3:P3"/>
    <mergeCell ref="A4:A6"/>
    <mergeCell ref="C4:F4"/>
    <mergeCell ref="G4:O4"/>
    <mergeCell ref="D5:D6"/>
    <mergeCell ref="B5:B6"/>
    <mergeCell ref="F5:F6"/>
    <mergeCell ref="C5:C6"/>
    <mergeCell ref="O71:P71"/>
    <mergeCell ref="P4:P6"/>
    <mergeCell ref="M5:O5"/>
    <mergeCell ref="E5:E6"/>
    <mergeCell ref="G5:I5"/>
    <mergeCell ref="J5:L5"/>
    <mergeCell ref="K70:L70"/>
    <mergeCell ref="H88:J88"/>
    <mergeCell ref="K78:M78"/>
    <mergeCell ref="O73:P73"/>
    <mergeCell ref="O74:P74"/>
    <mergeCell ref="O72:P72"/>
    <mergeCell ref="O75:P75"/>
    <mergeCell ref="O76:P76"/>
  </mergeCells>
  <printOptions/>
  <pageMargins left="0.7" right="0.7" top="0.75" bottom="0.75" header="0.3" footer="0.3"/>
  <pageSetup fitToHeight="0" horizontalDpi="600" verticalDpi="600" orientation="landscape" paperSize="9" scale="49" r:id="rId2"/>
  <rowBreaks count="1" manualBreakCount="1">
    <brk id="47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Q384"/>
  <sheetViews>
    <sheetView view="pageBreakPreview" zoomScale="110" zoomScaleSheetLayoutView="110" zoomScalePageLayoutView="80" workbookViewId="0" topLeftCell="D1">
      <selection activeCell="E381" sqref="E381"/>
    </sheetView>
  </sheetViews>
  <sheetFormatPr defaultColWidth="8.8515625" defaultRowHeight="12.75"/>
  <cols>
    <col min="1" max="1" width="7.00390625" style="170" hidden="1" customWidth="1"/>
    <col min="2" max="2" width="6.421875" style="245" hidden="1" customWidth="1"/>
    <col min="3" max="3" width="6.140625" style="245" hidden="1" customWidth="1"/>
    <col min="4" max="4" width="6.7109375" style="245" customWidth="1"/>
    <col min="5" max="5" width="46.7109375" style="245" customWidth="1"/>
    <col min="6" max="8" width="5.140625" style="245" customWidth="1"/>
    <col min="9" max="9" width="5.7109375" style="245" customWidth="1"/>
    <col min="10" max="10" width="14.28125" style="245" customWidth="1"/>
    <col min="11" max="12" width="10.7109375" style="268" customWidth="1"/>
    <col min="13" max="13" width="12.57421875" style="245" customWidth="1"/>
    <col min="14" max="14" width="10.7109375" style="245" customWidth="1"/>
    <col min="15" max="15" width="12.57421875" style="245" customWidth="1"/>
    <col min="16" max="16" width="11.00390625" style="268" customWidth="1"/>
    <col min="17" max="17" width="13.28125" style="268" customWidth="1"/>
    <col min="18" max="18" width="12.57421875" style="245" customWidth="1"/>
    <col min="19" max="19" width="13.140625" style="268" customWidth="1"/>
    <col min="20" max="20" width="10.7109375" style="268" customWidth="1"/>
    <col min="21" max="21" width="14.28125" style="268" customWidth="1"/>
    <col min="22" max="22" width="11.57421875" style="268" customWidth="1"/>
    <col min="23" max="23" width="10.57421875" style="268" customWidth="1"/>
    <col min="24" max="24" width="12.7109375" style="268" customWidth="1"/>
    <col min="25" max="25" width="12.00390625" style="268" customWidth="1"/>
    <col min="26" max="26" width="10.57421875" style="268" bestFit="1" customWidth="1"/>
    <col min="27" max="27" width="13.00390625" style="268" customWidth="1"/>
    <col min="28" max="35" width="8.8515625" style="245" customWidth="1"/>
    <col min="36" max="121" width="8.8515625" style="8" customWidth="1"/>
    <col min="122" max="16384" width="8.8515625" style="245" customWidth="1"/>
  </cols>
  <sheetData>
    <row r="1" spans="2:27" ht="57.75" customHeight="1">
      <c r="B1" s="246"/>
      <c r="C1" s="247"/>
      <c r="D1" s="247"/>
      <c r="E1" s="1542" t="s">
        <v>176</v>
      </c>
      <c r="F1" s="1542"/>
      <c r="G1" s="1542"/>
      <c r="H1" s="1542"/>
      <c r="I1" s="1542"/>
      <c r="J1" s="1542"/>
      <c r="K1" s="1542"/>
      <c r="L1" s="1542"/>
      <c r="M1" s="1542"/>
      <c r="N1" s="1542"/>
      <c r="O1" s="1542"/>
      <c r="P1" s="1542"/>
      <c r="Q1" s="1542"/>
      <c r="R1" s="1542"/>
      <c r="S1" s="1542"/>
      <c r="T1" s="1542"/>
      <c r="U1" s="1542"/>
      <c r="V1" s="1542"/>
      <c r="W1" s="1542"/>
      <c r="X1" s="1542"/>
      <c r="Y1" s="1542"/>
      <c r="Z1" s="1542"/>
      <c r="AA1" s="1542"/>
    </row>
    <row r="2" spans="2:27" ht="28.5" customHeight="1">
      <c r="B2" s="246"/>
      <c r="C2" s="247"/>
      <c r="D2" s="247"/>
      <c r="E2" s="248"/>
      <c r="F2" s="248"/>
      <c r="G2" s="248"/>
      <c r="H2" s="248"/>
      <c r="I2" s="248"/>
      <c r="J2" s="248"/>
      <c r="K2" s="249"/>
      <c r="L2" s="249"/>
      <c r="M2" s="248"/>
      <c r="N2" s="248"/>
      <c r="O2" s="248"/>
      <c r="P2" s="249"/>
      <c r="Q2" s="249"/>
      <c r="R2" s="248"/>
      <c r="S2" s="249"/>
      <c r="T2" s="249"/>
      <c r="U2" s="249"/>
      <c r="V2" s="249"/>
      <c r="W2" s="249"/>
      <c r="X2" s="249"/>
      <c r="Y2" s="249"/>
      <c r="Z2" s="249"/>
      <c r="AA2" s="249"/>
    </row>
    <row r="3" spans="1:121" s="123" customFormat="1" ht="28.5" customHeight="1">
      <c r="A3" s="170"/>
      <c r="B3" s="167"/>
      <c r="C3" s="250"/>
      <c r="D3" s="251"/>
      <c r="E3" s="252" t="s">
        <v>197</v>
      </c>
      <c r="F3" s="253"/>
      <c r="G3" s="254"/>
      <c r="H3" s="253"/>
      <c r="I3" s="255" t="s">
        <v>198</v>
      </c>
      <c r="J3" s="256"/>
      <c r="K3" s="257"/>
      <c r="L3" s="258"/>
      <c r="M3" s="259"/>
      <c r="N3" s="260"/>
      <c r="O3" s="260"/>
      <c r="P3" s="258"/>
      <c r="Q3" s="19"/>
      <c r="R3" s="261"/>
      <c r="S3" s="262"/>
      <c r="T3" s="262"/>
      <c r="U3" s="262"/>
      <c r="V3" s="262"/>
      <c r="W3" s="262"/>
      <c r="X3" s="262"/>
      <c r="Y3" s="262"/>
      <c r="Z3" s="262"/>
      <c r="AA3" s="263"/>
      <c r="AB3" s="245"/>
      <c r="AC3" s="245"/>
      <c r="AD3" s="245"/>
      <c r="AE3" s="245"/>
      <c r="AF3" s="245"/>
      <c r="AG3" s="245"/>
      <c r="AH3" s="245"/>
      <c r="AI3" s="245"/>
      <c r="AJ3" s="8"/>
      <c r="AK3" s="8"/>
      <c r="AL3" s="8"/>
      <c r="AM3" s="8"/>
      <c r="AN3" s="8"/>
      <c r="AO3" s="8"/>
      <c r="AP3" s="8"/>
      <c r="AQ3" s="8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/>
      <c r="CJ3" s="264"/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4"/>
      <c r="DC3" s="264"/>
      <c r="DD3" s="264"/>
      <c r="DE3" s="264"/>
      <c r="DF3" s="264"/>
      <c r="DG3" s="264"/>
      <c r="DH3" s="264"/>
      <c r="DI3" s="264"/>
      <c r="DJ3" s="264"/>
      <c r="DK3" s="264"/>
      <c r="DL3" s="264"/>
      <c r="DM3" s="264"/>
      <c r="DN3" s="264"/>
      <c r="DO3" s="264"/>
      <c r="DP3" s="264"/>
      <c r="DQ3" s="264"/>
    </row>
    <row r="4" spans="1:121" s="123" customFormat="1" ht="28.5" customHeight="1">
      <c r="A4" s="170"/>
      <c r="B4" s="167"/>
      <c r="C4" s="250"/>
      <c r="D4" s="251"/>
      <c r="E4" s="261"/>
      <c r="F4" s="253"/>
      <c r="G4" s="265"/>
      <c r="H4" s="253"/>
      <c r="I4" s="255" t="s">
        <v>301</v>
      </c>
      <c r="J4" s="256"/>
      <c r="K4" s="257"/>
      <c r="L4" s="258"/>
      <c r="M4" s="259"/>
      <c r="N4" s="260"/>
      <c r="O4" s="260"/>
      <c r="P4" s="258"/>
      <c r="Q4" s="262"/>
      <c r="R4" s="261"/>
      <c r="S4" s="262"/>
      <c r="T4" s="262"/>
      <c r="U4" s="262"/>
      <c r="V4" s="262"/>
      <c r="W4" s="262"/>
      <c r="X4" s="262"/>
      <c r="Y4" s="262"/>
      <c r="Z4" s="262"/>
      <c r="AA4" s="266"/>
      <c r="AB4" s="245"/>
      <c r="AC4" s="245"/>
      <c r="AD4" s="245"/>
      <c r="AE4" s="245"/>
      <c r="AF4" s="245"/>
      <c r="AG4" s="245"/>
      <c r="AH4" s="245"/>
      <c r="AI4" s="245"/>
      <c r="AJ4" s="8"/>
      <c r="AK4" s="8"/>
      <c r="AL4" s="8"/>
      <c r="AM4" s="8"/>
      <c r="AN4" s="8"/>
      <c r="AO4" s="8"/>
      <c r="AP4" s="8"/>
      <c r="AQ4" s="8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  <c r="CL4" s="264"/>
      <c r="CM4" s="264"/>
      <c r="CN4" s="264"/>
      <c r="CO4" s="264"/>
      <c r="CP4" s="264"/>
      <c r="CQ4" s="264"/>
      <c r="CR4" s="264"/>
      <c r="CS4" s="264"/>
      <c r="CT4" s="264"/>
      <c r="CU4" s="264"/>
      <c r="CV4" s="264"/>
      <c r="CW4" s="264"/>
      <c r="CX4" s="264"/>
      <c r="CY4" s="264"/>
      <c r="CZ4" s="264"/>
      <c r="DA4" s="264"/>
      <c r="DB4" s="264"/>
      <c r="DC4" s="264"/>
      <c r="DD4" s="264"/>
      <c r="DE4" s="264"/>
      <c r="DF4" s="264"/>
      <c r="DG4" s="264"/>
      <c r="DH4" s="264"/>
      <c r="DI4" s="264"/>
      <c r="DJ4" s="264"/>
      <c r="DK4" s="264"/>
      <c r="DL4" s="264"/>
      <c r="DM4" s="264"/>
      <c r="DN4" s="264"/>
      <c r="DO4" s="264"/>
      <c r="DP4" s="264"/>
      <c r="DQ4" s="264"/>
    </row>
    <row r="5" spans="1:121" s="123" customFormat="1" ht="28.5" customHeight="1">
      <c r="A5" s="170"/>
      <c r="B5" s="167"/>
      <c r="C5" s="250"/>
      <c r="D5" s="1543"/>
      <c r="E5" s="1543"/>
      <c r="F5" s="253"/>
      <c r="G5" s="253"/>
      <c r="H5" s="253"/>
      <c r="I5" s="253"/>
      <c r="J5" s="256"/>
      <c r="K5" s="257"/>
      <c r="L5" s="258"/>
      <c r="M5" s="259"/>
      <c r="N5" s="260"/>
      <c r="O5" s="260"/>
      <c r="P5" s="258"/>
      <c r="Q5" s="262"/>
      <c r="R5" s="261"/>
      <c r="S5" s="262"/>
      <c r="T5" s="262"/>
      <c r="U5" s="262"/>
      <c r="V5" s="262"/>
      <c r="W5" s="262"/>
      <c r="X5" s="262"/>
      <c r="Y5" s="262"/>
      <c r="Z5" s="262"/>
      <c r="AA5" s="263"/>
      <c r="AB5" s="245"/>
      <c r="AC5" s="245"/>
      <c r="AD5" s="245"/>
      <c r="AE5" s="245"/>
      <c r="AF5" s="245"/>
      <c r="AG5" s="245"/>
      <c r="AH5" s="245"/>
      <c r="AI5" s="245"/>
      <c r="AJ5" s="8"/>
      <c r="AK5" s="8"/>
      <c r="AL5" s="8"/>
      <c r="AM5" s="8"/>
      <c r="AN5" s="8"/>
      <c r="AO5" s="8"/>
      <c r="AP5" s="8"/>
      <c r="AQ5" s="8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/>
      <c r="CX5" s="264"/>
      <c r="CY5" s="264"/>
      <c r="CZ5" s="264"/>
      <c r="DA5" s="264"/>
      <c r="DB5" s="264"/>
      <c r="DC5" s="264"/>
      <c r="DD5" s="264"/>
      <c r="DE5" s="264"/>
      <c r="DF5" s="264"/>
      <c r="DG5" s="264"/>
      <c r="DH5" s="264"/>
      <c r="DI5" s="264"/>
      <c r="DJ5" s="264"/>
      <c r="DK5" s="264"/>
      <c r="DL5" s="264"/>
      <c r="DM5" s="264"/>
      <c r="DN5" s="264"/>
      <c r="DO5" s="264"/>
      <c r="DP5" s="264"/>
      <c r="DQ5" s="264"/>
    </row>
    <row r="6" spans="2:27" ht="15" customHeight="1" thickBot="1">
      <c r="B6" s="1515"/>
      <c r="C6" s="1515"/>
      <c r="D6" s="269"/>
      <c r="E6" s="270"/>
      <c r="J6" s="271" t="s">
        <v>201</v>
      </c>
      <c r="K6" s="272" t="s">
        <v>202</v>
      </c>
      <c r="L6" s="272" t="s">
        <v>203</v>
      </c>
      <c r="M6" s="271" t="s">
        <v>204</v>
      </c>
      <c r="N6" s="271" t="s">
        <v>205</v>
      </c>
      <c r="O6" s="271" t="s">
        <v>206</v>
      </c>
      <c r="P6" s="273" t="s">
        <v>442</v>
      </c>
      <c r="Q6" s="274" t="s">
        <v>207</v>
      </c>
      <c r="R6" s="274" t="s">
        <v>208</v>
      </c>
      <c r="S6" s="274" t="s">
        <v>209</v>
      </c>
      <c r="T6" s="274" t="s">
        <v>443</v>
      </c>
      <c r="U6" s="274" t="s">
        <v>210</v>
      </c>
      <c r="V6" s="274" t="s">
        <v>211</v>
      </c>
      <c r="W6" s="274" t="s">
        <v>212</v>
      </c>
      <c r="X6" s="274" t="s">
        <v>444</v>
      </c>
      <c r="Y6" s="271" t="s">
        <v>213</v>
      </c>
      <c r="Z6" s="271" t="s">
        <v>214</v>
      </c>
      <c r="AA6" s="271" t="s">
        <v>215</v>
      </c>
    </row>
    <row r="7" spans="2:27" ht="15.75" customHeight="1" thickBot="1">
      <c r="B7" s="1516"/>
      <c r="C7" s="1516"/>
      <c r="D7" s="269"/>
      <c r="E7" s="1517" t="s">
        <v>220</v>
      </c>
      <c r="F7" s="1518" t="s">
        <v>221</v>
      </c>
      <c r="G7" s="1521" t="s">
        <v>222</v>
      </c>
      <c r="H7" s="1524" t="s">
        <v>223</v>
      </c>
      <c r="I7" s="1524"/>
      <c r="J7" s="1538" t="s">
        <v>224</v>
      </c>
      <c r="K7" s="275" t="s">
        <v>225</v>
      </c>
      <c r="L7" s="275" t="s">
        <v>226</v>
      </c>
      <c r="M7" s="276" t="s">
        <v>227</v>
      </c>
      <c r="N7" s="1541" t="s">
        <v>11</v>
      </c>
      <c r="O7" s="1541"/>
      <c r="P7" s="1541"/>
      <c r="Q7" s="1541"/>
      <c r="R7" s="1530" t="s">
        <v>12</v>
      </c>
      <c r="S7" s="1530"/>
      <c r="T7" s="1530"/>
      <c r="U7" s="1530"/>
      <c r="V7" s="1530"/>
      <c r="W7" s="1530"/>
      <c r="X7" s="1530"/>
      <c r="Y7" s="1530"/>
      <c r="Z7" s="1530"/>
      <c r="AA7" s="1544" t="s">
        <v>551</v>
      </c>
    </row>
    <row r="8" spans="2:27" ht="15.75" customHeight="1" thickBot="1">
      <c r="B8" s="1525" t="s">
        <v>228</v>
      </c>
      <c r="C8" s="1527" t="s">
        <v>229</v>
      </c>
      <c r="D8" s="1528" t="s">
        <v>219</v>
      </c>
      <c r="E8" s="1517"/>
      <c r="F8" s="1519"/>
      <c r="G8" s="1522"/>
      <c r="H8" s="1533" t="s">
        <v>230</v>
      </c>
      <c r="I8" s="1535" t="s">
        <v>231</v>
      </c>
      <c r="J8" s="1539"/>
      <c r="K8" s="1547" t="s">
        <v>552</v>
      </c>
      <c r="L8" s="1547" t="s">
        <v>553</v>
      </c>
      <c r="M8" s="1549" t="s">
        <v>554</v>
      </c>
      <c r="N8" s="1551" t="s">
        <v>555</v>
      </c>
      <c r="O8" s="1553" t="s">
        <v>123</v>
      </c>
      <c r="P8" s="1555" t="s">
        <v>233</v>
      </c>
      <c r="Q8" s="1557" t="s">
        <v>436</v>
      </c>
      <c r="R8" s="1531" t="s">
        <v>234</v>
      </c>
      <c r="S8" s="1531"/>
      <c r="T8" s="1531"/>
      <c r="U8" s="1532" t="s">
        <v>441</v>
      </c>
      <c r="V8" s="1532"/>
      <c r="W8" s="1532"/>
      <c r="X8" s="1537" t="s">
        <v>13</v>
      </c>
      <c r="Y8" s="1537"/>
      <c r="Z8" s="1537"/>
      <c r="AA8" s="1545"/>
    </row>
    <row r="9" spans="1:27" ht="48.75" customHeight="1" thickBot="1">
      <c r="A9" s="277" t="s">
        <v>428</v>
      </c>
      <c r="B9" s="1526"/>
      <c r="C9" s="1527"/>
      <c r="D9" s="1529"/>
      <c r="E9" s="1517"/>
      <c r="F9" s="1520"/>
      <c r="G9" s="1523"/>
      <c r="H9" s="1534"/>
      <c r="I9" s="1536"/>
      <c r="J9" s="1540"/>
      <c r="K9" s="1548"/>
      <c r="L9" s="1548"/>
      <c r="M9" s="1550"/>
      <c r="N9" s="1552"/>
      <c r="O9" s="1554"/>
      <c r="P9" s="1556"/>
      <c r="Q9" s="1558"/>
      <c r="R9" s="278" t="s">
        <v>235</v>
      </c>
      <c r="S9" s="279" t="s">
        <v>236</v>
      </c>
      <c r="T9" s="280" t="s">
        <v>237</v>
      </c>
      <c r="U9" s="281" t="s">
        <v>235</v>
      </c>
      <c r="V9" s="279" t="s">
        <v>236</v>
      </c>
      <c r="W9" s="280" t="s">
        <v>237</v>
      </c>
      <c r="X9" s="281" t="s">
        <v>235</v>
      </c>
      <c r="Y9" s="279" t="s">
        <v>236</v>
      </c>
      <c r="Z9" s="282" t="s">
        <v>237</v>
      </c>
      <c r="AA9" s="1546"/>
    </row>
    <row r="10" spans="1:27" ht="28.5" customHeight="1">
      <c r="A10" s="283"/>
      <c r="B10" s="284"/>
      <c r="C10" s="284"/>
      <c r="D10" s="285" t="s">
        <v>421</v>
      </c>
      <c r="E10" s="285"/>
      <c r="F10" s="286"/>
      <c r="G10" s="286"/>
      <c r="H10" s="287"/>
      <c r="I10" s="288"/>
      <c r="J10" s="289"/>
      <c r="K10" s="290"/>
      <c r="L10" s="290"/>
      <c r="M10" s="291"/>
      <c r="N10" s="292"/>
      <c r="O10" s="293"/>
      <c r="P10" s="294"/>
      <c r="Q10" s="294"/>
      <c r="R10" s="293"/>
      <c r="S10" s="295"/>
      <c r="T10" s="294"/>
      <c r="U10" s="296"/>
      <c r="V10" s="295"/>
      <c r="W10" s="294"/>
      <c r="X10" s="296"/>
      <c r="Y10" s="295"/>
      <c r="Z10" s="294"/>
      <c r="AA10" s="290"/>
    </row>
    <row r="11" spans="2:27" ht="28.5" customHeight="1" thickBot="1">
      <c r="B11" s="297"/>
      <c r="C11" s="298"/>
      <c r="D11" s="299" t="s">
        <v>86</v>
      </c>
      <c r="E11" s="299"/>
      <c r="F11" s="300"/>
      <c r="G11" s="300"/>
      <c r="H11" s="300"/>
      <c r="I11" s="300"/>
      <c r="J11" s="300"/>
      <c r="K11" s="290"/>
      <c r="L11" s="290"/>
      <c r="M11" s="297"/>
      <c r="N11" s="297"/>
      <c r="O11" s="293"/>
      <c r="P11" s="301"/>
      <c r="Q11" s="302"/>
      <c r="R11" s="293"/>
      <c r="S11" s="295"/>
      <c r="T11" s="294"/>
      <c r="U11" s="296"/>
      <c r="V11" s="295"/>
      <c r="W11" s="294"/>
      <c r="X11" s="296"/>
      <c r="Y11" s="295"/>
      <c r="Z11" s="294"/>
      <c r="AA11" s="302"/>
    </row>
    <row r="12" spans="1:121" s="308" customFormat="1" ht="28.5" customHeight="1" thickBot="1">
      <c r="A12" s="303">
        <v>230</v>
      </c>
      <c r="B12" s="304">
        <v>1014</v>
      </c>
      <c r="C12" s="305">
        <v>6121</v>
      </c>
      <c r="D12" s="306">
        <v>8195</v>
      </c>
      <c r="E12" s="307" t="s">
        <v>14</v>
      </c>
      <c r="F12" s="22" t="s">
        <v>275</v>
      </c>
      <c r="G12" s="23">
        <v>400</v>
      </c>
      <c r="H12" s="23">
        <v>2015</v>
      </c>
      <c r="I12" s="24">
        <v>2020</v>
      </c>
      <c r="J12" s="25">
        <f>K12+L12+M12+SUM(R12:AA12)</f>
        <v>25654</v>
      </c>
      <c r="K12" s="26">
        <v>0</v>
      </c>
      <c r="L12" s="27">
        <v>0</v>
      </c>
      <c r="M12" s="28">
        <f>N12+O12+P12+Q12</f>
        <v>11654</v>
      </c>
      <c r="N12" s="29">
        <v>1654</v>
      </c>
      <c r="O12" s="30">
        <f>15000-5000-9000</f>
        <v>1000</v>
      </c>
      <c r="P12" s="31">
        <v>0</v>
      </c>
      <c r="Q12" s="1346">
        <v>9000</v>
      </c>
      <c r="R12" s="32">
        <v>14000</v>
      </c>
      <c r="S12" s="31">
        <v>0</v>
      </c>
      <c r="T12" s="27">
        <v>0</v>
      </c>
      <c r="U12" s="32">
        <v>0</v>
      </c>
      <c r="V12" s="31">
        <v>0</v>
      </c>
      <c r="W12" s="27">
        <v>0</v>
      </c>
      <c r="X12" s="32">
        <v>0</v>
      </c>
      <c r="Y12" s="31">
        <v>0</v>
      </c>
      <c r="Z12" s="27">
        <v>0</v>
      </c>
      <c r="AA12" s="33">
        <v>0</v>
      </c>
      <c r="AB12" s="245"/>
      <c r="AC12" s="245"/>
      <c r="AD12" s="245"/>
      <c r="AE12" s="245"/>
      <c r="AF12" s="245"/>
      <c r="AG12" s="245"/>
      <c r="AH12" s="245"/>
      <c r="AI12" s="245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</row>
    <row r="13" spans="1:35" s="8" customFormat="1" ht="28.5" customHeight="1" thickBot="1">
      <c r="A13" s="283"/>
      <c r="B13" s="309"/>
      <c r="C13" s="309"/>
      <c r="D13" s="309"/>
      <c r="E13" s="1509" t="s">
        <v>422</v>
      </c>
      <c r="F13" s="1509"/>
      <c r="G13" s="1509"/>
      <c r="H13" s="1509"/>
      <c r="I13" s="1509"/>
      <c r="J13" s="311">
        <f>SUM(J12)</f>
        <v>25654</v>
      </c>
      <c r="K13" s="311">
        <f>SUM(K12)</f>
        <v>0</v>
      </c>
      <c r="L13" s="312">
        <f>SUM(L12)</f>
        <v>0</v>
      </c>
      <c r="M13" s="311">
        <f aca="true" t="shared" si="0" ref="M13:AA13">SUM(M12)</f>
        <v>11654</v>
      </c>
      <c r="N13" s="313">
        <f t="shared" si="0"/>
        <v>1654</v>
      </c>
      <c r="O13" s="314">
        <f t="shared" si="0"/>
        <v>1000</v>
      </c>
      <c r="P13" s="314">
        <f t="shared" si="0"/>
        <v>0</v>
      </c>
      <c r="Q13" s="312">
        <f t="shared" si="0"/>
        <v>9000</v>
      </c>
      <c r="R13" s="315">
        <f t="shared" si="0"/>
        <v>14000</v>
      </c>
      <c r="S13" s="314">
        <f t="shared" si="0"/>
        <v>0</v>
      </c>
      <c r="T13" s="316">
        <f t="shared" si="0"/>
        <v>0</v>
      </c>
      <c r="U13" s="313">
        <f t="shared" si="0"/>
        <v>0</v>
      </c>
      <c r="V13" s="314">
        <f t="shared" si="0"/>
        <v>0</v>
      </c>
      <c r="W13" s="312">
        <f t="shared" si="0"/>
        <v>0</v>
      </c>
      <c r="X13" s="315">
        <f t="shared" si="0"/>
        <v>0</v>
      </c>
      <c r="Y13" s="314">
        <f t="shared" si="0"/>
        <v>0</v>
      </c>
      <c r="Z13" s="316">
        <f t="shared" si="0"/>
        <v>0</v>
      </c>
      <c r="AA13" s="317">
        <f t="shared" si="0"/>
        <v>0</v>
      </c>
      <c r="AB13" s="245"/>
      <c r="AC13" s="245"/>
      <c r="AD13" s="245"/>
      <c r="AE13" s="245"/>
      <c r="AF13" s="245"/>
      <c r="AG13" s="245"/>
      <c r="AH13" s="245"/>
      <c r="AI13" s="245"/>
    </row>
    <row r="14" spans="1:35" s="8" customFormat="1" ht="28.5" customHeight="1" thickBot="1">
      <c r="A14" s="283"/>
      <c r="B14" s="309"/>
      <c r="C14" s="309"/>
      <c r="D14" s="299" t="s">
        <v>623</v>
      </c>
      <c r="E14" s="299"/>
      <c r="F14" s="300"/>
      <c r="G14" s="300"/>
      <c r="H14" s="300"/>
      <c r="I14" s="300"/>
      <c r="J14" s="300"/>
      <c r="K14" s="290"/>
      <c r="L14" s="290"/>
      <c r="M14" s="297"/>
      <c r="N14" s="297"/>
      <c r="O14" s="293"/>
      <c r="P14" s="301"/>
      <c r="Q14" s="302"/>
      <c r="R14" s="293"/>
      <c r="S14" s="295"/>
      <c r="T14" s="294"/>
      <c r="U14" s="296"/>
      <c r="V14" s="295"/>
      <c r="W14" s="294"/>
      <c r="X14" s="296"/>
      <c r="Y14" s="295"/>
      <c r="Z14" s="294"/>
      <c r="AA14" s="302"/>
      <c r="AB14" s="245"/>
      <c r="AC14" s="245"/>
      <c r="AD14" s="245"/>
      <c r="AE14" s="245"/>
      <c r="AF14" s="245"/>
      <c r="AG14" s="245"/>
      <c r="AH14" s="245"/>
      <c r="AI14" s="245"/>
    </row>
    <row r="15" spans="1:35" s="8" customFormat="1" ht="28.5" customHeight="1" thickBot="1">
      <c r="A15" s="283"/>
      <c r="B15" s="309"/>
      <c r="C15" s="309"/>
      <c r="D15" s="306"/>
      <c r="E15" s="1391" t="s">
        <v>629</v>
      </c>
      <c r="F15" s="22"/>
      <c r="G15" s="23">
        <v>400</v>
      </c>
      <c r="H15" s="23">
        <v>2015</v>
      </c>
      <c r="I15" s="24">
        <v>2020</v>
      </c>
      <c r="J15" s="25">
        <f>K15+L15+M15+SUM(R15:AA15)</f>
        <v>392</v>
      </c>
      <c r="K15" s="26">
        <v>0</v>
      </c>
      <c r="L15" s="27">
        <v>0</v>
      </c>
      <c r="M15" s="28">
        <f>N15+O15+P15+Q15</f>
        <v>392</v>
      </c>
      <c r="N15" s="29">
        <v>392</v>
      </c>
      <c r="O15" s="30">
        <v>0</v>
      </c>
      <c r="P15" s="31">
        <v>0</v>
      </c>
      <c r="Q15" s="27">
        <v>0</v>
      </c>
      <c r="R15" s="32">
        <v>0</v>
      </c>
      <c r="S15" s="31">
        <v>0</v>
      </c>
      <c r="T15" s="27">
        <v>0</v>
      </c>
      <c r="U15" s="32">
        <v>0</v>
      </c>
      <c r="V15" s="31">
        <v>0</v>
      </c>
      <c r="W15" s="27">
        <v>0</v>
      </c>
      <c r="X15" s="32">
        <v>0</v>
      </c>
      <c r="Y15" s="31">
        <v>0</v>
      </c>
      <c r="Z15" s="27">
        <v>0</v>
      </c>
      <c r="AA15" s="33">
        <v>0</v>
      </c>
      <c r="AB15" s="245"/>
      <c r="AC15" s="245"/>
      <c r="AD15" s="245"/>
      <c r="AE15" s="245"/>
      <c r="AF15" s="245"/>
      <c r="AG15" s="245"/>
      <c r="AH15" s="245"/>
      <c r="AI15" s="245"/>
    </row>
    <row r="16" spans="1:35" s="8" customFormat="1" ht="28.5" customHeight="1" thickBot="1">
      <c r="A16" s="283"/>
      <c r="B16" s="309"/>
      <c r="C16" s="309"/>
      <c r="D16" s="309"/>
      <c r="E16" s="1509" t="s">
        <v>625</v>
      </c>
      <c r="F16" s="1509"/>
      <c r="G16" s="1509"/>
      <c r="H16" s="1509"/>
      <c r="I16" s="1509"/>
      <c r="J16" s="311">
        <f>SUM(J15)</f>
        <v>392</v>
      </c>
      <c r="K16" s="311">
        <f>SUM(K15)</f>
        <v>0</v>
      </c>
      <c r="L16" s="312">
        <f>SUM(L15)</f>
        <v>0</v>
      </c>
      <c r="M16" s="311">
        <f aca="true" t="shared" si="1" ref="M16:AA16">SUM(M15)</f>
        <v>392</v>
      </c>
      <c r="N16" s="313">
        <f t="shared" si="1"/>
        <v>392</v>
      </c>
      <c r="O16" s="314">
        <f t="shared" si="1"/>
        <v>0</v>
      </c>
      <c r="P16" s="314">
        <f t="shared" si="1"/>
        <v>0</v>
      </c>
      <c r="Q16" s="312">
        <f t="shared" si="1"/>
        <v>0</v>
      </c>
      <c r="R16" s="315">
        <f t="shared" si="1"/>
        <v>0</v>
      </c>
      <c r="S16" s="314">
        <f t="shared" si="1"/>
        <v>0</v>
      </c>
      <c r="T16" s="316">
        <f t="shared" si="1"/>
        <v>0</v>
      </c>
      <c r="U16" s="313">
        <f t="shared" si="1"/>
        <v>0</v>
      </c>
      <c r="V16" s="314">
        <f t="shared" si="1"/>
        <v>0</v>
      </c>
      <c r="W16" s="312">
        <f t="shared" si="1"/>
        <v>0</v>
      </c>
      <c r="X16" s="315">
        <f t="shared" si="1"/>
        <v>0</v>
      </c>
      <c r="Y16" s="314">
        <f t="shared" si="1"/>
        <v>0</v>
      </c>
      <c r="Z16" s="316">
        <f t="shared" si="1"/>
        <v>0</v>
      </c>
      <c r="AA16" s="317">
        <f t="shared" si="1"/>
        <v>0</v>
      </c>
      <c r="AB16" s="245"/>
      <c r="AC16" s="245"/>
      <c r="AD16" s="245"/>
      <c r="AE16" s="245"/>
      <c r="AF16" s="245"/>
      <c r="AG16" s="245"/>
      <c r="AH16" s="245"/>
      <c r="AI16" s="245"/>
    </row>
    <row r="17" spans="1:35" s="17" customFormat="1" ht="28.5" customHeight="1">
      <c r="A17" s="253"/>
      <c r="B17" s="309"/>
      <c r="C17" s="309"/>
      <c r="D17" s="285" t="s">
        <v>302</v>
      </c>
      <c r="E17" s="285"/>
      <c r="F17" s="310"/>
      <c r="G17" s="310"/>
      <c r="H17" s="310"/>
      <c r="I17" s="310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270"/>
      <c r="AC17" s="270"/>
      <c r="AD17" s="270"/>
      <c r="AE17" s="270"/>
      <c r="AF17" s="270"/>
      <c r="AG17" s="270"/>
      <c r="AH17" s="270"/>
      <c r="AI17" s="270"/>
    </row>
    <row r="18" spans="2:27" ht="28.5" customHeight="1" thickBot="1">
      <c r="B18" s="297"/>
      <c r="C18" s="298"/>
      <c r="D18" s="1347" t="s">
        <v>303</v>
      </c>
      <c r="E18" s="299"/>
      <c r="F18" s="320"/>
      <c r="G18" s="320"/>
      <c r="H18" s="320"/>
      <c r="I18" s="320"/>
      <c r="J18" s="14"/>
      <c r="K18" s="14"/>
      <c r="L18" s="14"/>
      <c r="M18" s="14"/>
      <c r="N18" s="14"/>
      <c r="O18" s="318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31" ht="28.5" customHeight="1">
      <c r="A19" s="322">
        <v>230</v>
      </c>
      <c r="B19" s="323">
        <v>2212</v>
      </c>
      <c r="C19" s="324">
        <v>6121</v>
      </c>
      <c r="D19" s="325">
        <v>3069</v>
      </c>
      <c r="E19" s="326" t="s">
        <v>584</v>
      </c>
      <c r="F19" s="34" t="s">
        <v>273</v>
      </c>
      <c r="G19" s="35">
        <v>400</v>
      </c>
      <c r="H19" s="35">
        <v>2008</v>
      </c>
      <c r="I19" s="36">
        <v>2020</v>
      </c>
      <c r="J19" s="37">
        <f aca="true" t="shared" si="2" ref="J19:J40">K19+L19+M19+SUM(R19:AA19)</f>
        <v>63370</v>
      </c>
      <c r="K19" s="38">
        <v>2939</v>
      </c>
      <c r="L19" s="39">
        <v>0</v>
      </c>
      <c r="M19" s="40">
        <f>N19+O19+P19+Q19</f>
        <v>8800</v>
      </c>
      <c r="N19" s="41">
        <v>8800</v>
      </c>
      <c r="O19" s="85">
        <f>5000-5000</f>
        <v>0</v>
      </c>
      <c r="P19" s="42">
        <v>0</v>
      </c>
      <c r="Q19" s="39">
        <v>0</v>
      </c>
      <c r="R19" s="43">
        <v>51631</v>
      </c>
      <c r="S19" s="42">
        <v>0</v>
      </c>
      <c r="T19" s="39">
        <v>0</v>
      </c>
      <c r="U19" s="43">
        <v>0</v>
      </c>
      <c r="V19" s="42">
        <v>0</v>
      </c>
      <c r="W19" s="39">
        <v>0</v>
      </c>
      <c r="X19" s="43">
        <v>0</v>
      </c>
      <c r="Y19" s="42">
        <v>0</v>
      </c>
      <c r="Z19" s="39">
        <v>0</v>
      </c>
      <c r="AA19" s="44">
        <v>0</v>
      </c>
      <c r="AB19" s="14"/>
      <c r="AC19" s="14"/>
      <c r="AD19" s="14"/>
      <c r="AE19" s="14"/>
    </row>
    <row r="20" spans="1:31" ht="28.5" customHeight="1">
      <c r="A20" s="327">
        <v>230</v>
      </c>
      <c r="B20" s="328">
        <v>2212</v>
      </c>
      <c r="C20" s="329">
        <v>6121</v>
      </c>
      <c r="D20" s="336">
        <v>3115</v>
      </c>
      <c r="E20" s="339" t="s">
        <v>15</v>
      </c>
      <c r="F20" s="331" t="s">
        <v>248</v>
      </c>
      <c r="G20" s="332">
        <v>400</v>
      </c>
      <c r="H20" s="332">
        <v>2016</v>
      </c>
      <c r="I20" s="333">
        <v>2020</v>
      </c>
      <c r="J20" s="45">
        <f t="shared" si="2"/>
        <v>12895</v>
      </c>
      <c r="K20" s="46">
        <v>844</v>
      </c>
      <c r="L20" s="47">
        <v>51</v>
      </c>
      <c r="M20" s="48">
        <f>N20+O20+P20+Q20</f>
        <v>1000</v>
      </c>
      <c r="N20" s="49">
        <f>1000</f>
        <v>1000</v>
      </c>
      <c r="O20" s="64">
        <f>1000-1000</f>
        <v>0</v>
      </c>
      <c r="P20" s="50">
        <v>0</v>
      </c>
      <c r="Q20" s="47">
        <v>0</v>
      </c>
      <c r="R20" s="51">
        <v>11000</v>
      </c>
      <c r="S20" s="50">
        <v>0</v>
      </c>
      <c r="T20" s="47">
        <v>0</v>
      </c>
      <c r="U20" s="51">
        <v>0</v>
      </c>
      <c r="V20" s="50">
        <v>0</v>
      </c>
      <c r="W20" s="47">
        <v>0</v>
      </c>
      <c r="X20" s="51">
        <v>0</v>
      </c>
      <c r="Y20" s="50">
        <v>0</v>
      </c>
      <c r="Z20" s="47">
        <v>0</v>
      </c>
      <c r="AA20" s="52">
        <v>0</v>
      </c>
      <c r="AB20" s="14"/>
      <c r="AC20" s="14"/>
      <c r="AD20" s="14"/>
      <c r="AE20" s="14"/>
    </row>
    <row r="21" spans="1:31" ht="28.5" customHeight="1">
      <c r="A21" s="327">
        <v>230</v>
      </c>
      <c r="B21" s="334">
        <v>2212</v>
      </c>
      <c r="C21" s="335">
        <v>6121</v>
      </c>
      <c r="D21" s="336">
        <v>3140</v>
      </c>
      <c r="E21" s="339" t="s">
        <v>425</v>
      </c>
      <c r="F21" s="172" t="s">
        <v>248</v>
      </c>
      <c r="G21" s="86">
        <v>400</v>
      </c>
      <c r="H21" s="86">
        <v>2013</v>
      </c>
      <c r="I21" s="87">
        <v>2019</v>
      </c>
      <c r="J21" s="53">
        <f t="shared" si="2"/>
        <v>23962</v>
      </c>
      <c r="K21" s="54">
        <v>1035</v>
      </c>
      <c r="L21" s="55">
        <v>442</v>
      </c>
      <c r="M21" s="56">
        <f>N21+O21+P21+Q21</f>
        <v>22485</v>
      </c>
      <c r="N21" s="57">
        <v>22485</v>
      </c>
      <c r="O21" s="65">
        <f>4515-4515</f>
        <v>0</v>
      </c>
      <c r="P21" s="58">
        <v>0</v>
      </c>
      <c r="Q21" s="55">
        <v>0</v>
      </c>
      <c r="R21" s="59">
        <v>0</v>
      </c>
      <c r="S21" s="58">
        <v>0</v>
      </c>
      <c r="T21" s="55">
        <v>0</v>
      </c>
      <c r="U21" s="59">
        <v>0</v>
      </c>
      <c r="V21" s="58">
        <v>0</v>
      </c>
      <c r="W21" s="55">
        <v>0</v>
      </c>
      <c r="X21" s="59">
        <v>0</v>
      </c>
      <c r="Y21" s="58">
        <v>0</v>
      </c>
      <c r="Z21" s="55">
        <v>0</v>
      </c>
      <c r="AA21" s="60">
        <v>0</v>
      </c>
      <c r="AB21" s="14"/>
      <c r="AC21" s="14"/>
      <c r="AD21" s="14"/>
      <c r="AE21" s="14"/>
    </row>
    <row r="22" spans="1:31" ht="28.5" customHeight="1">
      <c r="A22" s="327">
        <v>230</v>
      </c>
      <c r="B22" s="337">
        <v>2212</v>
      </c>
      <c r="C22" s="338">
        <v>6121</v>
      </c>
      <c r="D22" s="336">
        <v>3165</v>
      </c>
      <c r="E22" s="339" t="s">
        <v>16</v>
      </c>
      <c r="F22" s="81" t="s">
        <v>273</v>
      </c>
      <c r="G22" s="62">
        <v>400</v>
      </c>
      <c r="H22" s="62">
        <v>2019</v>
      </c>
      <c r="I22" s="63">
        <v>2021</v>
      </c>
      <c r="J22" s="45">
        <f t="shared" si="2"/>
        <v>9507</v>
      </c>
      <c r="K22" s="46">
        <v>0</v>
      </c>
      <c r="L22" s="47">
        <v>0</v>
      </c>
      <c r="M22" s="48">
        <f>N22+O22+P22+Q22</f>
        <v>507</v>
      </c>
      <c r="N22" s="49">
        <v>507</v>
      </c>
      <c r="O22" s="64">
        <v>0</v>
      </c>
      <c r="P22" s="50">
        <v>0</v>
      </c>
      <c r="Q22" s="47">
        <v>0</v>
      </c>
      <c r="R22" s="51">
        <v>3000</v>
      </c>
      <c r="S22" s="50"/>
      <c r="T22" s="47"/>
      <c r="U22" s="51">
        <v>6000</v>
      </c>
      <c r="V22" s="50"/>
      <c r="W22" s="47"/>
      <c r="X22" s="51"/>
      <c r="Y22" s="50"/>
      <c r="Z22" s="47"/>
      <c r="AA22" s="52"/>
      <c r="AB22" s="14"/>
      <c r="AC22" s="14"/>
      <c r="AD22" s="14"/>
      <c r="AE22" s="14"/>
    </row>
    <row r="23" spans="1:31" ht="28.5" customHeight="1">
      <c r="A23" s="327">
        <v>230</v>
      </c>
      <c r="B23" s="340">
        <v>2212</v>
      </c>
      <c r="C23" s="341">
        <v>6121</v>
      </c>
      <c r="D23" s="336">
        <v>3170</v>
      </c>
      <c r="E23" s="339" t="s">
        <v>304</v>
      </c>
      <c r="F23" s="172" t="s">
        <v>273</v>
      </c>
      <c r="G23" s="86">
        <v>400</v>
      </c>
      <c r="H23" s="86">
        <v>2016</v>
      </c>
      <c r="I23" s="87">
        <v>2021</v>
      </c>
      <c r="J23" s="53">
        <f t="shared" si="2"/>
        <v>43959</v>
      </c>
      <c r="K23" s="54">
        <v>551</v>
      </c>
      <c r="L23" s="55">
        <v>407</v>
      </c>
      <c r="M23" s="56">
        <f>N23+O23+P23+Q23</f>
        <v>1001</v>
      </c>
      <c r="N23" s="57">
        <v>958</v>
      </c>
      <c r="O23" s="65">
        <v>43</v>
      </c>
      <c r="P23" s="58">
        <v>0</v>
      </c>
      <c r="Q23" s="55">
        <v>0</v>
      </c>
      <c r="R23" s="59">
        <v>42000</v>
      </c>
      <c r="S23" s="58">
        <v>0</v>
      </c>
      <c r="T23" s="55">
        <v>0</v>
      </c>
      <c r="U23" s="59">
        <v>0</v>
      </c>
      <c r="V23" s="58">
        <v>0</v>
      </c>
      <c r="W23" s="55">
        <v>0</v>
      </c>
      <c r="X23" s="59">
        <v>0</v>
      </c>
      <c r="Y23" s="58">
        <v>0</v>
      </c>
      <c r="Z23" s="55">
        <v>0</v>
      </c>
      <c r="AA23" s="60">
        <v>0</v>
      </c>
      <c r="AB23" s="14"/>
      <c r="AC23" s="14"/>
      <c r="AD23" s="14"/>
      <c r="AE23" s="14"/>
    </row>
    <row r="24" spans="1:31" ht="28.5" customHeight="1">
      <c r="A24" s="327">
        <v>230</v>
      </c>
      <c r="B24" s="342">
        <v>2212</v>
      </c>
      <c r="C24" s="343">
        <v>6121</v>
      </c>
      <c r="D24" s="344">
        <v>3171</v>
      </c>
      <c r="E24" s="339" t="s">
        <v>309</v>
      </c>
      <c r="F24" s="83"/>
      <c r="G24" s="67">
        <v>400</v>
      </c>
      <c r="H24" s="67">
        <v>2015</v>
      </c>
      <c r="I24" s="68">
        <v>2019</v>
      </c>
      <c r="J24" s="53">
        <f t="shared" si="2"/>
        <v>1673300</v>
      </c>
      <c r="K24" s="54">
        <v>3955</v>
      </c>
      <c r="L24" s="55">
        <v>699</v>
      </c>
      <c r="M24" s="56">
        <f aca="true" t="shared" si="3" ref="M24:M40">N24+O24+P24+Q24</f>
        <v>2166</v>
      </c>
      <c r="N24" s="57">
        <v>1499</v>
      </c>
      <c r="O24" s="1291">
        <v>667</v>
      </c>
      <c r="P24" s="58">
        <v>0</v>
      </c>
      <c r="Q24" s="55">
        <v>0</v>
      </c>
      <c r="R24" s="59">
        <v>5000</v>
      </c>
      <c r="S24" s="58">
        <v>0</v>
      </c>
      <c r="T24" s="55">
        <v>0</v>
      </c>
      <c r="U24" s="59">
        <v>10000</v>
      </c>
      <c r="V24" s="58">
        <v>0</v>
      </c>
      <c r="W24" s="55">
        <v>0</v>
      </c>
      <c r="X24" s="59">
        <f>1651480-1651480</f>
        <v>0</v>
      </c>
      <c r="Y24" s="58">
        <v>1651480</v>
      </c>
      <c r="Z24" s="55">
        <v>0</v>
      </c>
      <c r="AA24" s="60">
        <v>0</v>
      </c>
      <c r="AB24" s="14"/>
      <c r="AC24" s="14"/>
      <c r="AD24" s="14"/>
      <c r="AE24" s="14"/>
    </row>
    <row r="25" spans="1:31" ht="28.5" customHeight="1">
      <c r="A25" s="327">
        <v>230</v>
      </c>
      <c r="B25" s="334">
        <v>2212</v>
      </c>
      <c r="C25" s="335">
        <v>6121</v>
      </c>
      <c r="D25" s="336">
        <v>3190</v>
      </c>
      <c r="E25" s="339" t="s">
        <v>305</v>
      </c>
      <c r="F25" s="172" t="s">
        <v>286</v>
      </c>
      <c r="G25" s="86">
        <v>400</v>
      </c>
      <c r="H25" s="86">
        <v>2016</v>
      </c>
      <c r="I25" s="87">
        <v>2019</v>
      </c>
      <c r="J25" s="53">
        <f t="shared" si="2"/>
        <v>14649</v>
      </c>
      <c r="K25" s="54">
        <v>247</v>
      </c>
      <c r="L25" s="55">
        <v>2</v>
      </c>
      <c r="M25" s="56">
        <f t="shared" si="3"/>
        <v>1400</v>
      </c>
      <c r="N25" s="57">
        <v>1198</v>
      </c>
      <c r="O25" s="65">
        <v>202</v>
      </c>
      <c r="P25" s="58">
        <v>0</v>
      </c>
      <c r="Q25" s="55">
        <v>0</v>
      </c>
      <c r="R25" s="59">
        <v>13000</v>
      </c>
      <c r="S25" s="58">
        <v>0</v>
      </c>
      <c r="T25" s="55">
        <v>0</v>
      </c>
      <c r="U25" s="59">
        <v>0</v>
      </c>
      <c r="V25" s="58">
        <v>0</v>
      </c>
      <c r="W25" s="55">
        <v>0</v>
      </c>
      <c r="X25" s="59">
        <v>0</v>
      </c>
      <c r="Y25" s="58">
        <v>0</v>
      </c>
      <c r="Z25" s="55">
        <v>0</v>
      </c>
      <c r="AA25" s="60">
        <v>0</v>
      </c>
      <c r="AB25" s="14"/>
      <c r="AC25" s="14"/>
      <c r="AD25" s="14"/>
      <c r="AE25" s="14"/>
    </row>
    <row r="26" spans="1:31" ht="28.5" customHeight="1">
      <c r="A26" s="327">
        <v>230</v>
      </c>
      <c r="B26" s="334">
        <v>2212</v>
      </c>
      <c r="C26" s="335">
        <v>6121</v>
      </c>
      <c r="D26" s="336">
        <v>3191</v>
      </c>
      <c r="E26" s="339" t="s">
        <v>306</v>
      </c>
      <c r="F26" s="172" t="s">
        <v>286</v>
      </c>
      <c r="G26" s="86">
        <v>400</v>
      </c>
      <c r="H26" s="86">
        <v>2016</v>
      </c>
      <c r="I26" s="87">
        <v>2019</v>
      </c>
      <c r="J26" s="53">
        <f t="shared" si="2"/>
        <v>34831</v>
      </c>
      <c r="K26" s="54">
        <v>0</v>
      </c>
      <c r="L26" s="55">
        <v>153</v>
      </c>
      <c r="M26" s="56">
        <f t="shared" si="3"/>
        <v>1000</v>
      </c>
      <c r="N26" s="57">
        <v>765</v>
      </c>
      <c r="O26" s="65">
        <v>235</v>
      </c>
      <c r="P26" s="58">
        <v>0</v>
      </c>
      <c r="Q26" s="55">
        <v>0</v>
      </c>
      <c r="R26" s="59">
        <v>33678</v>
      </c>
      <c r="S26" s="58">
        <v>0</v>
      </c>
      <c r="T26" s="55">
        <v>0</v>
      </c>
      <c r="U26" s="59">
        <v>0</v>
      </c>
      <c r="V26" s="58">
        <v>0</v>
      </c>
      <c r="W26" s="55">
        <v>0</v>
      </c>
      <c r="X26" s="59">
        <v>0</v>
      </c>
      <c r="Y26" s="58">
        <v>0</v>
      </c>
      <c r="Z26" s="55">
        <v>0</v>
      </c>
      <c r="AA26" s="60">
        <v>0</v>
      </c>
      <c r="AB26" s="14"/>
      <c r="AC26" s="14"/>
      <c r="AD26" s="14"/>
      <c r="AE26" s="14"/>
    </row>
    <row r="27" spans="1:31" ht="28.5" customHeight="1">
      <c r="A27" s="327">
        <v>230</v>
      </c>
      <c r="B27" s="334">
        <v>2212</v>
      </c>
      <c r="C27" s="335">
        <v>6121</v>
      </c>
      <c r="D27" s="336">
        <v>3205</v>
      </c>
      <c r="E27" s="339" t="s">
        <v>17</v>
      </c>
      <c r="F27" s="172" t="s">
        <v>245</v>
      </c>
      <c r="G27" s="86">
        <v>400</v>
      </c>
      <c r="H27" s="86">
        <v>2016</v>
      </c>
      <c r="I27" s="87">
        <v>2020</v>
      </c>
      <c r="J27" s="53">
        <f t="shared" si="2"/>
        <v>7970</v>
      </c>
      <c r="K27" s="54">
        <v>0</v>
      </c>
      <c r="L27" s="55">
        <v>0</v>
      </c>
      <c r="M27" s="56">
        <f t="shared" si="3"/>
        <v>2470</v>
      </c>
      <c r="N27" s="57">
        <v>2470</v>
      </c>
      <c r="O27" s="65">
        <v>0</v>
      </c>
      <c r="P27" s="58">
        <v>0</v>
      </c>
      <c r="Q27" s="55">
        <v>0</v>
      </c>
      <c r="R27" s="59">
        <v>5500</v>
      </c>
      <c r="S27" s="58">
        <v>0</v>
      </c>
      <c r="T27" s="55">
        <v>0</v>
      </c>
      <c r="U27" s="59">
        <v>0</v>
      </c>
      <c r="V27" s="58">
        <v>0</v>
      </c>
      <c r="W27" s="55">
        <v>0</v>
      </c>
      <c r="X27" s="59">
        <v>0</v>
      </c>
      <c r="Y27" s="58">
        <v>0</v>
      </c>
      <c r="Z27" s="55">
        <v>0</v>
      </c>
      <c r="AA27" s="60">
        <v>0</v>
      </c>
      <c r="AB27" s="14"/>
      <c r="AC27" s="14"/>
      <c r="AD27" s="14"/>
      <c r="AE27" s="14"/>
    </row>
    <row r="28" spans="1:31" ht="28.5" customHeight="1">
      <c r="A28" s="327">
        <v>230</v>
      </c>
      <c r="B28" s="340">
        <v>2212</v>
      </c>
      <c r="C28" s="341">
        <v>6121</v>
      </c>
      <c r="D28" s="336">
        <v>3206</v>
      </c>
      <c r="E28" s="339" t="s">
        <v>585</v>
      </c>
      <c r="F28" s="172" t="s">
        <v>261</v>
      </c>
      <c r="G28" s="86">
        <v>400</v>
      </c>
      <c r="H28" s="86">
        <v>2016</v>
      </c>
      <c r="I28" s="87">
        <v>2023</v>
      </c>
      <c r="J28" s="53">
        <f t="shared" si="2"/>
        <v>34532</v>
      </c>
      <c r="K28" s="54">
        <v>632</v>
      </c>
      <c r="L28" s="55">
        <v>31</v>
      </c>
      <c r="M28" s="56">
        <f t="shared" si="3"/>
        <v>2869</v>
      </c>
      <c r="N28" s="57">
        <v>2869</v>
      </c>
      <c r="O28" s="65">
        <v>0</v>
      </c>
      <c r="P28" s="58">
        <v>0</v>
      </c>
      <c r="Q28" s="55">
        <v>0</v>
      </c>
      <c r="R28" s="59">
        <v>15000</v>
      </c>
      <c r="S28" s="58">
        <v>0</v>
      </c>
      <c r="T28" s="55">
        <v>0</v>
      </c>
      <c r="U28" s="59">
        <v>16000</v>
      </c>
      <c r="V28" s="58">
        <v>0</v>
      </c>
      <c r="W28" s="55">
        <v>0</v>
      </c>
      <c r="X28" s="59">
        <v>0</v>
      </c>
      <c r="Y28" s="58">
        <v>0</v>
      </c>
      <c r="Z28" s="55">
        <v>0</v>
      </c>
      <c r="AA28" s="60">
        <v>0</v>
      </c>
      <c r="AB28" s="14"/>
      <c r="AC28" s="14"/>
      <c r="AD28" s="14"/>
      <c r="AE28" s="14"/>
    </row>
    <row r="29" spans="1:31" ht="28.5" customHeight="1">
      <c r="A29" s="327">
        <v>230</v>
      </c>
      <c r="B29" s="334">
        <v>2212</v>
      </c>
      <c r="C29" s="335">
        <v>6121</v>
      </c>
      <c r="D29" s="336">
        <v>3207</v>
      </c>
      <c r="E29" s="339" t="s">
        <v>18</v>
      </c>
      <c r="F29" s="172" t="s">
        <v>250</v>
      </c>
      <c r="G29" s="86">
        <v>400</v>
      </c>
      <c r="H29" s="86">
        <v>2016</v>
      </c>
      <c r="I29" s="87">
        <v>2019</v>
      </c>
      <c r="J29" s="53">
        <f t="shared" si="2"/>
        <v>3800</v>
      </c>
      <c r="K29" s="54">
        <v>0</v>
      </c>
      <c r="L29" s="55">
        <v>0</v>
      </c>
      <c r="M29" s="56">
        <f t="shared" si="3"/>
        <v>300</v>
      </c>
      <c r="N29" s="57">
        <v>299</v>
      </c>
      <c r="O29" s="65">
        <v>1</v>
      </c>
      <c r="P29" s="58">
        <v>0</v>
      </c>
      <c r="Q29" s="55">
        <v>0</v>
      </c>
      <c r="R29" s="59">
        <v>3500</v>
      </c>
      <c r="S29" s="58">
        <v>0</v>
      </c>
      <c r="T29" s="55">
        <v>0</v>
      </c>
      <c r="U29" s="59">
        <v>0</v>
      </c>
      <c r="V29" s="58">
        <v>0</v>
      </c>
      <c r="W29" s="55">
        <v>0</v>
      </c>
      <c r="X29" s="59">
        <v>0</v>
      </c>
      <c r="Y29" s="58">
        <v>0</v>
      </c>
      <c r="Z29" s="55">
        <v>0</v>
      </c>
      <c r="AA29" s="60">
        <v>0</v>
      </c>
      <c r="AB29" s="14"/>
      <c r="AC29" s="14"/>
      <c r="AD29" s="14"/>
      <c r="AE29" s="14"/>
    </row>
    <row r="30" spans="1:31" ht="28.5" customHeight="1">
      <c r="A30" s="327">
        <v>230</v>
      </c>
      <c r="B30" s="340">
        <v>2212</v>
      </c>
      <c r="C30" s="341">
        <v>6121</v>
      </c>
      <c r="D30" s="336">
        <v>3209</v>
      </c>
      <c r="E30" s="339" t="s">
        <v>19</v>
      </c>
      <c r="F30" s="172" t="s">
        <v>248</v>
      </c>
      <c r="G30" s="86">
        <v>400</v>
      </c>
      <c r="H30" s="86">
        <v>2017</v>
      </c>
      <c r="I30" s="87">
        <v>2022</v>
      </c>
      <c r="J30" s="53">
        <f t="shared" si="2"/>
        <v>156628</v>
      </c>
      <c r="K30" s="54">
        <v>712</v>
      </c>
      <c r="L30" s="55">
        <v>30</v>
      </c>
      <c r="M30" s="56">
        <f t="shared" si="3"/>
        <v>2386</v>
      </c>
      <c r="N30" s="57">
        <v>2386</v>
      </c>
      <c r="O30" s="65">
        <v>0</v>
      </c>
      <c r="P30" s="58">
        <v>0</v>
      </c>
      <c r="Q30" s="55">
        <v>0</v>
      </c>
      <c r="R30" s="59">
        <v>60000</v>
      </c>
      <c r="S30" s="58">
        <v>0</v>
      </c>
      <c r="T30" s="55">
        <v>0</v>
      </c>
      <c r="U30" s="59">
        <v>93500</v>
      </c>
      <c r="V30" s="58">
        <v>0</v>
      </c>
      <c r="W30" s="55">
        <v>0</v>
      </c>
      <c r="X30" s="59">
        <v>0</v>
      </c>
      <c r="Y30" s="58">
        <v>0</v>
      </c>
      <c r="Z30" s="55">
        <v>0</v>
      </c>
      <c r="AA30" s="60">
        <v>0</v>
      </c>
      <c r="AB30" s="14"/>
      <c r="AC30" s="14"/>
      <c r="AD30" s="14"/>
      <c r="AE30" s="14"/>
    </row>
    <row r="31" spans="1:31" ht="28.5" customHeight="1">
      <c r="A31" s="327">
        <v>230</v>
      </c>
      <c r="B31" s="342">
        <v>2212</v>
      </c>
      <c r="C31" s="343">
        <v>6121</v>
      </c>
      <c r="D31" s="345">
        <v>3216</v>
      </c>
      <c r="E31" s="975" t="s">
        <v>471</v>
      </c>
      <c r="F31" s="83" t="s">
        <v>266</v>
      </c>
      <c r="G31" s="67">
        <v>400</v>
      </c>
      <c r="H31" s="67">
        <v>2017</v>
      </c>
      <c r="I31" s="68">
        <v>2019</v>
      </c>
      <c r="J31" s="53">
        <f t="shared" si="2"/>
        <v>2349</v>
      </c>
      <c r="K31" s="54">
        <v>0</v>
      </c>
      <c r="L31" s="55">
        <v>0</v>
      </c>
      <c r="M31" s="56">
        <f t="shared" si="3"/>
        <v>2349</v>
      </c>
      <c r="N31" s="57">
        <v>49</v>
      </c>
      <c r="O31" s="65">
        <v>2300</v>
      </c>
      <c r="P31" s="58">
        <v>0</v>
      </c>
      <c r="Q31" s="55">
        <v>0</v>
      </c>
      <c r="R31" s="59">
        <v>0</v>
      </c>
      <c r="S31" s="58">
        <v>0</v>
      </c>
      <c r="T31" s="55">
        <v>0</v>
      </c>
      <c r="U31" s="59">
        <v>0</v>
      </c>
      <c r="V31" s="58">
        <v>0</v>
      </c>
      <c r="W31" s="55">
        <v>0</v>
      </c>
      <c r="X31" s="59">
        <v>0</v>
      </c>
      <c r="Y31" s="58">
        <v>0</v>
      </c>
      <c r="Z31" s="55">
        <v>0</v>
      </c>
      <c r="AA31" s="60">
        <v>0</v>
      </c>
      <c r="AB31" s="14"/>
      <c r="AC31" s="14"/>
      <c r="AD31" s="14"/>
      <c r="AE31" s="14"/>
    </row>
    <row r="32" spans="1:31" ht="28.5" customHeight="1">
      <c r="A32" s="327">
        <v>230</v>
      </c>
      <c r="B32" s="342">
        <v>2212</v>
      </c>
      <c r="C32" s="343">
        <v>6121</v>
      </c>
      <c r="D32" s="336">
        <v>3217</v>
      </c>
      <c r="E32" s="339" t="s">
        <v>20</v>
      </c>
      <c r="F32" s="83" t="s">
        <v>248</v>
      </c>
      <c r="G32" s="67">
        <v>400</v>
      </c>
      <c r="H32" s="67">
        <v>2017</v>
      </c>
      <c r="I32" s="68">
        <v>2019</v>
      </c>
      <c r="J32" s="53">
        <f t="shared" si="2"/>
        <v>149000</v>
      </c>
      <c r="K32" s="54">
        <v>0</v>
      </c>
      <c r="L32" s="55">
        <v>1196</v>
      </c>
      <c r="M32" s="56">
        <f t="shared" si="3"/>
        <v>1804</v>
      </c>
      <c r="N32" s="57">
        <v>804</v>
      </c>
      <c r="O32" s="65">
        <f>1000</f>
        <v>1000</v>
      </c>
      <c r="P32" s="58">
        <v>0</v>
      </c>
      <c r="Q32" s="55">
        <v>0</v>
      </c>
      <c r="R32" s="59">
        <v>10000</v>
      </c>
      <c r="S32" s="58">
        <v>0</v>
      </c>
      <c r="T32" s="55">
        <v>0</v>
      </c>
      <c r="U32" s="59">
        <v>15000</v>
      </c>
      <c r="V32" s="58">
        <v>0</v>
      </c>
      <c r="W32" s="55">
        <v>0</v>
      </c>
      <c r="X32" s="59">
        <v>121000</v>
      </c>
      <c r="Y32" s="58">
        <v>0</v>
      </c>
      <c r="Z32" s="55">
        <v>0</v>
      </c>
      <c r="AA32" s="60">
        <v>0</v>
      </c>
      <c r="AB32" s="14"/>
      <c r="AC32" s="14"/>
      <c r="AD32" s="14"/>
      <c r="AE32" s="14"/>
    </row>
    <row r="33" spans="1:31" ht="28.5" customHeight="1">
      <c r="A33" s="327">
        <v>230</v>
      </c>
      <c r="B33" s="342">
        <v>2212</v>
      </c>
      <c r="C33" s="343">
        <v>6121</v>
      </c>
      <c r="D33" s="336">
        <v>3221</v>
      </c>
      <c r="E33" s="339" t="s">
        <v>453</v>
      </c>
      <c r="F33" s="83" t="s">
        <v>273</v>
      </c>
      <c r="G33" s="67">
        <v>400</v>
      </c>
      <c r="H33" s="67">
        <v>2017</v>
      </c>
      <c r="I33" s="68">
        <v>2019</v>
      </c>
      <c r="J33" s="53">
        <f t="shared" si="2"/>
        <v>1965</v>
      </c>
      <c r="K33" s="54">
        <v>12</v>
      </c>
      <c r="L33" s="55">
        <v>134</v>
      </c>
      <c r="M33" s="56">
        <f t="shared" si="3"/>
        <v>1819</v>
      </c>
      <c r="N33" s="57">
        <v>1419</v>
      </c>
      <c r="O33" s="65">
        <v>400</v>
      </c>
      <c r="P33" s="58">
        <v>0</v>
      </c>
      <c r="Q33" s="55">
        <v>0</v>
      </c>
      <c r="R33" s="59">
        <v>0</v>
      </c>
      <c r="S33" s="58">
        <v>0</v>
      </c>
      <c r="T33" s="55">
        <v>0</v>
      </c>
      <c r="U33" s="59">
        <v>0</v>
      </c>
      <c r="V33" s="58">
        <v>0</v>
      </c>
      <c r="W33" s="55">
        <v>0</v>
      </c>
      <c r="X33" s="59">
        <v>0</v>
      </c>
      <c r="Y33" s="58">
        <v>0</v>
      </c>
      <c r="Z33" s="55">
        <v>0</v>
      </c>
      <c r="AA33" s="60">
        <v>0</v>
      </c>
      <c r="AB33" s="14"/>
      <c r="AC33" s="14"/>
      <c r="AD33" s="14"/>
      <c r="AE33" s="14"/>
    </row>
    <row r="34" spans="1:31" ht="25.5" customHeight="1">
      <c r="A34" s="327">
        <v>230</v>
      </c>
      <c r="B34" s="342">
        <v>2212</v>
      </c>
      <c r="C34" s="343">
        <v>6121</v>
      </c>
      <c r="D34" s="345">
        <v>3222</v>
      </c>
      <c r="E34" s="975" t="s">
        <v>567</v>
      </c>
      <c r="F34" s="83" t="s">
        <v>568</v>
      </c>
      <c r="G34" s="67">
        <v>400</v>
      </c>
      <c r="H34" s="67">
        <v>8</v>
      </c>
      <c r="I34" s="68">
        <v>17</v>
      </c>
      <c r="J34" s="53">
        <f t="shared" si="2"/>
        <v>39687</v>
      </c>
      <c r="K34" s="54">
        <v>36587</v>
      </c>
      <c r="L34" s="55">
        <v>2720</v>
      </c>
      <c r="M34" s="56">
        <f t="shared" si="3"/>
        <v>380</v>
      </c>
      <c r="N34" s="57">
        <v>380</v>
      </c>
      <c r="O34" s="65">
        <v>0</v>
      </c>
      <c r="P34" s="58">
        <v>0</v>
      </c>
      <c r="Q34" s="55">
        <v>0</v>
      </c>
      <c r="R34" s="59">
        <v>0</v>
      </c>
      <c r="S34" s="58">
        <v>0</v>
      </c>
      <c r="T34" s="55">
        <v>0</v>
      </c>
      <c r="U34" s="59">
        <v>0</v>
      </c>
      <c r="V34" s="58">
        <v>0</v>
      </c>
      <c r="W34" s="55">
        <v>0</v>
      </c>
      <c r="X34" s="59">
        <v>0</v>
      </c>
      <c r="Y34" s="58">
        <v>0</v>
      </c>
      <c r="Z34" s="55">
        <v>0</v>
      </c>
      <c r="AA34" s="60">
        <v>0</v>
      </c>
      <c r="AB34" s="14"/>
      <c r="AC34" s="14"/>
      <c r="AD34" s="14"/>
      <c r="AE34" s="14"/>
    </row>
    <row r="35" spans="1:31" ht="28.5" customHeight="1">
      <c r="A35" s="327">
        <v>230</v>
      </c>
      <c r="B35" s="342">
        <v>2212</v>
      </c>
      <c r="C35" s="343">
        <v>6121</v>
      </c>
      <c r="D35" s="330">
        <v>3231</v>
      </c>
      <c r="E35" s="211" t="s">
        <v>21</v>
      </c>
      <c r="F35" s="83" t="s">
        <v>261</v>
      </c>
      <c r="G35" s="67">
        <v>400</v>
      </c>
      <c r="H35" s="67">
        <v>2017</v>
      </c>
      <c r="I35" s="68">
        <v>2020</v>
      </c>
      <c r="J35" s="53">
        <f t="shared" si="2"/>
        <v>37200</v>
      </c>
      <c r="K35" s="54">
        <v>0</v>
      </c>
      <c r="L35" s="55">
        <v>923</v>
      </c>
      <c r="M35" s="56">
        <f t="shared" si="3"/>
        <v>77</v>
      </c>
      <c r="N35" s="57">
        <v>77</v>
      </c>
      <c r="O35" s="65">
        <f>300-300</f>
        <v>0</v>
      </c>
      <c r="P35" s="58">
        <v>0</v>
      </c>
      <c r="Q35" s="55">
        <v>0</v>
      </c>
      <c r="R35" s="59">
        <v>36200</v>
      </c>
      <c r="S35" s="58">
        <v>0</v>
      </c>
      <c r="T35" s="55">
        <v>0</v>
      </c>
      <c r="U35" s="59">
        <v>0</v>
      </c>
      <c r="V35" s="58">
        <v>0</v>
      </c>
      <c r="W35" s="55">
        <v>0</v>
      </c>
      <c r="X35" s="59">
        <v>0</v>
      </c>
      <c r="Y35" s="58">
        <v>0</v>
      </c>
      <c r="Z35" s="55">
        <v>0</v>
      </c>
      <c r="AA35" s="60">
        <v>0</v>
      </c>
      <c r="AB35" s="14"/>
      <c r="AC35" s="14"/>
      <c r="AD35" s="14"/>
      <c r="AE35" s="14"/>
    </row>
    <row r="36" spans="1:31" ht="28.5" customHeight="1">
      <c r="A36" s="327">
        <v>230</v>
      </c>
      <c r="B36" s="342">
        <v>2212</v>
      </c>
      <c r="C36" s="343">
        <v>6121</v>
      </c>
      <c r="D36" s="345">
        <v>3232</v>
      </c>
      <c r="E36" s="346" t="s">
        <v>454</v>
      </c>
      <c r="F36" s="83" t="s">
        <v>248</v>
      </c>
      <c r="G36" s="67">
        <v>400</v>
      </c>
      <c r="H36" s="67">
        <v>2017</v>
      </c>
      <c r="I36" s="68">
        <v>2019</v>
      </c>
      <c r="J36" s="53">
        <f t="shared" si="2"/>
        <v>19000</v>
      </c>
      <c r="K36" s="54">
        <v>0</v>
      </c>
      <c r="L36" s="55">
        <v>5276</v>
      </c>
      <c r="M36" s="56">
        <f t="shared" si="3"/>
        <v>13724</v>
      </c>
      <c r="N36" s="57">
        <v>3724</v>
      </c>
      <c r="O36" s="65">
        <v>10000</v>
      </c>
      <c r="P36" s="58">
        <v>0</v>
      </c>
      <c r="Q36" s="55">
        <v>0</v>
      </c>
      <c r="R36" s="59">
        <v>0</v>
      </c>
      <c r="S36" s="58">
        <v>0</v>
      </c>
      <c r="T36" s="55">
        <v>0</v>
      </c>
      <c r="U36" s="59">
        <v>0</v>
      </c>
      <c r="V36" s="58">
        <v>0</v>
      </c>
      <c r="W36" s="55">
        <v>0</v>
      </c>
      <c r="X36" s="59">
        <v>0</v>
      </c>
      <c r="Y36" s="58">
        <v>0</v>
      </c>
      <c r="Z36" s="55">
        <v>0</v>
      </c>
      <c r="AA36" s="60">
        <v>0</v>
      </c>
      <c r="AB36" s="14"/>
      <c r="AC36" s="14"/>
      <c r="AD36" s="14"/>
      <c r="AE36" s="14"/>
    </row>
    <row r="37" spans="1:121" s="16" customFormat="1" ht="28.5" customHeight="1">
      <c r="A37" s="327">
        <v>230</v>
      </c>
      <c r="B37" s="347">
        <v>2212</v>
      </c>
      <c r="C37" s="348">
        <v>6121</v>
      </c>
      <c r="D37" s="349">
        <v>3234</v>
      </c>
      <c r="E37" s="346" t="s">
        <v>29</v>
      </c>
      <c r="F37" s="350" t="s">
        <v>248</v>
      </c>
      <c r="G37" s="351">
        <v>400</v>
      </c>
      <c r="H37" s="351">
        <v>2015</v>
      </c>
      <c r="I37" s="352">
        <v>2019</v>
      </c>
      <c r="J37" s="353">
        <f>K37+L37+M37+SUM(R37:AA37)</f>
        <v>3676</v>
      </c>
      <c r="K37" s="354">
        <v>126</v>
      </c>
      <c r="L37" s="355">
        <v>1800</v>
      </c>
      <c r="M37" s="356">
        <f t="shared" si="3"/>
        <v>1750</v>
      </c>
      <c r="N37" s="357">
        <v>1750</v>
      </c>
      <c r="O37" s="358">
        <v>0</v>
      </c>
      <c r="P37" s="359">
        <v>0</v>
      </c>
      <c r="Q37" s="360">
        <v>0</v>
      </c>
      <c r="R37" s="361">
        <v>0</v>
      </c>
      <c r="S37" s="359">
        <v>0</v>
      </c>
      <c r="T37" s="360">
        <v>0</v>
      </c>
      <c r="U37" s="361">
        <v>0</v>
      </c>
      <c r="V37" s="359">
        <v>0</v>
      </c>
      <c r="W37" s="360">
        <v>0</v>
      </c>
      <c r="X37" s="361">
        <v>0</v>
      </c>
      <c r="Y37" s="359">
        <v>0</v>
      </c>
      <c r="Z37" s="360">
        <v>0</v>
      </c>
      <c r="AA37" s="362">
        <v>0</v>
      </c>
      <c r="AB37" s="245"/>
      <c r="AC37" s="245"/>
      <c r="AD37" s="245"/>
      <c r="AE37" s="245"/>
      <c r="AF37" s="245"/>
      <c r="AG37" s="245"/>
      <c r="AH37" s="245"/>
      <c r="AI37" s="245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</row>
    <row r="38" spans="1:31" ht="28.5" customHeight="1">
      <c r="A38" s="327">
        <v>230</v>
      </c>
      <c r="B38" s="342">
        <v>2212</v>
      </c>
      <c r="C38" s="343">
        <v>6121</v>
      </c>
      <c r="D38" s="336">
        <v>3235</v>
      </c>
      <c r="E38" s="339" t="s">
        <v>495</v>
      </c>
      <c r="F38" s="363" t="s">
        <v>22</v>
      </c>
      <c r="G38" s="67">
        <v>400</v>
      </c>
      <c r="H38" s="67">
        <v>2018</v>
      </c>
      <c r="I38" s="68">
        <v>2021</v>
      </c>
      <c r="J38" s="53">
        <f t="shared" si="2"/>
        <v>154620</v>
      </c>
      <c r="K38" s="54">
        <v>0</v>
      </c>
      <c r="L38" s="55">
        <v>500</v>
      </c>
      <c r="M38" s="56">
        <f t="shared" si="3"/>
        <v>2120</v>
      </c>
      <c r="N38" s="57">
        <f>2120</f>
        <v>2120</v>
      </c>
      <c r="O38" s="65">
        <v>0</v>
      </c>
      <c r="P38" s="58">
        <v>0</v>
      </c>
      <c r="Q38" s="55">
        <v>0</v>
      </c>
      <c r="R38" s="59">
        <v>76000</v>
      </c>
      <c r="S38" s="58">
        <v>0</v>
      </c>
      <c r="T38" s="55">
        <v>0</v>
      </c>
      <c r="U38" s="59">
        <v>76000</v>
      </c>
      <c r="V38" s="58">
        <v>0</v>
      </c>
      <c r="W38" s="55">
        <v>0</v>
      </c>
      <c r="X38" s="59">
        <v>0</v>
      </c>
      <c r="Y38" s="58">
        <v>0</v>
      </c>
      <c r="Z38" s="55">
        <v>0</v>
      </c>
      <c r="AA38" s="60">
        <v>0</v>
      </c>
      <c r="AB38" s="14"/>
      <c r="AC38" s="14"/>
      <c r="AD38" s="14"/>
      <c r="AE38" s="14"/>
    </row>
    <row r="39" spans="1:31" ht="28.5" customHeight="1">
      <c r="A39" s="327">
        <v>230</v>
      </c>
      <c r="B39" s="342">
        <v>2212</v>
      </c>
      <c r="C39" s="343">
        <v>6121</v>
      </c>
      <c r="D39" s="336">
        <v>3238</v>
      </c>
      <c r="E39" s="339" t="s">
        <v>23</v>
      </c>
      <c r="F39" s="203" t="s">
        <v>24</v>
      </c>
      <c r="G39" s="67">
        <v>400</v>
      </c>
      <c r="H39" s="67">
        <v>2017</v>
      </c>
      <c r="I39" s="68">
        <v>2020</v>
      </c>
      <c r="J39" s="53">
        <f t="shared" si="2"/>
        <v>14140</v>
      </c>
      <c r="K39" s="54">
        <v>0</v>
      </c>
      <c r="L39" s="55">
        <v>409</v>
      </c>
      <c r="M39" s="56">
        <f t="shared" si="3"/>
        <v>1731</v>
      </c>
      <c r="N39" s="57">
        <v>731</v>
      </c>
      <c r="O39" s="65">
        <v>1000</v>
      </c>
      <c r="P39" s="58">
        <v>0</v>
      </c>
      <c r="Q39" s="55">
        <v>0</v>
      </c>
      <c r="R39" s="59">
        <v>12000</v>
      </c>
      <c r="S39" s="58">
        <v>0</v>
      </c>
      <c r="T39" s="55">
        <v>0</v>
      </c>
      <c r="U39" s="59">
        <v>0</v>
      </c>
      <c r="V39" s="58">
        <v>0</v>
      </c>
      <c r="W39" s="55">
        <v>0</v>
      </c>
      <c r="X39" s="59">
        <v>0</v>
      </c>
      <c r="Y39" s="58">
        <v>0</v>
      </c>
      <c r="Z39" s="55">
        <v>0</v>
      </c>
      <c r="AA39" s="60">
        <v>0</v>
      </c>
      <c r="AB39" s="14"/>
      <c r="AC39" s="14"/>
      <c r="AD39" s="14"/>
      <c r="AE39" s="14"/>
    </row>
    <row r="40" spans="1:31" ht="28.5" customHeight="1">
      <c r="A40" s="327">
        <v>230</v>
      </c>
      <c r="B40" s="342">
        <v>2212</v>
      </c>
      <c r="C40" s="343">
        <v>6121</v>
      </c>
      <c r="D40" s="336">
        <v>3242</v>
      </c>
      <c r="E40" s="339" t="s">
        <v>25</v>
      </c>
      <c r="F40" s="83" t="s">
        <v>245</v>
      </c>
      <c r="G40" s="67">
        <v>400</v>
      </c>
      <c r="H40" s="67">
        <v>2019</v>
      </c>
      <c r="I40" s="68">
        <v>2022</v>
      </c>
      <c r="J40" s="53">
        <f t="shared" si="2"/>
        <v>57000</v>
      </c>
      <c r="K40" s="54">
        <v>0</v>
      </c>
      <c r="L40" s="55">
        <f>29+84</f>
        <v>113</v>
      </c>
      <c r="M40" s="56">
        <f t="shared" si="3"/>
        <v>1287</v>
      </c>
      <c r="N40" s="57">
        <v>187</v>
      </c>
      <c r="O40" s="65">
        <v>1100</v>
      </c>
      <c r="P40" s="58">
        <v>0</v>
      </c>
      <c r="Q40" s="55">
        <v>0</v>
      </c>
      <c r="R40" s="59">
        <v>1000</v>
      </c>
      <c r="S40" s="58">
        <v>0</v>
      </c>
      <c r="T40" s="55">
        <v>0</v>
      </c>
      <c r="U40" s="59">
        <v>35000</v>
      </c>
      <c r="V40" s="58">
        <v>0</v>
      </c>
      <c r="W40" s="55">
        <v>0</v>
      </c>
      <c r="X40" s="59">
        <v>19600</v>
      </c>
      <c r="Y40" s="58">
        <v>0</v>
      </c>
      <c r="Z40" s="55">
        <v>0</v>
      </c>
      <c r="AA40" s="60">
        <v>0</v>
      </c>
      <c r="AB40" s="14"/>
      <c r="AC40" s="14"/>
      <c r="AD40" s="14"/>
      <c r="AE40" s="14"/>
    </row>
    <row r="41" spans="1:31" ht="28.5" customHeight="1">
      <c r="A41" s="327">
        <v>230</v>
      </c>
      <c r="B41" s="364">
        <v>2212</v>
      </c>
      <c r="C41" s="365">
        <v>6121</v>
      </c>
      <c r="D41" s="366">
        <v>3248</v>
      </c>
      <c r="E41" s="339" t="s">
        <v>26</v>
      </c>
      <c r="F41" s="367" t="s">
        <v>248</v>
      </c>
      <c r="G41" s="67">
        <v>400</v>
      </c>
      <c r="H41" s="67">
        <v>2018</v>
      </c>
      <c r="I41" s="68">
        <v>2022</v>
      </c>
      <c r="J41" s="53">
        <f aca="true" t="shared" si="4" ref="J41:J57">K41+L41+M41+SUM(R41:AA41)</f>
        <v>81049</v>
      </c>
      <c r="K41" s="54">
        <v>0</v>
      </c>
      <c r="L41" s="55">
        <v>83</v>
      </c>
      <c r="M41" s="56">
        <f aca="true" t="shared" si="5" ref="M41:M57">N41+O41+P41+Q41</f>
        <v>966</v>
      </c>
      <c r="N41" s="57">
        <v>66</v>
      </c>
      <c r="O41" s="65">
        <v>900</v>
      </c>
      <c r="P41" s="58">
        <v>0</v>
      </c>
      <c r="Q41" s="55">
        <v>0</v>
      </c>
      <c r="R41" s="59">
        <v>0</v>
      </c>
      <c r="S41" s="58">
        <v>0</v>
      </c>
      <c r="T41" s="55">
        <v>0</v>
      </c>
      <c r="U41" s="59">
        <v>0</v>
      </c>
      <c r="V41" s="58">
        <v>0</v>
      </c>
      <c r="W41" s="55">
        <v>0</v>
      </c>
      <c r="X41" s="59">
        <v>80000</v>
      </c>
      <c r="Y41" s="58">
        <v>0</v>
      </c>
      <c r="Z41" s="55">
        <v>0</v>
      </c>
      <c r="AA41" s="60">
        <v>0</v>
      </c>
      <c r="AB41" s="14"/>
      <c r="AC41" s="14"/>
      <c r="AD41" s="14"/>
      <c r="AE41" s="14"/>
    </row>
    <row r="42" spans="1:121" s="123" customFormat="1" ht="28.5" customHeight="1">
      <c r="A42" s="327">
        <v>230</v>
      </c>
      <c r="B42" s="337">
        <v>2212</v>
      </c>
      <c r="C42" s="338">
        <v>6121</v>
      </c>
      <c r="D42" s="330">
        <v>3256</v>
      </c>
      <c r="E42" s="193" t="s">
        <v>27</v>
      </c>
      <c r="F42" s="83" t="s">
        <v>273</v>
      </c>
      <c r="G42" s="67">
        <v>400</v>
      </c>
      <c r="H42" s="67">
        <v>2018</v>
      </c>
      <c r="I42" s="68">
        <v>2019</v>
      </c>
      <c r="J42" s="53">
        <f t="shared" si="4"/>
        <v>1200</v>
      </c>
      <c r="K42" s="54">
        <v>0</v>
      </c>
      <c r="L42" s="55">
        <v>0</v>
      </c>
      <c r="M42" s="56">
        <f t="shared" si="5"/>
        <v>0</v>
      </c>
      <c r="N42" s="57">
        <v>0</v>
      </c>
      <c r="O42" s="65">
        <f>200-200</f>
        <v>0</v>
      </c>
      <c r="P42" s="58">
        <v>0</v>
      </c>
      <c r="Q42" s="55">
        <v>0</v>
      </c>
      <c r="R42" s="59">
        <f>1000+200</f>
        <v>1200</v>
      </c>
      <c r="S42" s="58">
        <v>0</v>
      </c>
      <c r="T42" s="55">
        <v>0</v>
      </c>
      <c r="U42" s="59">
        <v>0</v>
      </c>
      <c r="V42" s="58">
        <v>0</v>
      </c>
      <c r="W42" s="55">
        <v>0</v>
      </c>
      <c r="X42" s="59">
        <v>0</v>
      </c>
      <c r="Y42" s="58">
        <v>0</v>
      </c>
      <c r="Z42" s="55">
        <v>0</v>
      </c>
      <c r="AA42" s="60">
        <v>0</v>
      </c>
      <c r="AB42" s="14"/>
      <c r="AC42" s="14"/>
      <c r="AD42" s="14"/>
      <c r="AE42" s="14"/>
      <c r="AF42" s="245"/>
      <c r="AG42" s="245"/>
      <c r="AH42" s="245"/>
      <c r="AI42" s="245"/>
      <c r="AJ42" s="8"/>
      <c r="AK42" s="8"/>
      <c r="AL42" s="8"/>
      <c r="AM42" s="8"/>
      <c r="AN42" s="8"/>
      <c r="AO42" s="8"/>
      <c r="AP42" s="8"/>
      <c r="AQ42" s="8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  <c r="BD42" s="264"/>
      <c r="BE42" s="264"/>
      <c r="BF42" s="264"/>
      <c r="BG42" s="264"/>
      <c r="BH42" s="264"/>
      <c r="BI42" s="264"/>
      <c r="BJ42" s="264"/>
      <c r="BK42" s="264"/>
      <c r="BL42" s="264"/>
      <c r="BM42" s="264"/>
      <c r="BN42" s="264"/>
      <c r="BO42" s="264"/>
      <c r="BP42" s="264"/>
      <c r="BQ42" s="264"/>
      <c r="BR42" s="264"/>
      <c r="BS42" s="264"/>
      <c r="BT42" s="264"/>
      <c r="BU42" s="264"/>
      <c r="BV42" s="264"/>
      <c r="BW42" s="264"/>
      <c r="BX42" s="264"/>
      <c r="BY42" s="264"/>
      <c r="BZ42" s="264"/>
      <c r="CA42" s="264"/>
      <c r="CB42" s="264"/>
      <c r="CC42" s="264"/>
      <c r="CD42" s="264"/>
      <c r="CE42" s="264"/>
      <c r="CF42" s="264"/>
      <c r="CG42" s="264"/>
      <c r="CH42" s="264"/>
      <c r="CI42" s="264"/>
      <c r="CJ42" s="264"/>
      <c r="CK42" s="264"/>
      <c r="CL42" s="264"/>
      <c r="CM42" s="264"/>
      <c r="CN42" s="264"/>
      <c r="CO42" s="264"/>
      <c r="CP42" s="264"/>
      <c r="CQ42" s="264"/>
      <c r="CR42" s="264"/>
      <c r="CS42" s="264"/>
      <c r="CT42" s="264"/>
      <c r="CU42" s="264"/>
      <c r="CV42" s="264"/>
      <c r="CW42" s="264"/>
      <c r="CX42" s="264"/>
      <c r="CY42" s="264"/>
      <c r="CZ42" s="264"/>
      <c r="DA42" s="264"/>
      <c r="DB42" s="264"/>
      <c r="DC42" s="264"/>
      <c r="DD42" s="264"/>
      <c r="DE42" s="264"/>
      <c r="DF42" s="264"/>
      <c r="DG42" s="264"/>
      <c r="DH42" s="264"/>
      <c r="DI42" s="264"/>
      <c r="DJ42" s="264"/>
      <c r="DK42" s="264"/>
      <c r="DL42" s="264"/>
      <c r="DM42" s="264"/>
      <c r="DN42" s="264"/>
      <c r="DO42" s="264"/>
      <c r="DP42" s="264"/>
      <c r="DQ42" s="264"/>
    </row>
    <row r="43" spans="1:35" s="8" customFormat="1" ht="28.5" customHeight="1">
      <c r="A43" s="327">
        <v>230</v>
      </c>
      <c r="B43" s="347">
        <v>2212</v>
      </c>
      <c r="C43" s="348">
        <v>6121</v>
      </c>
      <c r="D43" s="1274">
        <v>7332</v>
      </c>
      <c r="E43" s="975" t="s">
        <v>284</v>
      </c>
      <c r="F43" s="368" t="s">
        <v>285</v>
      </c>
      <c r="G43" s="369">
        <v>400</v>
      </c>
      <c r="H43" s="369">
        <v>2017</v>
      </c>
      <c r="I43" s="370">
        <v>2021</v>
      </c>
      <c r="J43" s="371">
        <f t="shared" si="4"/>
        <v>105883</v>
      </c>
      <c r="K43" s="372">
        <v>981</v>
      </c>
      <c r="L43" s="373">
        <v>31</v>
      </c>
      <c r="M43" s="374">
        <f t="shared" si="5"/>
        <v>44871</v>
      </c>
      <c r="N43" s="375">
        <v>14590</v>
      </c>
      <c r="O43" s="376">
        <f>50281-20000</f>
        <v>30281</v>
      </c>
      <c r="P43" s="377">
        <v>0</v>
      </c>
      <c r="Q43" s="373">
        <v>0</v>
      </c>
      <c r="R43" s="378">
        <f>30000+10000+20000</f>
        <v>60000</v>
      </c>
      <c r="S43" s="377">
        <v>0</v>
      </c>
      <c r="T43" s="373">
        <v>0</v>
      </c>
      <c r="U43" s="378">
        <v>0</v>
      </c>
      <c r="V43" s="377">
        <v>0</v>
      </c>
      <c r="W43" s="373">
        <v>0</v>
      </c>
      <c r="X43" s="378">
        <v>0</v>
      </c>
      <c r="Y43" s="377">
        <v>0</v>
      </c>
      <c r="Z43" s="373">
        <v>0</v>
      </c>
      <c r="AA43" s="379">
        <v>0</v>
      </c>
      <c r="AB43" s="245"/>
      <c r="AC43" s="245"/>
      <c r="AD43" s="245"/>
      <c r="AE43" s="245"/>
      <c r="AF43" s="245"/>
      <c r="AG43" s="245"/>
      <c r="AH43" s="245"/>
      <c r="AI43" s="245"/>
    </row>
    <row r="44" spans="1:121" s="16" customFormat="1" ht="42" customHeight="1">
      <c r="A44" s="327">
        <v>230</v>
      </c>
      <c r="B44" s="347">
        <v>2212</v>
      </c>
      <c r="C44" s="348">
        <v>6121</v>
      </c>
      <c r="D44" s="366">
        <v>7352</v>
      </c>
      <c r="E44" s="339" t="s">
        <v>457</v>
      </c>
      <c r="F44" s="350" t="s">
        <v>248</v>
      </c>
      <c r="G44" s="351">
        <v>400</v>
      </c>
      <c r="H44" s="351">
        <v>2010</v>
      </c>
      <c r="I44" s="352">
        <v>2020</v>
      </c>
      <c r="J44" s="353">
        <f t="shared" si="4"/>
        <v>3950</v>
      </c>
      <c r="K44" s="354">
        <v>0</v>
      </c>
      <c r="L44" s="355">
        <v>0</v>
      </c>
      <c r="M44" s="356">
        <f t="shared" si="5"/>
        <v>2450</v>
      </c>
      <c r="N44" s="357">
        <v>1450</v>
      </c>
      <c r="O44" s="358">
        <v>1000</v>
      </c>
      <c r="P44" s="359">
        <v>0</v>
      </c>
      <c r="Q44" s="360">
        <v>0</v>
      </c>
      <c r="R44" s="361">
        <v>1500</v>
      </c>
      <c r="S44" s="359">
        <v>0</v>
      </c>
      <c r="T44" s="360">
        <v>0</v>
      </c>
      <c r="U44" s="361">
        <v>0</v>
      </c>
      <c r="V44" s="359">
        <v>0</v>
      </c>
      <c r="W44" s="360">
        <v>0</v>
      </c>
      <c r="X44" s="361">
        <v>0</v>
      </c>
      <c r="Y44" s="359">
        <v>0</v>
      </c>
      <c r="Z44" s="360">
        <v>0</v>
      </c>
      <c r="AA44" s="362">
        <v>0</v>
      </c>
      <c r="AB44" s="245"/>
      <c r="AC44" s="245"/>
      <c r="AD44" s="245"/>
      <c r="AE44" s="245" t="s">
        <v>307</v>
      </c>
      <c r="AF44" s="245"/>
      <c r="AG44" s="245"/>
      <c r="AH44" s="245"/>
      <c r="AI44" s="245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</row>
    <row r="45" spans="1:121" s="16" customFormat="1" ht="28.5" customHeight="1">
      <c r="A45" s="327">
        <v>230</v>
      </c>
      <c r="B45" s="381">
        <v>2212</v>
      </c>
      <c r="C45" s="382">
        <v>6121</v>
      </c>
      <c r="D45" s="383">
        <v>7356</v>
      </c>
      <c r="E45" s="212" t="s">
        <v>461</v>
      </c>
      <c r="F45" s="384" t="s">
        <v>273</v>
      </c>
      <c r="G45" s="385">
        <v>400</v>
      </c>
      <c r="H45" s="385">
        <v>2018</v>
      </c>
      <c r="I45" s="386">
        <v>2019</v>
      </c>
      <c r="J45" s="353">
        <f t="shared" si="4"/>
        <v>1000</v>
      </c>
      <c r="K45" s="387">
        <v>0</v>
      </c>
      <c r="L45" s="388">
        <v>0</v>
      </c>
      <c r="M45" s="356">
        <f t="shared" si="5"/>
        <v>1000</v>
      </c>
      <c r="N45" s="389">
        <v>1000</v>
      </c>
      <c r="O45" s="358">
        <v>0</v>
      </c>
      <c r="P45" s="390">
        <v>0</v>
      </c>
      <c r="Q45" s="388">
        <v>0</v>
      </c>
      <c r="R45" s="391">
        <v>0</v>
      </c>
      <c r="S45" s="390">
        <v>0</v>
      </c>
      <c r="T45" s="355">
        <v>0</v>
      </c>
      <c r="U45" s="392">
        <v>0</v>
      </c>
      <c r="V45" s="390">
        <v>0</v>
      </c>
      <c r="W45" s="388">
        <v>0</v>
      </c>
      <c r="X45" s="391">
        <v>0</v>
      </c>
      <c r="Y45" s="390">
        <v>0</v>
      </c>
      <c r="Z45" s="355">
        <v>0</v>
      </c>
      <c r="AA45" s="393">
        <v>0</v>
      </c>
      <c r="AB45" s="245"/>
      <c r="AC45" s="245"/>
      <c r="AD45" s="245"/>
      <c r="AE45" s="245"/>
      <c r="AF45" s="245"/>
      <c r="AG45" s="245"/>
      <c r="AH45" s="245"/>
      <c r="AI45" s="245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</row>
    <row r="46" spans="1:35" s="8" customFormat="1" ht="28.5" customHeight="1">
      <c r="A46" s="327">
        <v>230</v>
      </c>
      <c r="B46" s="394">
        <v>2212</v>
      </c>
      <c r="C46" s="395">
        <v>6121</v>
      </c>
      <c r="D46" s="336">
        <v>3260</v>
      </c>
      <c r="E46" s="205" t="s">
        <v>28</v>
      </c>
      <c r="F46" s="83" t="s">
        <v>273</v>
      </c>
      <c r="G46" s="67">
        <v>400</v>
      </c>
      <c r="H46" s="67">
        <v>2018</v>
      </c>
      <c r="I46" s="68">
        <v>2019</v>
      </c>
      <c r="J46" s="53">
        <f t="shared" si="4"/>
        <v>35200</v>
      </c>
      <c r="K46" s="54">
        <v>0</v>
      </c>
      <c r="L46" s="55">
        <v>0</v>
      </c>
      <c r="M46" s="56">
        <f t="shared" si="5"/>
        <v>35200</v>
      </c>
      <c r="N46" s="57">
        <v>0</v>
      </c>
      <c r="O46" s="65">
        <v>35200</v>
      </c>
      <c r="P46" s="58">
        <v>0</v>
      </c>
      <c r="Q46" s="55">
        <v>0</v>
      </c>
      <c r="R46" s="59">
        <v>0</v>
      </c>
      <c r="S46" s="58">
        <v>0</v>
      </c>
      <c r="T46" s="55">
        <v>0</v>
      </c>
      <c r="U46" s="59">
        <v>0</v>
      </c>
      <c r="V46" s="58">
        <v>0</v>
      </c>
      <c r="W46" s="55">
        <v>0</v>
      </c>
      <c r="X46" s="59">
        <v>0</v>
      </c>
      <c r="Y46" s="58">
        <v>0</v>
      </c>
      <c r="Z46" s="55">
        <v>0</v>
      </c>
      <c r="AA46" s="60">
        <v>0</v>
      </c>
      <c r="AB46" s="245"/>
      <c r="AC46" s="245"/>
      <c r="AE46" s="245"/>
      <c r="AF46" s="245"/>
      <c r="AG46" s="245"/>
      <c r="AH46" s="245"/>
      <c r="AI46" s="245"/>
    </row>
    <row r="47" spans="1:121" s="16" customFormat="1" ht="28.5" customHeight="1">
      <c r="A47" s="327">
        <v>230</v>
      </c>
      <c r="B47" s="382">
        <v>2212</v>
      </c>
      <c r="C47" s="396">
        <v>6121</v>
      </c>
      <c r="D47" s="380">
        <v>3261</v>
      </c>
      <c r="E47" s="397" t="s">
        <v>173</v>
      </c>
      <c r="F47" s="398" t="s">
        <v>286</v>
      </c>
      <c r="G47" s="399">
        <v>400</v>
      </c>
      <c r="H47" s="399">
        <v>2018</v>
      </c>
      <c r="I47" s="1079">
        <v>2020</v>
      </c>
      <c r="J47" s="53">
        <f t="shared" si="4"/>
        <v>10905</v>
      </c>
      <c r="K47" s="54">
        <v>0</v>
      </c>
      <c r="L47" s="55">
        <v>192</v>
      </c>
      <c r="M47" s="56">
        <f t="shared" si="5"/>
        <v>500</v>
      </c>
      <c r="N47" s="57">
        <v>0</v>
      </c>
      <c r="O47" s="64">
        <f>2000-1500</f>
        <v>500</v>
      </c>
      <c r="P47" s="58">
        <v>0</v>
      </c>
      <c r="Q47" s="55">
        <v>0</v>
      </c>
      <c r="R47" s="59">
        <v>1532</v>
      </c>
      <c r="S47" s="58">
        <v>0</v>
      </c>
      <c r="T47" s="55">
        <v>0</v>
      </c>
      <c r="U47" s="59">
        <v>8681</v>
      </c>
      <c r="V47" s="58">
        <v>0</v>
      </c>
      <c r="W47" s="55">
        <v>0</v>
      </c>
      <c r="X47" s="59">
        <v>0</v>
      </c>
      <c r="Y47" s="58">
        <v>0</v>
      </c>
      <c r="Z47" s="55">
        <v>0</v>
      </c>
      <c r="AA47" s="60">
        <v>0</v>
      </c>
      <c r="AB47" s="245"/>
      <c r="AC47" s="245"/>
      <c r="AD47" s="245"/>
      <c r="AE47" s="245"/>
      <c r="AF47" s="245"/>
      <c r="AG47" s="245"/>
      <c r="AH47" s="245"/>
      <c r="AI47" s="245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</row>
    <row r="48" spans="1:121" s="16" customFormat="1" ht="28.5" customHeight="1">
      <c r="A48" s="327">
        <v>230</v>
      </c>
      <c r="B48" s="400">
        <v>2212</v>
      </c>
      <c r="C48" s="401">
        <v>6121</v>
      </c>
      <c r="D48" s="383">
        <v>3262</v>
      </c>
      <c r="E48" s="397" t="s">
        <v>174</v>
      </c>
      <c r="F48" s="398" t="s">
        <v>248</v>
      </c>
      <c r="G48" s="399">
        <v>400</v>
      </c>
      <c r="H48" s="399">
        <v>2018</v>
      </c>
      <c r="I48" s="1079">
        <v>2020</v>
      </c>
      <c r="J48" s="53">
        <f t="shared" si="4"/>
        <v>27261</v>
      </c>
      <c r="K48" s="54">
        <v>0</v>
      </c>
      <c r="L48" s="55">
        <v>175</v>
      </c>
      <c r="M48" s="56">
        <f t="shared" si="5"/>
        <v>0</v>
      </c>
      <c r="N48" s="57">
        <v>0</v>
      </c>
      <c r="O48" s="64">
        <f>1000-1000</f>
        <v>0</v>
      </c>
      <c r="P48" s="58">
        <v>0</v>
      </c>
      <c r="Q48" s="55">
        <v>0</v>
      </c>
      <c r="R48" s="59">
        <v>4063</v>
      </c>
      <c r="S48" s="58">
        <v>0</v>
      </c>
      <c r="T48" s="55">
        <v>0</v>
      </c>
      <c r="U48" s="59">
        <v>23023</v>
      </c>
      <c r="V48" s="58">
        <v>0</v>
      </c>
      <c r="W48" s="55">
        <v>0</v>
      </c>
      <c r="X48" s="59">
        <v>0</v>
      </c>
      <c r="Y48" s="58">
        <v>0</v>
      </c>
      <c r="Z48" s="55">
        <v>0</v>
      </c>
      <c r="AA48" s="60">
        <v>0</v>
      </c>
      <c r="AB48" s="245"/>
      <c r="AC48" s="245"/>
      <c r="AD48" s="245"/>
      <c r="AE48" s="245"/>
      <c r="AF48" s="245"/>
      <c r="AG48" s="245"/>
      <c r="AH48" s="245"/>
      <c r="AI48" s="245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</row>
    <row r="49" spans="1:35" s="8" customFormat="1" ht="28.5" customHeight="1">
      <c r="A49" s="327">
        <v>100</v>
      </c>
      <c r="B49" s="394">
        <v>2212</v>
      </c>
      <c r="C49" s="1081"/>
      <c r="D49" s="336"/>
      <c r="E49" s="205" t="s">
        <v>614</v>
      </c>
      <c r="F49" s="81" t="s">
        <v>250</v>
      </c>
      <c r="G49" s="62">
        <v>423</v>
      </c>
      <c r="H49" s="62">
        <v>2018</v>
      </c>
      <c r="I49" s="63">
        <v>2019</v>
      </c>
      <c r="J49" s="45">
        <f t="shared" si="4"/>
        <v>6291</v>
      </c>
      <c r="K49" s="46">
        <v>0</v>
      </c>
      <c r="L49" s="47">
        <v>0</v>
      </c>
      <c r="M49" s="82">
        <f t="shared" si="5"/>
        <v>6291</v>
      </c>
      <c r="N49" s="49">
        <v>0</v>
      </c>
      <c r="O49" s="64">
        <v>6291</v>
      </c>
      <c r="P49" s="50">
        <v>0</v>
      </c>
      <c r="Q49" s="47">
        <v>0</v>
      </c>
      <c r="R49" s="51">
        <v>0</v>
      </c>
      <c r="S49" s="50">
        <v>0</v>
      </c>
      <c r="T49" s="47">
        <v>0</v>
      </c>
      <c r="U49" s="51">
        <v>0</v>
      </c>
      <c r="V49" s="50">
        <v>0</v>
      </c>
      <c r="W49" s="47">
        <v>0</v>
      </c>
      <c r="X49" s="51">
        <v>0</v>
      </c>
      <c r="Y49" s="50">
        <v>0</v>
      </c>
      <c r="Z49" s="47">
        <v>0</v>
      </c>
      <c r="AA49" s="52">
        <v>0</v>
      </c>
      <c r="AB49" s="245"/>
      <c r="AC49" s="245"/>
      <c r="AE49" s="245"/>
      <c r="AF49" s="245"/>
      <c r="AG49" s="245"/>
      <c r="AH49" s="245"/>
      <c r="AI49" s="245"/>
    </row>
    <row r="50" spans="1:35" s="8" customFormat="1" ht="28.5" customHeight="1">
      <c r="A50" s="327">
        <v>100</v>
      </c>
      <c r="B50" s="394">
        <v>2212</v>
      </c>
      <c r="C50" s="1081"/>
      <c r="D50" s="336"/>
      <c r="E50" s="205" t="s">
        <v>615</v>
      </c>
      <c r="F50" s="83" t="s">
        <v>254</v>
      </c>
      <c r="G50" s="67">
        <v>423</v>
      </c>
      <c r="H50" s="67">
        <v>2017</v>
      </c>
      <c r="I50" s="68">
        <v>2019</v>
      </c>
      <c r="J50" s="53">
        <f t="shared" si="4"/>
        <v>13635</v>
      </c>
      <c r="K50" s="54">
        <v>0</v>
      </c>
      <c r="L50" s="55">
        <v>4047</v>
      </c>
      <c r="M50" s="56">
        <f t="shared" si="5"/>
        <v>9588</v>
      </c>
      <c r="N50" s="57">
        <v>0</v>
      </c>
      <c r="O50" s="65">
        <v>9588</v>
      </c>
      <c r="P50" s="58">
        <v>0</v>
      </c>
      <c r="Q50" s="55">
        <v>0</v>
      </c>
      <c r="R50" s="59">
        <v>0</v>
      </c>
      <c r="S50" s="58">
        <v>0</v>
      </c>
      <c r="T50" s="55">
        <v>0</v>
      </c>
      <c r="U50" s="59">
        <v>0</v>
      </c>
      <c r="V50" s="58">
        <v>0</v>
      </c>
      <c r="W50" s="55">
        <v>0</v>
      </c>
      <c r="X50" s="59">
        <v>0</v>
      </c>
      <c r="Y50" s="58">
        <v>0</v>
      </c>
      <c r="Z50" s="55">
        <v>0</v>
      </c>
      <c r="AA50" s="60">
        <v>0</v>
      </c>
      <c r="AB50" s="245"/>
      <c r="AC50" s="245"/>
      <c r="AE50" s="245"/>
      <c r="AF50" s="245"/>
      <c r="AG50" s="245"/>
      <c r="AH50" s="245"/>
      <c r="AI50" s="245"/>
    </row>
    <row r="51" spans="1:121" s="16" customFormat="1" ht="28.5" customHeight="1">
      <c r="A51" s="402">
        <v>100</v>
      </c>
      <c r="B51" s="403">
        <v>2212</v>
      </c>
      <c r="C51" s="1082"/>
      <c r="D51" s="591">
        <v>3093</v>
      </c>
      <c r="E51" s="404" t="s">
        <v>311</v>
      </c>
      <c r="F51" s="83"/>
      <c r="G51" s="67"/>
      <c r="H51" s="67">
        <v>2019</v>
      </c>
      <c r="I51" s="68">
        <v>2019</v>
      </c>
      <c r="J51" s="175">
        <f>K51+L51+M51+SUM(R51:AA51)</f>
        <v>1000</v>
      </c>
      <c r="K51" s="54">
        <v>0</v>
      </c>
      <c r="L51" s="55">
        <v>0</v>
      </c>
      <c r="M51" s="1371">
        <f>N51+O51+P51+Q51</f>
        <v>1000</v>
      </c>
      <c r="N51" s="57">
        <v>0</v>
      </c>
      <c r="O51" s="358">
        <v>1000</v>
      </c>
      <c r="P51" s="58">
        <v>0</v>
      </c>
      <c r="Q51" s="388">
        <v>0</v>
      </c>
      <c r="R51" s="391">
        <v>0</v>
      </c>
      <c r="S51" s="390">
        <v>0</v>
      </c>
      <c r="T51" s="355">
        <v>0</v>
      </c>
      <c r="U51" s="392">
        <v>0</v>
      </c>
      <c r="V51" s="390">
        <v>0</v>
      </c>
      <c r="W51" s="388">
        <v>0</v>
      </c>
      <c r="X51" s="391">
        <v>0</v>
      </c>
      <c r="Y51" s="390">
        <v>0</v>
      </c>
      <c r="Z51" s="355">
        <v>0</v>
      </c>
      <c r="AA51" s="393">
        <v>0</v>
      </c>
      <c r="AB51" s="245"/>
      <c r="AC51" s="245"/>
      <c r="AD51" s="245"/>
      <c r="AE51" s="245"/>
      <c r="AF51" s="245"/>
      <c r="AG51" s="245"/>
      <c r="AH51" s="245"/>
      <c r="AI51" s="245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</row>
    <row r="52" spans="1:121" s="16" customFormat="1" ht="28.5" customHeight="1">
      <c r="A52" s="405">
        <v>100</v>
      </c>
      <c r="B52" s="406">
        <v>2212</v>
      </c>
      <c r="C52" s="1083"/>
      <c r="D52" s="407">
        <v>3408</v>
      </c>
      <c r="E52" s="408" t="s">
        <v>419</v>
      </c>
      <c r="F52" s="409"/>
      <c r="G52" s="410">
        <v>400</v>
      </c>
      <c r="H52" s="411">
        <v>2019</v>
      </c>
      <c r="I52" s="412">
        <v>2019</v>
      </c>
      <c r="J52" s="371">
        <f>K52+L52+M52+SUM(R52:AA52)</f>
        <v>5000</v>
      </c>
      <c r="K52" s="372">
        <v>0</v>
      </c>
      <c r="L52" s="413">
        <v>0</v>
      </c>
      <c r="M52" s="374">
        <f>N52+O52+P52+Q52</f>
        <v>5000</v>
      </c>
      <c r="N52" s="375">
        <v>0</v>
      </c>
      <c r="O52" s="376">
        <f>10000-5000</f>
        <v>5000</v>
      </c>
      <c r="P52" s="377">
        <v>0</v>
      </c>
      <c r="Q52" s="413">
        <v>0</v>
      </c>
      <c r="R52" s="378">
        <v>0</v>
      </c>
      <c r="S52" s="377">
        <v>0</v>
      </c>
      <c r="T52" s="373">
        <v>0</v>
      </c>
      <c r="U52" s="361">
        <v>0</v>
      </c>
      <c r="V52" s="377">
        <v>0</v>
      </c>
      <c r="W52" s="413">
        <v>0</v>
      </c>
      <c r="X52" s="378">
        <v>0</v>
      </c>
      <c r="Y52" s="377">
        <v>0</v>
      </c>
      <c r="Z52" s="373">
        <v>0</v>
      </c>
      <c r="AA52" s="379">
        <v>0</v>
      </c>
      <c r="AB52" s="245"/>
      <c r="AC52" s="245"/>
      <c r="AD52" s="245"/>
      <c r="AE52" s="245"/>
      <c r="AF52" s="245"/>
      <c r="AG52" s="245"/>
      <c r="AH52" s="245"/>
      <c r="AI52" s="245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</row>
    <row r="53" spans="1:121" s="16" customFormat="1" ht="45.75" customHeight="1">
      <c r="A53" s="402">
        <v>100</v>
      </c>
      <c r="B53" s="403">
        <v>2212</v>
      </c>
      <c r="C53" s="1084"/>
      <c r="D53" s="336"/>
      <c r="E53" s="205" t="s">
        <v>598</v>
      </c>
      <c r="F53" s="409"/>
      <c r="G53" s="414">
        <v>400</v>
      </c>
      <c r="H53" s="410">
        <v>2019</v>
      </c>
      <c r="I53" s="415">
        <v>2020</v>
      </c>
      <c r="J53" s="176">
        <f>K53+L53+M53+SUM(R53:AA53)</f>
        <v>158425</v>
      </c>
      <c r="K53" s="46">
        <v>0</v>
      </c>
      <c r="L53" s="47">
        <v>0</v>
      </c>
      <c r="M53" s="1372">
        <f>N53+O53+P53+Q53</f>
        <v>108425</v>
      </c>
      <c r="N53" s="49">
        <v>0</v>
      </c>
      <c r="O53" s="358">
        <v>30000</v>
      </c>
      <c r="P53" s="50">
        <f>178425-100000</f>
        <v>78425</v>
      </c>
      <c r="Q53" s="413">
        <v>0</v>
      </c>
      <c r="R53" s="378">
        <v>50000</v>
      </c>
      <c r="S53" s="377">
        <v>0</v>
      </c>
      <c r="T53" s="373">
        <v>0</v>
      </c>
      <c r="U53" s="361">
        <v>0</v>
      </c>
      <c r="V53" s="377">
        <v>0</v>
      </c>
      <c r="W53" s="413">
        <v>0</v>
      </c>
      <c r="X53" s="378">
        <v>0</v>
      </c>
      <c r="Y53" s="377">
        <v>0</v>
      </c>
      <c r="Z53" s="373">
        <v>0</v>
      </c>
      <c r="AA53" s="379">
        <v>0</v>
      </c>
      <c r="AB53" s="245"/>
      <c r="AC53" s="245"/>
      <c r="AD53" s="245"/>
      <c r="AE53" s="245"/>
      <c r="AF53" s="245"/>
      <c r="AG53" s="245"/>
      <c r="AH53" s="245"/>
      <c r="AI53" s="245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</row>
    <row r="54" spans="1:35" s="8" customFormat="1" ht="28.5" customHeight="1">
      <c r="A54" s="327">
        <v>100</v>
      </c>
      <c r="B54" s="416">
        <v>2212</v>
      </c>
      <c r="C54" s="416"/>
      <c r="D54" s="336"/>
      <c r="E54" s="205" t="s">
        <v>526</v>
      </c>
      <c r="F54" s="417" t="s">
        <v>250</v>
      </c>
      <c r="G54" s="67">
        <v>423</v>
      </c>
      <c r="H54" s="67">
        <v>2021</v>
      </c>
      <c r="I54" s="68">
        <v>2021</v>
      </c>
      <c r="J54" s="53">
        <f t="shared" si="4"/>
        <v>5116</v>
      </c>
      <c r="K54" s="54">
        <v>0</v>
      </c>
      <c r="L54" s="55">
        <v>0</v>
      </c>
      <c r="M54" s="56">
        <f t="shared" si="5"/>
        <v>0</v>
      </c>
      <c r="N54" s="57">
        <v>0</v>
      </c>
      <c r="O54" s="358">
        <v>0</v>
      </c>
      <c r="P54" s="58">
        <v>0</v>
      </c>
      <c r="Q54" s="91">
        <v>0</v>
      </c>
      <c r="R54" s="59">
        <v>0</v>
      </c>
      <c r="S54" s="58">
        <v>0</v>
      </c>
      <c r="T54" s="55">
        <v>0</v>
      </c>
      <c r="U54" s="59">
        <v>767</v>
      </c>
      <c r="V54" s="58">
        <v>4349</v>
      </c>
      <c r="W54" s="91">
        <v>0</v>
      </c>
      <c r="X54" s="59">
        <v>0</v>
      </c>
      <c r="Y54" s="58">
        <v>0</v>
      </c>
      <c r="Z54" s="55">
        <v>0</v>
      </c>
      <c r="AA54" s="60">
        <v>0</v>
      </c>
      <c r="AB54" s="245"/>
      <c r="AC54" s="245"/>
      <c r="AE54" s="245"/>
      <c r="AF54" s="245"/>
      <c r="AG54" s="245"/>
      <c r="AH54" s="245"/>
      <c r="AI54" s="245"/>
    </row>
    <row r="55" spans="1:35" s="8" customFormat="1" ht="28.5" customHeight="1">
      <c r="A55" s="327">
        <v>100</v>
      </c>
      <c r="B55" s="416">
        <v>2212</v>
      </c>
      <c r="C55" s="416"/>
      <c r="D55" s="336"/>
      <c r="E55" s="205" t="s">
        <v>617</v>
      </c>
      <c r="F55" s="417"/>
      <c r="G55" s="67">
        <v>423</v>
      </c>
      <c r="H55" s="67">
        <v>2020</v>
      </c>
      <c r="I55" s="68">
        <v>2021</v>
      </c>
      <c r="J55" s="53">
        <f t="shared" si="4"/>
        <v>37791</v>
      </c>
      <c r="K55" s="54">
        <v>0</v>
      </c>
      <c r="L55" s="55">
        <v>0</v>
      </c>
      <c r="M55" s="56">
        <f t="shared" si="5"/>
        <v>0</v>
      </c>
      <c r="N55" s="57">
        <v>0</v>
      </c>
      <c r="O55" s="358">
        <v>0</v>
      </c>
      <c r="P55" s="58">
        <v>0</v>
      </c>
      <c r="Q55" s="91">
        <v>0</v>
      </c>
      <c r="R55" s="59">
        <v>3000</v>
      </c>
      <c r="S55" s="58">
        <v>17000</v>
      </c>
      <c r="T55" s="55">
        <v>0</v>
      </c>
      <c r="U55" s="59">
        <v>2669</v>
      </c>
      <c r="V55" s="58">
        <v>15122</v>
      </c>
      <c r="W55" s="91">
        <v>0</v>
      </c>
      <c r="X55" s="59">
        <v>0</v>
      </c>
      <c r="Y55" s="58">
        <v>0</v>
      </c>
      <c r="Z55" s="55">
        <v>0</v>
      </c>
      <c r="AA55" s="60">
        <v>0</v>
      </c>
      <c r="AB55" s="245"/>
      <c r="AC55" s="245"/>
      <c r="AE55" s="245"/>
      <c r="AF55" s="245"/>
      <c r="AG55" s="245"/>
      <c r="AH55" s="245"/>
      <c r="AI55" s="245"/>
    </row>
    <row r="56" spans="1:35" s="8" customFormat="1" ht="28.5" customHeight="1">
      <c r="A56" s="327">
        <v>100</v>
      </c>
      <c r="B56" s="416">
        <v>2212</v>
      </c>
      <c r="C56" s="416"/>
      <c r="D56" s="330"/>
      <c r="E56" s="418" t="s">
        <v>618</v>
      </c>
      <c r="F56" s="417" t="s">
        <v>250</v>
      </c>
      <c r="G56" s="67"/>
      <c r="H56" s="67">
        <v>2020</v>
      </c>
      <c r="I56" s="417">
        <v>201</v>
      </c>
      <c r="J56" s="53">
        <f t="shared" si="4"/>
        <v>6000</v>
      </c>
      <c r="K56" s="54">
        <v>0</v>
      </c>
      <c r="L56" s="55">
        <v>0</v>
      </c>
      <c r="M56" s="56">
        <f t="shared" si="5"/>
        <v>0</v>
      </c>
      <c r="N56" s="57">
        <v>0</v>
      </c>
      <c r="O56" s="358">
        <v>0</v>
      </c>
      <c r="P56" s="58">
        <v>0</v>
      </c>
      <c r="Q56" s="91">
        <v>0</v>
      </c>
      <c r="R56" s="59">
        <v>1000</v>
      </c>
      <c r="S56" s="58">
        <v>0</v>
      </c>
      <c r="T56" s="55">
        <v>0</v>
      </c>
      <c r="U56" s="59">
        <v>750</v>
      </c>
      <c r="V56" s="58">
        <v>4250</v>
      </c>
      <c r="W56" s="91"/>
      <c r="X56" s="59"/>
      <c r="Y56" s="58"/>
      <c r="Z56" s="55"/>
      <c r="AA56" s="60"/>
      <c r="AB56" s="245"/>
      <c r="AC56" s="245"/>
      <c r="AE56" s="245"/>
      <c r="AF56" s="245"/>
      <c r="AG56" s="245"/>
      <c r="AH56" s="245"/>
      <c r="AI56" s="245"/>
    </row>
    <row r="57" spans="1:121" s="16" customFormat="1" ht="28.5" customHeight="1" thickBot="1">
      <c r="A57" s="419">
        <v>100</v>
      </c>
      <c r="B57" s="420">
        <v>2212</v>
      </c>
      <c r="C57" s="421"/>
      <c r="D57" s="422"/>
      <c r="E57" s="423" t="s">
        <v>527</v>
      </c>
      <c r="F57" s="424" t="s">
        <v>254</v>
      </c>
      <c r="G57" s="425">
        <v>400</v>
      </c>
      <c r="H57" s="426"/>
      <c r="I57" s="425"/>
      <c r="J57" s="1375">
        <f t="shared" si="4"/>
        <v>4098398</v>
      </c>
      <c r="K57" s="1376">
        <v>522</v>
      </c>
      <c r="L57" s="1377">
        <v>1126</v>
      </c>
      <c r="M57" s="1284">
        <f t="shared" si="5"/>
        <v>0</v>
      </c>
      <c r="N57" s="1378">
        <v>0</v>
      </c>
      <c r="O57" s="1379">
        <f>5000-5000</f>
        <v>0</v>
      </c>
      <c r="P57" s="1380">
        <v>0</v>
      </c>
      <c r="Q57" s="1377">
        <v>0</v>
      </c>
      <c r="R57" s="1381">
        <v>5000</v>
      </c>
      <c r="S57" s="1380">
        <v>0</v>
      </c>
      <c r="T57" s="1377">
        <v>0</v>
      </c>
      <c r="U57" s="1381">
        <v>210000</v>
      </c>
      <c r="V57" s="1380">
        <v>1190000</v>
      </c>
      <c r="W57" s="1377">
        <v>0</v>
      </c>
      <c r="X57" s="1381">
        <v>240000</v>
      </c>
      <c r="Y57" s="1380">
        <v>1360000</v>
      </c>
      <c r="Z57" s="1377">
        <v>0</v>
      </c>
      <c r="AA57" s="1382">
        <v>1091750</v>
      </c>
      <c r="AB57" s="245"/>
      <c r="AC57" s="245"/>
      <c r="AD57" s="245"/>
      <c r="AE57" s="245"/>
      <c r="AF57" s="245"/>
      <c r="AG57" s="245"/>
      <c r="AH57" s="245"/>
      <c r="AI57" s="245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</row>
    <row r="58" spans="1:35" s="8" customFormat="1" ht="28.5" customHeight="1" thickBot="1">
      <c r="A58" s="283"/>
      <c r="B58" s="309"/>
      <c r="C58" s="309"/>
      <c r="D58" s="309"/>
      <c r="E58" s="1514" t="s">
        <v>312</v>
      </c>
      <c r="F58" s="1514"/>
      <c r="G58" s="1514"/>
      <c r="H58" s="1514"/>
      <c r="I58" s="1509"/>
      <c r="J58" s="1007">
        <f aca="true" t="shared" si="6" ref="J58:AA58">SUM(J19:J57)</f>
        <v>7156144</v>
      </c>
      <c r="K58" s="1007">
        <f t="shared" si="6"/>
        <v>49143</v>
      </c>
      <c r="L58" s="986">
        <f t="shared" si="6"/>
        <v>20540</v>
      </c>
      <c r="M58" s="1007">
        <f t="shared" si="6"/>
        <v>288716</v>
      </c>
      <c r="N58" s="984">
        <f t="shared" si="6"/>
        <v>73583</v>
      </c>
      <c r="O58" s="985">
        <f t="shared" si="6"/>
        <v>136708</v>
      </c>
      <c r="P58" s="985">
        <f t="shared" si="6"/>
        <v>78425</v>
      </c>
      <c r="Q58" s="986">
        <f t="shared" si="6"/>
        <v>0</v>
      </c>
      <c r="R58" s="1048">
        <f t="shared" si="6"/>
        <v>505804</v>
      </c>
      <c r="S58" s="985">
        <f t="shared" si="6"/>
        <v>17000</v>
      </c>
      <c r="T58" s="1049">
        <f t="shared" si="6"/>
        <v>0</v>
      </c>
      <c r="U58" s="984">
        <f t="shared" si="6"/>
        <v>497390</v>
      </c>
      <c r="V58" s="1383">
        <f t="shared" si="6"/>
        <v>1213721</v>
      </c>
      <c r="W58" s="986">
        <f t="shared" si="6"/>
        <v>0</v>
      </c>
      <c r="X58" s="1048">
        <f t="shared" si="6"/>
        <v>460600</v>
      </c>
      <c r="Y58" s="1383">
        <f t="shared" si="6"/>
        <v>3011480</v>
      </c>
      <c r="Z58" s="1049">
        <f t="shared" si="6"/>
        <v>0</v>
      </c>
      <c r="AA58" s="1008">
        <f t="shared" si="6"/>
        <v>1091750</v>
      </c>
      <c r="AB58" s="245"/>
      <c r="AC58" s="245"/>
      <c r="AD58" s="245"/>
      <c r="AE58" s="245"/>
      <c r="AF58" s="245"/>
      <c r="AG58" s="245"/>
      <c r="AH58" s="245"/>
      <c r="AI58" s="245"/>
    </row>
    <row r="59" spans="2:27" ht="28.5" customHeight="1" thickBot="1">
      <c r="B59" s="428"/>
      <c r="C59" s="429"/>
      <c r="D59" s="299" t="s">
        <v>313</v>
      </c>
      <c r="E59" s="299"/>
      <c r="F59" s="286"/>
      <c r="G59" s="286"/>
      <c r="H59" s="430"/>
      <c r="I59" s="286"/>
      <c r="J59" s="983"/>
      <c r="K59" s="977"/>
      <c r="L59" s="977"/>
      <c r="M59" s="298"/>
      <c r="N59" s="298"/>
      <c r="O59" s="978"/>
      <c r="P59" s="851"/>
      <c r="Q59" s="979"/>
      <c r="R59" s="978"/>
      <c r="S59" s="980"/>
      <c r="T59" s="981"/>
      <c r="U59" s="982"/>
      <c r="V59" s="980"/>
      <c r="W59" s="981"/>
      <c r="X59" s="982"/>
      <c r="Y59" s="980"/>
      <c r="Z59" s="981"/>
      <c r="AA59" s="979"/>
    </row>
    <row r="60" spans="1:121" s="16" customFormat="1" ht="28.5" customHeight="1">
      <c r="A60" s="431">
        <v>230</v>
      </c>
      <c r="B60" s="304">
        <v>2219</v>
      </c>
      <c r="C60" s="305">
        <v>6121</v>
      </c>
      <c r="D60" s="432">
        <v>3091</v>
      </c>
      <c r="E60" s="433" t="s">
        <v>314</v>
      </c>
      <c r="F60" s="434" t="s">
        <v>255</v>
      </c>
      <c r="G60" s="35">
        <v>400</v>
      </c>
      <c r="H60" s="35">
        <v>2010</v>
      </c>
      <c r="I60" s="153">
        <v>2021</v>
      </c>
      <c r="J60" s="37">
        <f aca="true" t="shared" si="7" ref="J60:J85">K60+L60+M60+SUM(R60:AA60)</f>
        <v>49798</v>
      </c>
      <c r="K60" s="38">
        <v>2548</v>
      </c>
      <c r="L60" s="39">
        <v>94</v>
      </c>
      <c r="M60" s="84">
        <f>N60+O60+P60+Q60</f>
        <v>1156</v>
      </c>
      <c r="N60" s="41">
        <v>1156</v>
      </c>
      <c r="O60" s="85">
        <v>0</v>
      </c>
      <c r="P60" s="42">
        <v>0</v>
      </c>
      <c r="Q60" s="39">
        <v>0</v>
      </c>
      <c r="R60" s="43">
        <v>30000</v>
      </c>
      <c r="S60" s="42">
        <v>0</v>
      </c>
      <c r="T60" s="39">
        <v>0</v>
      </c>
      <c r="U60" s="43">
        <v>16000</v>
      </c>
      <c r="V60" s="42">
        <v>0</v>
      </c>
      <c r="W60" s="39">
        <v>0</v>
      </c>
      <c r="X60" s="43">
        <v>0</v>
      </c>
      <c r="Y60" s="42">
        <v>0</v>
      </c>
      <c r="Z60" s="128">
        <v>0</v>
      </c>
      <c r="AA60" s="174">
        <v>0</v>
      </c>
      <c r="AB60" s="17"/>
      <c r="AC60" s="435"/>
      <c r="AD60" s="17"/>
      <c r="AE60" s="17"/>
      <c r="AF60" s="17"/>
      <c r="AG60" s="245"/>
      <c r="AH60" s="245"/>
      <c r="AI60" s="245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</row>
    <row r="61" spans="1:121" s="16" customFormat="1" ht="28.5" customHeight="1">
      <c r="A61" s="431">
        <v>230</v>
      </c>
      <c r="B61" s="304">
        <v>2219</v>
      </c>
      <c r="C61" s="305">
        <v>6121</v>
      </c>
      <c r="D61" s="436">
        <v>3094</v>
      </c>
      <c r="E61" s="437" t="s">
        <v>316</v>
      </c>
      <c r="F61" s="438" t="s">
        <v>273</v>
      </c>
      <c r="G61" s="67">
        <v>400</v>
      </c>
      <c r="H61" s="67">
        <v>2011</v>
      </c>
      <c r="I61" s="155">
        <v>2018</v>
      </c>
      <c r="J61" s="53">
        <f t="shared" si="7"/>
        <v>17957</v>
      </c>
      <c r="K61" s="54">
        <v>4790</v>
      </c>
      <c r="L61" s="55">
        <v>12003</v>
      </c>
      <c r="M61" s="56">
        <f aca="true" t="shared" si="8" ref="M61:M85">N61+O61+P61+Q61</f>
        <v>1164</v>
      </c>
      <c r="N61" s="57">
        <v>1164</v>
      </c>
      <c r="O61" s="65">
        <v>0</v>
      </c>
      <c r="P61" s="58">
        <v>0</v>
      </c>
      <c r="Q61" s="55">
        <v>0</v>
      </c>
      <c r="R61" s="59">
        <v>0</v>
      </c>
      <c r="S61" s="58">
        <v>0</v>
      </c>
      <c r="T61" s="55">
        <v>0</v>
      </c>
      <c r="U61" s="59">
        <v>0</v>
      </c>
      <c r="V61" s="58">
        <v>0</v>
      </c>
      <c r="W61" s="55">
        <v>0</v>
      </c>
      <c r="X61" s="59">
        <v>0</v>
      </c>
      <c r="Y61" s="58">
        <v>0</v>
      </c>
      <c r="Z61" s="91">
        <v>0</v>
      </c>
      <c r="AA61" s="175">
        <v>0</v>
      </c>
      <c r="AB61" s="17"/>
      <c r="AC61" s="435"/>
      <c r="AD61" s="17"/>
      <c r="AE61" s="17"/>
      <c r="AF61" s="17"/>
      <c r="AG61" s="245"/>
      <c r="AH61" s="245"/>
      <c r="AI61" s="245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</row>
    <row r="62" spans="1:121" s="16" customFormat="1" ht="28.5" customHeight="1">
      <c r="A62" s="431">
        <v>230</v>
      </c>
      <c r="B62" s="304">
        <v>2219</v>
      </c>
      <c r="C62" s="305">
        <v>6121</v>
      </c>
      <c r="D62" s="336">
        <v>3097</v>
      </c>
      <c r="E62" s="233" t="s">
        <v>317</v>
      </c>
      <c r="F62" s="438" t="s">
        <v>273</v>
      </c>
      <c r="G62" s="67">
        <v>400</v>
      </c>
      <c r="H62" s="67">
        <v>2011</v>
      </c>
      <c r="I62" s="155">
        <v>2021</v>
      </c>
      <c r="J62" s="53">
        <f t="shared" si="7"/>
        <v>12505</v>
      </c>
      <c r="K62" s="54">
        <v>1671</v>
      </c>
      <c r="L62" s="55">
        <v>2</v>
      </c>
      <c r="M62" s="56">
        <f t="shared" si="8"/>
        <v>332</v>
      </c>
      <c r="N62" s="57">
        <v>332</v>
      </c>
      <c r="O62" s="65">
        <v>0</v>
      </c>
      <c r="P62" s="58">
        <v>0</v>
      </c>
      <c r="Q62" s="55">
        <v>0</v>
      </c>
      <c r="R62" s="59">
        <v>5000</v>
      </c>
      <c r="S62" s="58">
        <v>0</v>
      </c>
      <c r="T62" s="55">
        <v>0</v>
      </c>
      <c r="U62" s="59">
        <v>5500</v>
      </c>
      <c r="V62" s="58">
        <v>0</v>
      </c>
      <c r="W62" s="55">
        <v>0</v>
      </c>
      <c r="X62" s="59">
        <v>0</v>
      </c>
      <c r="Y62" s="58">
        <v>0</v>
      </c>
      <c r="Z62" s="91">
        <v>0</v>
      </c>
      <c r="AA62" s="175">
        <v>0</v>
      </c>
      <c r="AB62" s="17"/>
      <c r="AC62" s="435"/>
      <c r="AD62" s="17"/>
      <c r="AE62" s="17"/>
      <c r="AF62" s="17"/>
      <c r="AG62" s="245"/>
      <c r="AH62" s="245"/>
      <c r="AI62" s="245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</row>
    <row r="63" spans="1:121" s="16" customFormat="1" ht="28.5" customHeight="1">
      <c r="A63" s="431">
        <v>230</v>
      </c>
      <c r="B63" s="304">
        <v>2219</v>
      </c>
      <c r="C63" s="305">
        <v>6121</v>
      </c>
      <c r="D63" s="436">
        <v>3102</v>
      </c>
      <c r="E63" s="437" t="s">
        <v>318</v>
      </c>
      <c r="F63" s="438" t="s">
        <v>239</v>
      </c>
      <c r="G63" s="67">
        <v>400</v>
      </c>
      <c r="H63" s="67">
        <v>2011</v>
      </c>
      <c r="I63" s="155">
        <v>2018</v>
      </c>
      <c r="J63" s="53">
        <f t="shared" si="7"/>
        <v>25578</v>
      </c>
      <c r="K63" s="54">
        <v>20381</v>
      </c>
      <c r="L63" s="55">
        <v>4884</v>
      </c>
      <c r="M63" s="56">
        <f t="shared" si="8"/>
        <v>313</v>
      </c>
      <c r="N63" s="57">
        <v>313</v>
      </c>
      <c r="O63" s="65">
        <v>0</v>
      </c>
      <c r="P63" s="58">
        <v>0</v>
      </c>
      <c r="Q63" s="55">
        <v>0</v>
      </c>
      <c r="R63" s="59">
        <v>0</v>
      </c>
      <c r="S63" s="58">
        <v>0</v>
      </c>
      <c r="T63" s="55">
        <v>0</v>
      </c>
      <c r="U63" s="59">
        <v>0</v>
      </c>
      <c r="V63" s="58">
        <v>0</v>
      </c>
      <c r="W63" s="55">
        <v>0</v>
      </c>
      <c r="X63" s="59">
        <v>0</v>
      </c>
      <c r="Y63" s="58">
        <v>0</v>
      </c>
      <c r="Z63" s="91">
        <v>0</v>
      </c>
      <c r="AA63" s="175">
        <v>0</v>
      </c>
      <c r="AB63" s="17"/>
      <c r="AC63" s="435"/>
      <c r="AD63" s="17"/>
      <c r="AE63" s="17"/>
      <c r="AF63" s="17"/>
      <c r="AG63" s="245"/>
      <c r="AH63" s="245"/>
      <c r="AI63" s="245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</row>
    <row r="64" spans="1:121" s="16" customFormat="1" ht="28.5" customHeight="1">
      <c r="A64" s="431">
        <v>230</v>
      </c>
      <c r="B64" s="304">
        <v>2219</v>
      </c>
      <c r="C64" s="305">
        <v>6121</v>
      </c>
      <c r="D64" s="436">
        <v>3109</v>
      </c>
      <c r="E64" s="439" t="s">
        <v>319</v>
      </c>
      <c r="F64" s="438" t="s">
        <v>247</v>
      </c>
      <c r="G64" s="67">
        <v>400</v>
      </c>
      <c r="H64" s="67">
        <v>2011</v>
      </c>
      <c r="I64" s="155">
        <v>2018</v>
      </c>
      <c r="J64" s="53">
        <f t="shared" si="7"/>
        <v>18676</v>
      </c>
      <c r="K64" s="54">
        <v>1455</v>
      </c>
      <c r="L64" s="55">
        <v>4971</v>
      </c>
      <c r="M64" s="56">
        <f t="shared" si="8"/>
        <v>6250</v>
      </c>
      <c r="N64" s="57">
        <v>6250</v>
      </c>
      <c r="O64" s="65">
        <v>0</v>
      </c>
      <c r="P64" s="58">
        <v>0</v>
      </c>
      <c r="Q64" s="55">
        <v>0</v>
      </c>
      <c r="R64" s="59">
        <v>0</v>
      </c>
      <c r="S64" s="58">
        <v>0</v>
      </c>
      <c r="T64" s="55">
        <v>0</v>
      </c>
      <c r="U64" s="59">
        <v>6000</v>
      </c>
      <c r="V64" s="58">
        <v>0</v>
      </c>
      <c r="W64" s="55">
        <v>0</v>
      </c>
      <c r="X64" s="59">
        <v>0</v>
      </c>
      <c r="Y64" s="58">
        <v>0</v>
      </c>
      <c r="Z64" s="91">
        <v>0</v>
      </c>
      <c r="AA64" s="175">
        <v>0</v>
      </c>
      <c r="AB64" s="17"/>
      <c r="AC64" s="435"/>
      <c r="AD64" s="17"/>
      <c r="AE64" s="17"/>
      <c r="AF64" s="17"/>
      <c r="AG64" s="245"/>
      <c r="AH64" s="245"/>
      <c r="AI64" s="245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</row>
    <row r="65" spans="1:121" s="15" customFormat="1" ht="28.5" customHeight="1">
      <c r="A65" s="431">
        <v>230</v>
      </c>
      <c r="B65" s="304">
        <v>2219</v>
      </c>
      <c r="C65" s="305">
        <v>6121</v>
      </c>
      <c r="D65" s="336">
        <v>3111</v>
      </c>
      <c r="E65" s="440" t="s">
        <v>320</v>
      </c>
      <c r="F65" s="438" t="s">
        <v>308</v>
      </c>
      <c r="G65" s="67">
        <v>400</v>
      </c>
      <c r="H65" s="67">
        <v>2012</v>
      </c>
      <c r="I65" s="155">
        <v>2020</v>
      </c>
      <c r="J65" s="53">
        <f t="shared" si="7"/>
        <v>10466</v>
      </c>
      <c r="K65" s="54">
        <v>339</v>
      </c>
      <c r="L65" s="55">
        <v>7</v>
      </c>
      <c r="M65" s="56">
        <f t="shared" si="8"/>
        <v>420</v>
      </c>
      <c r="N65" s="57">
        <v>420</v>
      </c>
      <c r="O65" s="65">
        <v>0</v>
      </c>
      <c r="P65" s="58">
        <v>0</v>
      </c>
      <c r="Q65" s="55">
        <v>0</v>
      </c>
      <c r="R65" s="59">
        <v>9700</v>
      </c>
      <c r="S65" s="58">
        <v>0</v>
      </c>
      <c r="T65" s="55">
        <v>0</v>
      </c>
      <c r="U65" s="59">
        <v>0</v>
      </c>
      <c r="V65" s="58">
        <v>0</v>
      </c>
      <c r="W65" s="55">
        <v>0</v>
      </c>
      <c r="X65" s="59">
        <v>0</v>
      </c>
      <c r="Y65" s="58">
        <v>0</v>
      </c>
      <c r="Z65" s="91">
        <v>0</v>
      </c>
      <c r="AA65" s="175">
        <v>0</v>
      </c>
      <c r="AB65" s="435"/>
      <c r="AC65" s="245"/>
      <c r="AD65" s="245"/>
      <c r="AE65" s="245"/>
      <c r="AF65" s="245"/>
      <c r="AG65" s="245"/>
      <c r="AH65" s="245"/>
      <c r="AI65" s="245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</row>
    <row r="66" spans="1:121" s="16" customFormat="1" ht="28.5" customHeight="1">
      <c r="A66" s="431">
        <v>230</v>
      </c>
      <c r="B66" s="304">
        <v>2219</v>
      </c>
      <c r="C66" s="305">
        <v>6121</v>
      </c>
      <c r="D66" s="436">
        <v>3126</v>
      </c>
      <c r="E66" s="231" t="s">
        <v>321</v>
      </c>
      <c r="F66" s="438" t="s">
        <v>248</v>
      </c>
      <c r="G66" s="67">
        <v>400</v>
      </c>
      <c r="H66" s="67">
        <v>2012</v>
      </c>
      <c r="I66" s="155">
        <v>2019</v>
      </c>
      <c r="J66" s="53">
        <f t="shared" si="7"/>
        <v>12287</v>
      </c>
      <c r="K66" s="54">
        <v>1252</v>
      </c>
      <c r="L66" s="55">
        <v>33</v>
      </c>
      <c r="M66" s="56">
        <f t="shared" si="8"/>
        <v>5002</v>
      </c>
      <c r="N66" s="57">
        <v>5002</v>
      </c>
      <c r="O66" s="65">
        <v>0</v>
      </c>
      <c r="P66" s="58">
        <v>0</v>
      </c>
      <c r="Q66" s="55">
        <v>0</v>
      </c>
      <c r="R66" s="59">
        <v>0</v>
      </c>
      <c r="S66" s="58">
        <v>0</v>
      </c>
      <c r="T66" s="55">
        <v>0</v>
      </c>
      <c r="U66" s="59">
        <v>6000</v>
      </c>
      <c r="V66" s="58">
        <v>0</v>
      </c>
      <c r="W66" s="55">
        <v>0</v>
      </c>
      <c r="X66" s="59">
        <v>0</v>
      </c>
      <c r="Y66" s="58">
        <v>0</v>
      </c>
      <c r="Z66" s="91">
        <v>0</v>
      </c>
      <c r="AA66" s="175">
        <v>0</v>
      </c>
      <c r="AB66" s="17"/>
      <c r="AC66" s="435"/>
      <c r="AD66" s="17"/>
      <c r="AE66" s="17"/>
      <c r="AF66" s="17"/>
      <c r="AG66" s="245"/>
      <c r="AH66" s="245"/>
      <c r="AI66" s="245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</row>
    <row r="67" spans="1:121" s="16" customFormat="1" ht="28.5" customHeight="1">
      <c r="A67" s="431">
        <v>230</v>
      </c>
      <c r="B67" s="304">
        <v>2219</v>
      </c>
      <c r="C67" s="305">
        <v>6121</v>
      </c>
      <c r="D67" s="336">
        <v>3138</v>
      </c>
      <c r="E67" s="232" t="s">
        <v>322</v>
      </c>
      <c r="F67" s="441" t="s">
        <v>250</v>
      </c>
      <c r="G67" s="67">
        <v>400</v>
      </c>
      <c r="H67" s="67">
        <v>2012</v>
      </c>
      <c r="I67" s="155">
        <v>2021</v>
      </c>
      <c r="J67" s="53">
        <f t="shared" si="7"/>
        <v>13143</v>
      </c>
      <c r="K67" s="54">
        <v>589</v>
      </c>
      <c r="L67" s="55">
        <v>0</v>
      </c>
      <c r="M67" s="56">
        <f t="shared" si="8"/>
        <v>354</v>
      </c>
      <c r="N67" s="57">
        <v>354</v>
      </c>
      <c r="O67" s="65">
        <v>0</v>
      </c>
      <c r="P67" s="58">
        <v>0</v>
      </c>
      <c r="Q67" s="55">
        <v>0</v>
      </c>
      <c r="R67" s="59">
        <v>6000</v>
      </c>
      <c r="S67" s="58">
        <v>0</v>
      </c>
      <c r="T67" s="55">
        <v>0</v>
      </c>
      <c r="U67" s="59">
        <v>6200</v>
      </c>
      <c r="V67" s="58">
        <v>0</v>
      </c>
      <c r="W67" s="55">
        <v>0</v>
      </c>
      <c r="X67" s="59">
        <v>0</v>
      </c>
      <c r="Y67" s="58">
        <v>0</v>
      </c>
      <c r="Z67" s="91">
        <v>0</v>
      </c>
      <c r="AA67" s="175">
        <v>0</v>
      </c>
      <c r="AB67" s="17"/>
      <c r="AD67" s="17"/>
      <c r="AE67" s="17"/>
      <c r="AF67" s="17"/>
      <c r="AG67" s="245"/>
      <c r="AH67" s="245"/>
      <c r="AI67" s="245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</row>
    <row r="68" spans="1:121" s="16" customFormat="1" ht="28.5" customHeight="1">
      <c r="A68" s="431">
        <v>230</v>
      </c>
      <c r="B68" s="304">
        <v>2219</v>
      </c>
      <c r="C68" s="305">
        <v>6121</v>
      </c>
      <c r="D68" s="336">
        <v>3146</v>
      </c>
      <c r="E68" s="233" t="s">
        <v>323</v>
      </c>
      <c r="F68" s="441" t="s">
        <v>286</v>
      </c>
      <c r="G68" s="67">
        <v>400</v>
      </c>
      <c r="H68" s="67">
        <v>2016</v>
      </c>
      <c r="I68" s="155">
        <v>2020</v>
      </c>
      <c r="J68" s="53">
        <f t="shared" si="7"/>
        <v>9881</v>
      </c>
      <c r="K68" s="54">
        <v>402</v>
      </c>
      <c r="L68" s="55">
        <v>179</v>
      </c>
      <c r="M68" s="56">
        <f t="shared" si="8"/>
        <v>100</v>
      </c>
      <c r="N68" s="57">
        <v>100</v>
      </c>
      <c r="O68" s="65">
        <v>0</v>
      </c>
      <c r="P68" s="58">
        <v>0</v>
      </c>
      <c r="Q68" s="55">
        <v>0</v>
      </c>
      <c r="R68" s="59">
        <v>9200</v>
      </c>
      <c r="S68" s="58">
        <v>0</v>
      </c>
      <c r="T68" s="55">
        <v>0</v>
      </c>
      <c r="U68" s="59">
        <v>0</v>
      </c>
      <c r="V68" s="58">
        <v>0</v>
      </c>
      <c r="W68" s="55">
        <v>0</v>
      </c>
      <c r="X68" s="59">
        <v>0</v>
      </c>
      <c r="Y68" s="58">
        <v>0</v>
      </c>
      <c r="Z68" s="91">
        <v>0</v>
      </c>
      <c r="AA68" s="175">
        <v>0</v>
      </c>
      <c r="AB68" s="17"/>
      <c r="AC68" s="435"/>
      <c r="AD68" s="17"/>
      <c r="AE68" s="17"/>
      <c r="AF68" s="17"/>
      <c r="AG68" s="245"/>
      <c r="AH68" s="245"/>
      <c r="AI68" s="245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</row>
    <row r="69" spans="1:121" s="18" customFormat="1" ht="28.5" customHeight="1">
      <c r="A69" s="431">
        <v>230</v>
      </c>
      <c r="B69" s="304">
        <v>2219</v>
      </c>
      <c r="C69" s="305">
        <v>6121</v>
      </c>
      <c r="D69" s="436">
        <v>3152</v>
      </c>
      <c r="E69" s="231" t="s">
        <v>324</v>
      </c>
      <c r="F69" s="441" t="s">
        <v>286</v>
      </c>
      <c r="G69" s="67">
        <v>400</v>
      </c>
      <c r="H69" s="67">
        <v>2013</v>
      </c>
      <c r="I69" s="155">
        <v>2018</v>
      </c>
      <c r="J69" s="53">
        <f t="shared" si="7"/>
        <v>11242</v>
      </c>
      <c r="K69" s="54">
        <v>1092</v>
      </c>
      <c r="L69" s="55">
        <v>8751</v>
      </c>
      <c r="M69" s="56">
        <f t="shared" si="8"/>
        <v>1399</v>
      </c>
      <c r="N69" s="57">
        <v>1399</v>
      </c>
      <c r="O69" s="65">
        <v>0</v>
      </c>
      <c r="P69" s="58">
        <v>0</v>
      </c>
      <c r="Q69" s="55">
        <v>0</v>
      </c>
      <c r="R69" s="59">
        <v>0</v>
      </c>
      <c r="S69" s="58">
        <v>0</v>
      </c>
      <c r="T69" s="55">
        <v>0</v>
      </c>
      <c r="U69" s="59">
        <v>0</v>
      </c>
      <c r="V69" s="58">
        <v>0</v>
      </c>
      <c r="W69" s="55">
        <v>0</v>
      </c>
      <c r="X69" s="59">
        <v>0</v>
      </c>
      <c r="Y69" s="58">
        <v>0</v>
      </c>
      <c r="Z69" s="91">
        <v>0</v>
      </c>
      <c r="AA69" s="175">
        <v>0</v>
      </c>
      <c r="AB69" s="17"/>
      <c r="AC69" s="435"/>
      <c r="AD69" s="17"/>
      <c r="AE69" s="17"/>
      <c r="AF69" s="17"/>
      <c r="AG69" s="270"/>
      <c r="AH69" s="270"/>
      <c r="AI69" s="270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</row>
    <row r="70" spans="1:121" s="16" customFormat="1" ht="28.5" customHeight="1">
      <c r="A70" s="431">
        <v>230</v>
      </c>
      <c r="B70" s="304">
        <v>2219</v>
      </c>
      <c r="C70" s="305">
        <v>6121</v>
      </c>
      <c r="D70" s="336">
        <v>3153</v>
      </c>
      <c r="E70" s="233" t="s">
        <v>325</v>
      </c>
      <c r="F70" s="441" t="s">
        <v>261</v>
      </c>
      <c r="G70" s="67">
        <v>400</v>
      </c>
      <c r="H70" s="67">
        <v>2013</v>
      </c>
      <c r="I70" s="155">
        <v>2019</v>
      </c>
      <c r="J70" s="53">
        <f t="shared" si="7"/>
        <v>9113</v>
      </c>
      <c r="K70" s="54">
        <v>813</v>
      </c>
      <c r="L70" s="55">
        <v>31</v>
      </c>
      <c r="M70" s="56">
        <f t="shared" si="8"/>
        <v>4169</v>
      </c>
      <c r="N70" s="57">
        <v>69</v>
      </c>
      <c r="O70" s="65">
        <f>8200-4100</f>
        <v>4100</v>
      </c>
      <c r="P70" s="58">
        <v>0</v>
      </c>
      <c r="Q70" s="55">
        <v>0</v>
      </c>
      <c r="R70" s="59">
        <v>4100</v>
      </c>
      <c r="S70" s="58">
        <v>0</v>
      </c>
      <c r="T70" s="55">
        <v>0</v>
      </c>
      <c r="U70" s="59">
        <v>0</v>
      </c>
      <c r="V70" s="58">
        <v>0</v>
      </c>
      <c r="W70" s="55">
        <v>0</v>
      </c>
      <c r="X70" s="59">
        <v>0</v>
      </c>
      <c r="Y70" s="58">
        <v>0</v>
      </c>
      <c r="Z70" s="91">
        <v>0</v>
      </c>
      <c r="AA70" s="175">
        <v>0</v>
      </c>
      <c r="AB70" s="17"/>
      <c r="AC70" s="435"/>
      <c r="AD70" s="17"/>
      <c r="AE70" s="17"/>
      <c r="AF70" s="17"/>
      <c r="AG70" s="245"/>
      <c r="AH70" s="245"/>
      <c r="AI70" s="245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</row>
    <row r="71" spans="1:121" s="16" customFormat="1" ht="28.5" customHeight="1">
      <c r="A71" s="431">
        <v>230</v>
      </c>
      <c r="B71" s="304">
        <v>2219</v>
      </c>
      <c r="C71" s="305">
        <v>6121</v>
      </c>
      <c r="D71" s="336">
        <v>3154</v>
      </c>
      <c r="E71" s="232" t="s">
        <v>326</v>
      </c>
      <c r="F71" s="441" t="s">
        <v>255</v>
      </c>
      <c r="G71" s="67">
        <v>400</v>
      </c>
      <c r="H71" s="67">
        <v>2013</v>
      </c>
      <c r="I71" s="155">
        <v>2021</v>
      </c>
      <c r="J71" s="53">
        <f t="shared" si="7"/>
        <v>19578</v>
      </c>
      <c r="K71" s="54">
        <v>575</v>
      </c>
      <c r="L71" s="55">
        <v>0</v>
      </c>
      <c r="M71" s="56">
        <f t="shared" si="8"/>
        <v>1003</v>
      </c>
      <c r="N71" s="57">
        <v>503</v>
      </c>
      <c r="O71" s="65">
        <v>500</v>
      </c>
      <c r="P71" s="58">
        <v>0</v>
      </c>
      <c r="Q71" s="55">
        <v>0</v>
      </c>
      <c r="R71" s="59">
        <v>0</v>
      </c>
      <c r="S71" s="58">
        <v>0</v>
      </c>
      <c r="T71" s="55">
        <v>0</v>
      </c>
      <c r="U71" s="59">
        <v>18000</v>
      </c>
      <c r="V71" s="58">
        <v>0</v>
      </c>
      <c r="W71" s="55">
        <v>0</v>
      </c>
      <c r="X71" s="59">
        <v>0</v>
      </c>
      <c r="Y71" s="58">
        <v>0</v>
      </c>
      <c r="Z71" s="91">
        <v>0</v>
      </c>
      <c r="AA71" s="175">
        <v>0</v>
      </c>
      <c r="AB71" s="17"/>
      <c r="AC71" s="435"/>
      <c r="AD71" s="17"/>
      <c r="AE71" s="17"/>
      <c r="AF71" s="17"/>
      <c r="AG71" s="245"/>
      <c r="AH71" s="245"/>
      <c r="AI71" s="245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</row>
    <row r="72" spans="1:121" s="16" customFormat="1" ht="28.5" customHeight="1">
      <c r="A72" s="431">
        <v>230</v>
      </c>
      <c r="B72" s="304">
        <v>2219</v>
      </c>
      <c r="C72" s="305">
        <v>6121</v>
      </c>
      <c r="D72" s="336">
        <v>3155</v>
      </c>
      <c r="E72" s="233" t="s">
        <v>327</v>
      </c>
      <c r="F72" s="441" t="s">
        <v>260</v>
      </c>
      <c r="G72" s="67">
        <v>400</v>
      </c>
      <c r="H72" s="67">
        <v>2013</v>
      </c>
      <c r="I72" s="155">
        <v>2020</v>
      </c>
      <c r="J72" s="53">
        <f t="shared" si="7"/>
        <v>21086</v>
      </c>
      <c r="K72" s="54">
        <v>478</v>
      </c>
      <c r="L72" s="55">
        <v>36</v>
      </c>
      <c r="M72" s="56">
        <f t="shared" si="8"/>
        <v>3072</v>
      </c>
      <c r="N72" s="57">
        <v>572</v>
      </c>
      <c r="O72" s="65">
        <f>5000-2500</f>
        <v>2500</v>
      </c>
      <c r="P72" s="58">
        <v>0</v>
      </c>
      <c r="Q72" s="55">
        <v>0</v>
      </c>
      <c r="R72" s="59">
        <f>15000+2500</f>
        <v>17500</v>
      </c>
      <c r="S72" s="58">
        <v>0</v>
      </c>
      <c r="T72" s="55">
        <v>0</v>
      </c>
      <c r="U72" s="59">
        <v>0</v>
      </c>
      <c r="V72" s="58">
        <v>0</v>
      </c>
      <c r="W72" s="55">
        <v>0</v>
      </c>
      <c r="X72" s="59">
        <v>0</v>
      </c>
      <c r="Y72" s="58">
        <v>0</v>
      </c>
      <c r="Z72" s="91">
        <v>0</v>
      </c>
      <c r="AA72" s="175">
        <v>0</v>
      </c>
      <c r="AB72" s="17"/>
      <c r="AC72" s="435"/>
      <c r="AD72" s="17"/>
      <c r="AE72" s="17"/>
      <c r="AF72" s="17"/>
      <c r="AG72" s="245"/>
      <c r="AH72" s="245"/>
      <c r="AI72" s="245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</row>
    <row r="73" spans="1:121" s="16" customFormat="1" ht="28.5" customHeight="1">
      <c r="A73" s="431">
        <v>230</v>
      </c>
      <c r="B73" s="304">
        <v>2219</v>
      </c>
      <c r="C73" s="305">
        <v>6121</v>
      </c>
      <c r="D73" s="336">
        <v>3176</v>
      </c>
      <c r="E73" s="234" t="s">
        <v>328</v>
      </c>
      <c r="F73" s="442" t="s">
        <v>261</v>
      </c>
      <c r="G73" s="67">
        <v>400</v>
      </c>
      <c r="H73" s="67">
        <v>2014</v>
      </c>
      <c r="I73" s="155">
        <v>2020</v>
      </c>
      <c r="J73" s="53">
        <f t="shared" si="7"/>
        <v>10598</v>
      </c>
      <c r="K73" s="54">
        <v>323</v>
      </c>
      <c r="L73" s="55">
        <v>0</v>
      </c>
      <c r="M73" s="56">
        <f t="shared" si="8"/>
        <v>775</v>
      </c>
      <c r="N73" s="57">
        <v>775</v>
      </c>
      <c r="O73" s="65">
        <v>0</v>
      </c>
      <c r="P73" s="58">
        <v>0</v>
      </c>
      <c r="Q73" s="55">
        <v>0</v>
      </c>
      <c r="R73" s="59">
        <v>9500</v>
      </c>
      <c r="S73" s="58">
        <v>0</v>
      </c>
      <c r="T73" s="55">
        <v>0</v>
      </c>
      <c r="U73" s="59">
        <v>0</v>
      </c>
      <c r="V73" s="58">
        <v>0</v>
      </c>
      <c r="W73" s="55">
        <v>0</v>
      </c>
      <c r="X73" s="59">
        <v>0</v>
      </c>
      <c r="Y73" s="58">
        <v>0</v>
      </c>
      <c r="Z73" s="91">
        <v>0</v>
      </c>
      <c r="AA73" s="175">
        <v>0</v>
      </c>
      <c r="AB73" s="17"/>
      <c r="AC73" s="435"/>
      <c r="AD73" s="17"/>
      <c r="AE73" s="17"/>
      <c r="AF73" s="17"/>
      <c r="AG73" s="245"/>
      <c r="AH73" s="245"/>
      <c r="AI73" s="245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</row>
    <row r="74" spans="1:121" s="16" customFormat="1" ht="28.5" customHeight="1">
      <c r="A74" s="431">
        <v>230</v>
      </c>
      <c r="B74" s="304">
        <v>2219</v>
      </c>
      <c r="C74" s="305">
        <v>6121</v>
      </c>
      <c r="D74" s="336">
        <v>3177</v>
      </c>
      <c r="E74" s="235" t="s">
        <v>329</v>
      </c>
      <c r="F74" s="442" t="s">
        <v>248</v>
      </c>
      <c r="G74" s="67">
        <v>400</v>
      </c>
      <c r="H74" s="67">
        <v>2014</v>
      </c>
      <c r="I74" s="155">
        <v>2021</v>
      </c>
      <c r="J74" s="53">
        <f t="shared" si="7"/>
        <v>12557</v>
      </c>
      <c r="K74" s="54">
        <v>357</v>
      </c>
      <c r="L74" s="55">
        <v>0</v>
      </c>
      <c r="M74" s="56">
        <f t="shared" si="8"/>
        <v>700</v>
      </c>
      <c r="N74" s="57">
        <v>500</v>
      </c>
      <c r="O74" s="65">
        <v>200</v>
      </c>
      <c r="P74" s="58">
        <v>0</v>
      </c>
      <c r="Q74" s="55">
        <v>0</v>
      </c>
      <c r="R74" s="59">
        <v>0</v>
      </c>
      <c r="S74" s="58">
        <v>0</v>
      </c>
      <c r="T74" s="55">
        <v>0</v>
      </c>
      <c r="U74" s="59">
        <v>11500</v>
      </c>
      <c r="V74" s="58">
        <v>0</v>
      </c>
      <c r="W74" s="55">
        <v>0</v>
      </c>
      <c r="X74" s="59">
        <v>0</v>
      </c>
      <c r="Y74" s="58">
        <v>0</v>
      </c>
      <c r="Z74" s="91">
        <v>0</v>
      </c>
      <c r="AA74" s="175">
        <v>0</v>
      </c>
      <c r="AB74" s="17"/>
      <c r="AC74" s="435"/>
      <c r="AD74" s="17"/>
      <c r="AE74" s="17"/>
      <c r="AF74" s="17"/>
      <c r="AG74" s="245"/>
      <c r="AH74" s="245"/>
      <c r="AI74" s="245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</row>
    <row r="75" spans="1:121" s="16" customFormat="1" ht="28.5" customHeight="1">
      <c r="A75" s="431">
        <v>230</v>
      </c>
      <c r="B75" s="334">
        <v>2219</v>
      </c>
      <c r="C75" s="335">
        <v>6121</v>
      </c>
      <c r="D75" s="336">
        <v>3179</v>
      </c>
      <c r="E75" s="443" t="s">
        <v>333</v>
      </c>
      <c r="F75" s="172" t="s">
        <v>248</v>
      </c>
      <c r="G75" s="86">
        <v>400</v>
      </c>
      <c r="H75" s="86">
        <v>2015</v>
      </c>
      <c r="I75" s="87">
        <v>2020</v>
      </c>
      <c r="J75" s="53">
        <f t="shared" si="7"/>
        <v>34614</v>
      </c>
      <c r="K75" s="54">
        <v>119</v>
      </c>
      <c r="L75" s="55">
        <v>845</v>
      </c>
      <c r="M75" s="56">
        <f t="shared" si="8"/>
        <v>1650</v>
      </c>
      <c r="N75" s="57">
        <v>1155</v>
      </c>
      <c r="O75" s="65">
        <f>495</f>
        <v>495</v>
      </c>
      <c r="P75" s="58">
        <v>0</v>
      </c>
      <c r="Q75" s="55">
        <v>0</v>
      </c>
      <c r="R75" s="59">
        <v>32000</v>
      </c>
      <c r="S75" s="58">
        <v>0</v>
      </c>
      <c r="T75" s="55">
        <v>0</v>
      </c>
      <c r="U75" s="59">
        <v>0</v>
      </c>
      <c r="V75" s="58">
        <v>0</v>
      </c>
      <c r="W75" s="55">
        <v>0</v>
      </c>
      <c r="X75" s="59">
        <v>0</v>
      </c>
      <c r="Y75" s="58">
        <v>0</v>
      </c>
      <c r="Z75" s="91">
        <v>0</v>
      </c>
      <c r="AA75" s="175">
        <v>0</v>
      </c>
      <c r="AB75" s="17"/>
      <c r="AC75" s="435"/>
      <c r="AD75" s="17"/>
      <c r="AE75" s="17"/>
      <c r="AF75" s="17"/>
      <c r="AG75" s="245"/>
      <c r="AH75" s="245"/>
      <c r="AI75" s="245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</row>
    <row r="76" spans="1:121" s="16" customFormat="1" ht="28.5" customHeight="1">
      <c r="A76" s="431">
        <v>230</v>
      </c>
      <c r="B76" s="304">
        <v>2219</v>
      </c>
      <c r="C76" s="305">
        <v>6121</v>
      </c>
      <c r="D76" s="336">
        <v>3185</v>
      </c>
      <c r="E76" s="232" t="s">
        <v>330</v>
      </c>
      <c r="F76" s="441"/>
      <c r="G76" s="67">
        <v>400</v>
      </c>
      <c r="H76" s="67">
        <v>2015</v>
      </c>
      <c r="I76" s="155">
        <v>2021</v>
      </c>
      <c r="J76" s="53">
        <f t="shared" si="7"/>
        <v>39933</v>
      </c>
      <c r="K76" s="54">
        <v>763</v>
      </c>
      <c r="L76" s="55">
        <v>300</v>
      </c>
      <c r="M76" s="56">
        <f t="shared" si="8"/>
        <v>4870</v>
      </c>
      <c r="N76" s="57">
        <v>870</v>
      </c>
      <c r="O76" s="65">
        <f>8000-4000</f>
        <v>4000</v>
      </c>
      <c r="P76" s="58">
        <v>0</v>
      </c>
      <c r="Q76" s="55">
        <v>0</v>
      </c>
      <c r="R76" s="59">
        <f>20000+4000</f>
        <v>24000</v>
      </c>
      <c r="S76" s="58">
        <v>0</v>
      </c>
      <c r="T76" s="55">
        <v>0</v>
      </c>
      <c r="U76" s="59">
        <v>10000</v>
      </c>
      <c r="V76" s="58">
        <v>0</v>
      </c>
      <c r="W76" s="55">
        <v>0</v>
      </c>
      <c r="X76" s="59">
        <v>0</v>
      </c>
      <c r="Y76" s="58">
        <v>0</v>
      </c>
      <c r="Z76" s="91">
        <v>0</v>
      </c>
      <c r="AA76" s="175">
        <v>0</v>
      </c>
      <c r="AB76" s="17"/>
      <c r="AC76" s="435"/>
      <c r="AD76" s="17"/>
      <c r="AE76" s="17"/>
      <c r="AF76" s="17"/>
      <c r="AG76" s="245"/>
      <c r="AH76" s="245"/>
      <c r="AI76" s="245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</row>
    <row r="77" spans="1:121" s="16" customFormat="1" ht="28.5" customHeight="1">
      <c r="A77" s="431">
        <v>230</v>
      </c>
      <c r="B77" s="304">
        <v>2219</v>
      </c>
      <c r="C77" s="305">
        <v>6121</v>
      </c>
      <c r="D77" s="436">
        <v>3186</v>
      </c>
      <c r="E77" s="437" t="s">
        <v>331</v>
      </c>
      <c r="F77" s="441" t="s">
        <v>250</v>
      </c>
      <c r="G77" s="67">
        <v>400</v>
      </c>
      <c r="H77" s="67">
        <v>2015</v>
      </c>
      <c r="I77" s="155">
        <v>2018</v>
      </c>
      <c r="J77" s="53">
        <f t="shared" si="7"/>
        <v>4828</v>
      </c>
      <c r="K77" s="54">
        <v>612</v>
      </c>
      <c r="L77" s="55">
        <v>3604</v>
      </c>
      <c r="M77" s="56">
        <f t="shared" si="8"/>
        <v>612</v>
      </c>
      <c r="N77" s="57">
        <v>612</v>
      </c>
      <c r="O77" s="65">
        <v>0</v>
      </c>
      <c r="P77" s="58">
        <v>0</v>
      </c>
      <c r="Q77" s="55">
        <v>0</v>
      </c>
      <c r="R77" s="59">
        <v>0</v>
      </c>
      <c r="S77" s="58">
        <v>0</v>
      </c>
      <c r="T77" s="55">
        <v>0</v>
      </c>
      <c r="U77" s="59">
        <v>0</v>
      </c>
      <c r="V77" s="58">
        <v>0</v>
      </c>
      <c r="W77" s="55">
        <v>0</v>
      </c>
      <c r="X77" s="59">
        <v>0</v>
      </c>
      <c r="Y77" s="58">
        <v>0</v>
      </c>
      <c r="Z77" s="91">
        <v>0</v>
      </c>
      <c r="AA77" s="175">
        <v>0</v>
      </c>
      <c r="AB77" s="17"/>
      <c r="AC77" s="435"/>
      <c r="AD77" s="17"/>
      <c r="AE77" s="17"/>
      <c r="AF77" s="17"/>
      <c r="AG77" s="245"/>
      <c r="AH77" s="245"/>
      <c r="AI77" s="245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</row>
    <row r="78" spans="1:121" s="16" customFormat="1" ht="28.5" customHeight="1">
      <c r="A78" s="431">
        <v>230</v>
      </c>
      <c r="B78" s="304">
        <v>2219</v>
      </c>
      <c r="C78" s="305">
        <v>6121</v>
      </c>
      <c r="D78" s="336">
        <v>3193</v>
      </c>
      <c r="E78" s="232" t="s">
        <v>434</v>
      </c>
      <c r="F78" s="81" t="s">
        <v>254</v>
      </c>
      <c r="G78" s="62">
        <v>400</v>
      </c>
      <c r="H78" s="62">
        <v>2016</v>
      </c>
      <c r="I78" s="63">
        <v>2022</v>
      </c>
      <c r="J78" s="45">
        <f t="shared" si="7"/>
        <v>83532</v>
      </c>
      <c r="K78" s="46">
        <v>0</v>
      </c>
      <c r="L78" s="47">
        <v>1000</v>
      </c>
      <c r="M78" s="48">
        <f>N78+O78+P78+Q78</f>
        <v>2532</v>
      </c>
      <c r="N78" s="49">
        <v>1532</v>
      </c>
      <c r="O78" s="64">
        <v>1000</v>
      </c>
      <c r="P78" s="50">
        <v>0</v>
      </c>
      <c r="Q78" s="47">
        <v>0</v>
      </c>
      <c r="R78" s="51">
        <v>10000</v>
      </c>
      <c r="S78" s="50">
        <v>0</v>
      </c>
      <c r="T78" s="47">
        <v>0</v>
      </c>
      <c r="U78" s="51">
        <v>50000</v>
      </c>
      <c r="V78" s="50">
        <v>0</v>
      </c>
      <c r="W78" s="47">
        <v>0</v>
      </c>
      <c r="X78" s="51">
        <v>20000</v>
      </c>
      <c r="Y78" s="50">
        <v>0</v>
      </c>
      <c r="Z78" s="141">
        <v>0</v>
      </c>
      <c r="AA78" s="176">
        <v>0</v>
      </c>
      <c r="AB78" s="17"/>
      <c r="AC78" s="435"/>
      <c r="AD78" s="17"/>
      <c r="AE78" s="17"/>
      <c r="AF78" s="17"/>
      <c r="AG78" s="245"/>
      <c r="AH78" s="245"/>
      <c r="AI78" s="245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</row>
    <row r="79" spans="1:121" s="16" customFormat="1" ht="28.5" customHeight="1">
      <c r="A79" s="431">
        <v>230</v>
      </c>
      <c r="B79" s="304">
        <v>2219</v>
      </c>
      <c r="C79" s="305">
        <v>6121</v>
      </c>
      <c r="D79" s="336">
        <v>3204</v>
      </c>
      <c r="E79" s="236" t="s">
        <v>332</v>
      </c>
      <c r="F79" s="441" t="s">
        <v>246</v>
      </c>
      <c r="G79" s="67">
        <v>400</v>
      </c>
      <c r="H79" s="67">
        <v>2016</v>
      </c>
      <c r="I79" s="155">
        <v>2020</v>
      </c>
      <c r="J79" s="53">
        <f t="shared" si="7"/>
        <v>749</v>
      </c>
      <c r="K79" s="54">
        <v>2</v>
      </c>
      <c r="L79" s="55">
        <v>0</v>
      </c>
      <c r="M79" s="56">
        <f t="shared" si="8"/>
        <v>147</v>
      </c>
      <c r="N79" s="57">
        <v>147</v>
      </c>
      <c r="O79" s="65">
        <v>0</v>
      </c>
      <c r="P79" s="58">
        <v>0</v>
      </c>
      <c r="Q79" s="55">
        <v>0</v>
      </c>
      <c r="R79" s="59">
        <v>600</v>
      </c>
      <c r="S79" s="58">
        <v>0</v>
      </c>
      <c r="T79" s="55">
        <v>0</v>
      </c>
      <c r="U79" s="59">
        <v>0</v>
      </c>
      <c r="V79" s="58">
        <v>0</v>
      </c>
      <c r="W79" s="55">
        <v>0</v>
      </c>
      <c r="X79" s="59">
        <v>0</v>
      </c>
      <c r="Y79" s="58">
        <v>0</v>
      </c>
      <c r="Z79" s="91">
        <v>0</v>
      </c>
      <c r="AA79" s="175">
        <v>0</v>
      </c>
      <c r="AB79" s="17"/>
      <c r="AC79" s="435"/>
      <c r="AD79" s="17"/>
      <c r="AE79" s="17"/>
      <c r="AF79" s="17"/>
      <c r="AG79" s="245"/>
      <c r="AH79" s="245"/>
      <c r="AI79" s="245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</row>
    <row r="80" spans="1:121" s="16" customFormat="1" ht="28.5" customHeight="1">
      <c r="A80" s="431">
        <v>230</v>
      </c>
      <c r="B80" s="304">
        <v>2219</v>
      </c>
      <c r="C80" s="305">
        <v>6121</v>
      </c>
      <c r="D80" s="436">
        <v>3210</v>
      </c>
      <c r="E80" s="231" t="s">
        <v>315</v>
      </c>
      <c r="F80" s="367" t="s">
        <v>248</v>
      </c>
      <c r="G80" s="67">
        <v>400</v>
      </c>
      <c r="H80" s="67">
        <v>2016</v>
      </c>
      <c r="I80" s="155">
        <v>2019</v>
      </c>
      <c r="J80" s="53">
        <f t="shared" si="7"/>
        <v>11819</v>
      </c>
      <c r="K80" s="54">
        <v>216</v>
      </c>
      <c r="L80" s="55">
        <v>4118</v>
      </c>
      <c r="M80" s="56">
        <f t="shared" si="8"/>
        <v>7485</v>
      </c>
      <c r="N80" s="57">
        <f>6435+50</f>
        <v>6485</v>
      </c>
      <c r="O80" s="65">
        <v>1000</v>
      </c>
      <c r="P80" s="58">
        <v>0</v>
      </c>
      <c r="Q80" s="55">
        <v>0</v>
      </c>
      <c r="R80" s="59">
        <v>0</v>
      </c>
      <c r="S80" s="58">
        <v>0</v>
      </c>
      <c r="T80" s="55">
        <v>0</v>
      </c>
      <c r="U80" s="59">
        <v>0</v>
      </c>
      <c r="V80" s="58">
        <v>0</v>
      </c>
      <c r="W80" s="55">
        <v>0</v>
      </c>
      <c r="X80" s="59">
        <v>0</v>
      </c>
      <c r="Y80" s="58">
        <v>0</v>
      </c>
      <c r="Z80" s="91">
        <v>0</v>
      </c>
      <c r="AA80" s="175">
        <v>0</v>
      </c>
      <c r="AB80" s="17"/>
      <c r="AC80" s="435"/>
      <c r="AD80" s="17"/>
      <c r="AE80" s="17"/>
      <c r="AF80" s="17"/>
      <c r="AG80" s="245"/>
      <c r="AH80" s="245"/>
      <c r="AI80" s="245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</row>
    <row r="81" spans="1:121" s="15" customFormat="1" ht="28.5" customHeight="1">
      <c r="A81" s="431">
        <v>230</v>
      </c>
      <c r="B81" s="334">
        <v>2219</v>
      </c>
      <c r="C81" s="335">
        <v>6121</v>
      </c>
      <c r="D81" s="336">
        <v>3212</v>
      </c>
      <c r="E81" s="237" t="s">
        <v>30</v>
      </c>
      <c r="F81" s="172" t="s">
        <v>243</v>
      </c>
      <c r="G81" s="86">
        <v>400</v>
      </c>
      <c r="H81" s="86">
        <v>2015</v>
      </c>
      <c r="I81" s="87">
        <v>2019</v>
      </c>
      <c r="J81" s="53">
        <f t="shared" si="7"/>
        <v>3718</v>
      </c>
      <c r="K81" s="54">
        <v>48</v>
      </c>
      <c r="L81" s="55">
        <v>170</v>
      </c>
      <c r="M81" s="56">
        <f t="shared" si="8"/>
        <v>3500</v>
      </c>
      <c r="N81" s="57">
        <v>2068</v>
      </c>
      <c r="O81" s="65">
        <v>1432</v>
      </c>
      <c r="P81" s="58">
        <v>0</v>
      </c>
      <c r="Q81" s="55">
        <v>0</v>
      </c>
      <c r="R81" s="59">
        <v>0</v>
      </c>
      <c r="S81" s="58">
        <v>0</v>
      </c>
      <c r="T81" s="55">
        <v>0</v>
      </c>
      <c r="U81" s="59">
        <v>0</v>
      </c>
      <c r="V81" s="58">
        <v>0</v>
      </c>
      <c r="W81" s="55">
        <v>0</v>
      </c>
      <c r="X81" s="59">
        <v>0</v>
      </c>
      <c r="Y81" s="58">
        <v>0</v>
      </c>
      <c r="Z81" s="91">
        <v>0</v>
      </c>
      <c r="AA81" s="175">
        <v>0</v>
      </c>
      <c r="AB81" s="17"/>
      <c r="AC81" s="435"/>
      <c r="AD81" s="17"/>
      <c r="AE81" s="17"/>
      <c r="AF81" s="17"/>
      <c r="AG81" s="245"/>
      <c r="AH81" s="245"/>
      <c r="AI81" s="245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</row>
    <row r="82" spans="1:121" s="15" customFormat="1" ht="28.5" customHeight="1">
      <c r="A82" s="431">
        <v>230</v>
      </c>
      <c r="B82" s="304">
        <v>2219</v>
      </c>
      <c r="C82" s="305">
        <v>6121</v>
      </c>
      <c r="D82" s="330">
        <v>3215</v>
      </c>
      <c r="E82" s="444" t="s">
        <v>437</v>
      </c>
      <c r="F82" s="367" t="s">
        <v>248</v>
      </c>
      <c r="G82" s="67">
        <v>400</v>
      </c>
      <c r="H82" s="67">
        <v>2017</v>
      </c>
      <c r="I82" s="155">
        <v>2022</v>
      </c>
      <c r="J82" s="53">
        <f t="shared" si="7"/>
        <v>45500</v>
      </c>
      <c r="K82" s="54">
        <v>0</v>
      </c>
      <c r="L82" s="55">
        <v>0</v>
      </c>
      <c r="M82" s="56">
        <f t="shared" si="8"/>
        <v>500</v>
      </c>
      <c r="N82" s="57">
        <v>500</v>
      </c>
      <c r="O82" s="65">
        <v>0</v>
      </c>
      <c r="P82" s="58">
        <v>0</v>
      </c>
      <c r="Q82" s="55">
        <v>0</v>
      </c>
      <c r="R82" s="59">
        <v>0</v>
      </c>
      <c r="S82" s="58">
        <v>0</v>
      </c>
      <c r="T82" s="55">
        <v>0</v>
      </c>
      <c r="U82" s="59">
        <v>20000</v>
      </c>
      <c r="V82" s="58">
        <v>0</v>
      </c>
      <c r="W82" s="55">
        <v>0</v>
      </c>
      <c r="X82" s="59">
        <v>25000</v>
      </c>
      <c r="Y82" s="58">
        <v>0</v>
      </c>
      <c r="Z82" s="91">
        <v>0</v>
      </c>
      <c r="AA82" s="175">
        <v>0</v>
      </c>
      <c r="AB82" s="245"/>
      <c r="AC82" s="245"/>
      <c r="AD82" s="245"/>
      <c r="AE82" s="245"/>
      <c r="AF82" s="245"/>
      <c r="AG82" s="245"/>
      <c r="AH82" s="245"/>
      <c r="AI82" s="245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</row>
    <row r="83" spans="1:121" s="15" customFormat="1" ht="28.5" customHeight="1">
      <c r="A83" s="431">
        <v>230</v>
      </c>
      <c r="B83" s="445">
        <v>2219</v>
      </c>
      <c r="C83" s="446">
        <v>6121</v>
      </c>
      <c r="D83" s="436">
        <v>3218</v>
      </c>
      <c r="E83" s="231" t="s">
        <v>31</v>
      </c>
      <c r="F83" s="83" t="s">
        <v>254</v>
      </c>
      <c r="G83" s="67">
        <v>400</v>
      </c>
      <c r="H83" s="447">
        <v>2016</v>
      </c>
      <c r="I83" s="448">
        <v>2019</v>
      </c>
      <c r="J83" s="53">
        <f t="shared" si="7"/>
        <v>31684</v>
      </c>
      <c r="K83" s="54">
        <v>142</v>
      </c>
      <c r="L83" s="55">
        <v>6300</v>
      </c>
      <c r="M83" s="56">
        <f t="shared" si="8"/>
        <v>25242</v>
      </c>
      <c r="N83" s="57">
        <v>10742</v>
      </c>
      <c r="O83" s="65">
        <v>14500</v>
      </c>
      <c r="P83" s="58">
        <v>0</v>
      </c>
      <c r="Q83" s="55">
        <v>0</v>
      </c>
      <c r="R83" s="59">
        <v>0</v>
      </c>
      <c r="S83" s="58">
        <v>0</v>
      </c>
      <c r="T83" s="55">
        <v>0</v>
      </c>
      <c r="U83" s="59">
        <v>0</v>
      </c>
      <c r="V83" s="58">
        <v>0</v>
      </c>
      <c r="W83" s="55">
        <v>0</v>
      </c>
      <c r="X83" s="59">
        <v>0</v>
      </c>
      <c r="Y83" s="58">
        <v>0</v>
      </c>
      <c r="Z83" s="91">
        <v>0</v>
      </c>
      <c r="AA83" s="175">
        <v>0</v>
      </c>
      <c r="AB83" s="245"/>
      <c r="AC83" s="245"/>
      <c r="AD83" s="245"/>
      <c r="AE83" s="245"/>
      <c r="AF83" s="245"/>
      <c r="AG83" s="245"/>
      <c r="AH83" s="245"/>
      <c r="AI83" s="245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</row>
    <row r="84" spans="1:121" s="15" customFormat="1" ht="28.5" customHeight="1">
      <c r="A84" s="431">
        <v>230</v>
      </c>
      <c r="B84" s="334">
        <v>2219</v>
      </c>
      <c r="C84" s="335">
        <v>6121</v>
      </c>
      <c r="D84" s="336">
        <v>3220</v>
      </c>
      <c r="E84" s="443" t="s">
        <v>483</v>
      </c>
      <c r="F84" s="172" t="s">
        <v>248</v>
      </c>
      <c r="G84" s="86">
        <v>400</v>
      </c>
      <c r="H84" s="86">
        <v>2017</v>
      </c>
      <c r="I84" s="87">
        <v>2022</v>
      </c>
      <c r="J84" s="53">
        <f t="shared" si="7"/>
        <v>28600</v>
      </c>
      <c r="K84" s="54">
        <v>253</v>
      </c>
      <c r="L84" s="55">
        <v>347</v>
      </c>
      <c r="M84" s="56">
        <f t="shared" si="8"/>
        <v>2600</v>
      </c>
      <c r="N84" s="57">
        <v>600</v>
      </c>
      <c r="O84" s="65">
        <f>30000-25000-3000</f>
        <v>2000</v>
      </c>
      <c r="P84" s="58">
        <v>0</v>
      </c>
      <c r="Q84" s="55">
        <v>0</v>
      </c>
      <c r="R84" s="59">
        <v>25400</v>
      </c>
      <c r="S84" s="58">
        <v>0</v>
      </c>
      <c r="T84" s="55">
        <v>0</v>
      </c>
      <c r="U84" s="59">
        <v>0</v>
      </c>
      <c r="V84" s="58">
        <v>0</v>
      </c>
      <c r="W84" s="55">
        <v>0</v>
      </c>
      <c r="X84" s="59">
        <v>0</v>
      </c>
      <c r="Y84" s="58">
        <v>0</v>
      </c>
      <c r="Z84" s="91">
        <v>0</v>
      </c>
      <c r="AA84" s="175">
        <v>0</v>
      </c>
      <c r="AB84" s="245"/>
      <c r="AC84" s="245"/>
      <c r="AD84" s="245"/>
      <c r="AE84" s="245"/>
      <c r="AF84" s="245"/>
      <c r="AG84" s="245"/>
      <c r="AH84" s="245"/>
      <c r="AI84" s="245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</row>
    <row r="85" spans="1:121" s="16" customFormat="1" ht="28.5" customHeight="1">
      <c r="A85" s="431">
        <v>230</v>
      </c>
      <c r="B85" s="304">
        <v>2219</v>
      </c>
      <c r="C85" s="305">
        <v>6121</v>
      </c>
      <c r="D85" s="336">
        <v>3223</v>
      </c>
      <c r="E85" s="238" t="s">
        <v>32</v>
      </c>
      <c r="F85" s="367"/>
      <c r="G85" s="67">
        <v>400</v>
      </c>
      <c r="H85" s="67">
        <v>2017</v>
      </c>
      <c r="I85" s="155">
        <v>2019</v>
      </c>
      <c r="J85" s="53">
        <f t="shared" si="7"/>
        <v>9399</v>
      </c>
      <c r="K85" s="54">
        <v>236</v>
      </c>
      <c r="L85" s="55">
        <v>100</v>
      </c>
      <c r="M85" s="56">
        <f t="shared" si="8"/>
        <v>9063</v>
      </c>
      <c r="N85" s="57">
        <v>263</v>
      </c>
      <c r="O85" s="65">
        <v>8800</v>
      </c>
      <c r="P85" s="58">
        <v>0</v>
      </c>
      <c r="Q85" s="55">
        <v>0</v>
      </c>
      <c r="R85" s="59">
        <v>0</v>
      </c>
      <c r="S85" s="58">
        <v>0</v>
      </c>
      <c r="T85" s="55">
        <v>0</v>
      </c>
      <c r="U85" s="59">
        <v>0</v>
      </c>
      <c r="V85" s="58">
        <v>0</v>
      </c>
      <c r="W85" s="55">
        <v>0</v>
      </c>
      <c r="X85" s="59">
        <v>0</v>
      </c>
      <c r="Y85" s="58">
        <v>0</v>
      </c>
      <c r="Z85" s="91">
        <v>0</v>
      </c>
      <c r="AA85" s="175">
        <v>0</v>
      </c>
      <c r="AB85" s="245"/>
      <c r="AC85" s="245"/>
      <c r="AD85" s="245"/>
      <c r="AE85" s="245"/>
      <c r="AF85" s="245"/>
      <c r="AG85" s="245"/>
      <c r="AH85" s="245"/>
      <c r="AI85" s="245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</row>
    <row r="86" spans="1:121" s="15" customFormat="1" ht="28.5" customHeight="1">
      <c r="A86" s="431">
        <v>230</v>
      </c>
      <c r="B86" s="342">
        <v>2219</v>
      </c>
      <c r="C86" s="343">
        <v>6121</v>
      </c>
      <c r="D86" s="336">
        <v>3226</v>
      </c>
      <c r="E86" s="205" t="s">
        <v>500</v>
      </c>
      <c r="F86" s="83" t="s">
        <v>248</v>
      </c>
      <c r="G86" s="67">
        <v>400</v>
      </c>
      <c r="H86" s="67">
        <v>2017</v>
      </c>
      <c r="I86" s="68">
        <v>2021</v>
      </c>
      <c r="J86" s="53">
        <f>K86+L86+M86+SUM(R86:AA86)</f>
        <v>134900</v>
      </c>
      <c r="K86" s="54">
        <v>0</v>
      </c>
      <c r="L86" s="55">
        <v>842</v>
      </c>
      <c r="M86" s="56">
        <f>N86+O86+P86+Q86</f>
        <v>2058</v>
      </c>
      <c r="N86" s="57">
        <v>2058</v>
      </c>
      <c r="O86" s="65">
        <v>0</v>
      </c>
      <c r="P86" s="58">
        <v>0</v>
      </c>
      <c r="Q86" s="55">
        <v>0</v>
      </c>
      <c r="R86" s="59">
        <v>12000</v>
      </c>
      <c r="S86" s="58">
        <v>0</v>
      </c>
      <c r="T86" s="55">
        <v>0</v>
      </c>
      <c r="U86" s="59">
        <v>80000</v>
      </c>
      <c r="V86" s="58">
        <v>0</v>
      </c>
      <c r="W86" s="55">
        <v>0</v>
      </c>
      <c r="X86" s="59">
        <v>40000</v>
      </c>
      <c r="Y86" s="58">
        <v>0</v>
      </c>
      <c r="Z86" s="91">
        <v>0</v>
      </c>
      <c r="AA86" s="175">
        <v>0</v>
      </c>
      <c r="AB86" s="245"/>
      <c r="AC86" s="245"/>
      <c r="AD86" s="245"/>
      <c r="AE86" s="245"/>
      <c r="AF86" s="245"/>
      <c r="AG86" s="245"/>
      <c r="AH86" s="245"/>
      <c r="AI86" s="245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</row>
    <row r="87" spans="1:121" s="450" customFormat="1" ht="28.5" customHeight="1">
      <c r="A87" s="449">
        <v>230</v>
      </c>
      <c r="B87" s="337">
        <v>2219</v>
      </c>
      <c r="C87" s="338">
        <v>6121</v>
      </c>
      <c r="D87" s="330">
        <v>3227</v>
      </c>
      <c r="E87" s="239" t="s">
        <v>485</v>
      </c>
      <c r="F87" s="83" t="s">
        <v>273</v>
      </c>
      <c r="G87" s="88">
        <v>400</v>
      </c>
      <c r="H87" s="89">
        <v>2017</v>
      </c>
      <c r="I87" s="89">
        <v>2021</v>
      </c>
      <c r="J87" s="53">
        <f>K87+L87+M87+SUM(R87:AA87)</f>
        <v>72348</v>
      </c>
      <c r="K87" s="54">
        <v>0</v>
      </c>
      <c r="L87" s="55">
        <v>452</v>
      </c>
      <c r="M87" s="56">
        <f>N87+O87+P87+Q87</f>
        <v>548</v>
      </c>
      <c r="N87" s="57">
        <v>548</v>
      </c>
      <c r="O87" s="65">
        <f>2952-2952</f>
        <v>0</v>
      </c>
      <c r="P87" s="58">
        <v>0</v>
      </c>
      <c r="Q87" s="55">
        <v>0</v>
      </c>
      <c r="R87" s="59">
        <f>36648-36648</f>
        <v>0</v>
      </c>
      <c r="S87" s="58">
        <v>0</v>
      </c>
      <c r="T87" s="91">
        <v>0</v>
      </c>
      <c r="U87" s="92">
        <v>35000</v>
      </c>
      <c r="V87" s="58">
        <v>0</v>
      </c>
      <c r="W87" s="55">
        <v>0</v>
      </c>
      <c r="X87" s="93">
        <v>36348</v>
      </c>
      <c r="Y87" s="58">
        <v>0</v>
      </c>
      <c r="Z87" s="173">
        <v>0</v>
      </c>
      <c r="AA87" s="175">
        <v>0</v>
      </c>
      <c r="AJ87" s="451"/>
      <c r="AK87" s="451"/>
      <c r="AL87" s="451"/>
      <c r="AM87" s="451"/>
      <c r="AN87" s="451"/>
      <c r="AO87" s="451"/>
      <c r="AP87" s="451"/>
      <c r="AQ87" s="451"/>
      <c r="AR87" s="451"/>
      <c r="AS87" s="451"/>
      <c r="AT87" s="451"/>
      <c r="AU87" s="451"/>
      <c r="AV87" s="451"/>
      <c r="AW87" s="451"/>
      <c r="AX87" s="451"/>
      <c r="AY87" s="451"/>
      <c r="AZ87" s="451"/>
      <c r="BA87" s="451"/>
      <c r="BB87" s="451"/>
      <c r="BC87" s="451"/>
      <c r="BD87" s="451"/>
      <c r="BE87" s="451"/>
      <c r="BF87" s="451"/>
      <c r="BG87" s="451"/>
      <c r="BH87" s="451"/>
      <c r="BI87" s="451"/>
      <c r="BJ87" s="451"/>
      <c r="BK87" s="451"/>
      <c r="BL87" s="451"/>
      <c r="BM87" s="451"/>
      <c r="BN87" s="451"/>
      <c r="BO87" s="451"/>
      <c r="BP87" s="451"/>
      <c r="BQ87" s="451"/>
      <c r="BR87" s="451"/>
      <c r="BS87" s="451"/>
      <c r="BT87" s="451"/>
      <c r="BU87" s="451"/>
      <c r="BV87" s="451"/>
      <c r="BW87" s="451"/>
      <c r="BX87" s="451"/>
      <c r="BY87" s="451"/>
      <c r="BZ87" s="451"/>
      <c r="CA87" s="451"/>
      <c r="CB87" s="451"/>
      <c r="CC87" s="451"/>
      <c r="CD87" s="451"/>
      <c r="CE87" s="451"/>
      <c r="CF87" s="451"/>
      <c r="CG87" s="451"/>
      <c r="CH87" s="451"/>
      <c r="CI87" s="451"/>
      <c r="CJ87" s="451"/>
      <c r="CK87" s="451"/>
      <c r="CL87" s="451"/>
      <c r="CM87" s="451"/>
      <c r="CN87" s="451"/>
      <c r="CO87" s="451"/>
      <c r="CP87" s="451"/>
      <c r="CQ87" s="451"/>
      <c r="CR87" s="451"/>
      <c r="CS87" s="451"/>
      <c r="CT87" s="451"/>
      <c r="CU87" s="451"/>
      <c r="CV87" s="451"/>
      <c r="CW87" s="451"/>
      <c r="CX87" s="451"/>
      <c r="CY87" s="451"/>
      <c r="CZ87" s="451"/>
      <c r="DA87" s="451"/>
      <c r="DB87" s="451"/>
      <c r="DC87" s="451"/>
      <c r="DD87" s="451"/>
      <c r="DE87" s="451"/>
      <c r="DF87" s="451"/>
      <c r="DG87" s="451"/>
      <c r="DH87" s="451"/>
      <c r="DI87" s="451"/>
      <c r="DJ87" s="451"/>
      <c r="DK87" s="451"/>
      <c r="DL87" s="451"/>
      <c r="DM87" s="451"/>
      <c r="DN87" s="451"/>
      <c r="DO87" s="451"/>
      <c r="DP87" s="451"/>
      <c r="DQ87" s="451"/>
    </row>
    <row r="88" spans="1:121" s="15" customFormat="1" ht="28.5" customHeight="1">
      <c r="A88" s="431">
        <v>230</v>
      </c>
      <c r="B88" s="342">
        <v>2219</v>
      </c>
      <c r="C88" s="343">
        <v>6121</v>
      </c>
      <c r="D88" s="336">
        <v>3228</v>
      </c>
      <c r="E88" s="205" t="s">
        <v>464</v>
      </c>
      <c r="F88" s="83" t="s">
        <v>33</v>
      </c>
      <c r="G88" s="67">
        <v>400</v>
      </c>
      <c r="H88" s="67">
        <v>2017</v>
      </c>
      <c r="I88" s="68">
        <v>2020</v>
      </c>
      <c r="J88" s="53">
        <f aca="true" t="shared" si="9" ref="J88:J99">K88+L88+M88+SUM(R88:AA88)</f>
        <v>48802</v>
      </c>
      <c r="K88" s="54">
        <v>0</v>
      </c>
      <c r="L88" s="55">
        <v>530</v>
      </c>
      <c r="M88" s="56">
        <f aca="true" t="shared" si="10" ref="M88:M99">N88+O88+P88+Q88</f>
        <v>870</v>
      </c>
      <c r="N88" s="57">
        <v>870</v>
      </c>
      <c r="O88" s="65">
        <f>980-980</f>
        <v>0</v>
      </c>
      <c r="P88" s="58">
        <v>0</v>
      </c>
      <c r="Q88" s="55">
        <v>0</v>
      </c>
      <c r="R88" s="59">
        <v>47402</v>
      </c>
      <c r="S88" s="58">
        <v>0</v>
      </c>
      <c r="T88" s="55">
        <v>0</v>
      </c>
      <c r="U88" s="59">
        <v>0</v>
      </c>
      <c r="V88" s="58">
        <v>0</v>
      </c>
      <c r="W88" s="55">
        <v>0</v>
      </c>
      <c r="X88" s="59">
        <v>0</v>
      </c>
      <c r="Y88" s="58">
        <v>0</v>
      </c>
      <c r="Z88" s="91">
        <v>0</v>
      </c>
      <c r="AA88" s="175">
        <v>0</v>
      </c>
      <c r="AB88" s="245"/>
      <c r="AC88" s="245"/>
      <c r="AD88" s="245"/>
      <c r="AE88" s="245"/>
      <c r="AF88" s="245"/>
      <c r="AG88" s="245"/>
      <c r="AH88" s="245"/>
      <c r="AI88" s="245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</row>
    <row r="89" spans="1:121" s="15" customFormat="1" ht="28.5" customHeight="1">
      <c r="A89" s="431">
        <v>230</v>
      </c>
      <c r="B89" s="304">
        <v>2219</v>
      </c>
      <c r="C89" s="305">
        <v>6121</v>
      </c>
      <c r="D89" s="336">
        <v>3236</v>
      </c>
      <c r="E89" s="205" t="s">
        <v>486</v>
      </c>
      <c r="F89" s="452"/>
      <c r="G89" s="62">
        <v>400</v>
      </c>
      <c r="H89" s="62">
        <v>2017</v>
      </c>
      <c r="I89" s="154">
        <v>2020</v>
      </c>
      <c r="J89" s="45">
        <f t="shared" si="9"/>
        <v>5500</v>
      </c>
      <c r="K89" s="46">
        <v>0</v>
      </c>
      <c r="L89" s="47">
        <v>0</v>
      </c>
      <c r="M89" s="82">
        <f t="shared" si="10"/>
        <v>500</v>
      </c>
      <c r="N89" s="49">
        <v>500</v>
      </c>
      <c r="O89" s="64">
        <v>0</v>
      </c>
      <c r="P89" s="50">
        <v>0</v>
      </c>
      <c r="Q89" s="47">
        <v>0</v>
      </c>
      <c r="R89" s="51">
        <v>5000</v>
      </c>
      <c r="S89" s="50">
        <v>0</v>
      </c>
      <c r="T89" s="47">
        <v>0</v>
      </c>
      <c r="U89" s="51">
        <v>0</v>
      </c>
      <c r="V89" s="50">
        <v>0</v>
      </c>
      <c r="W89" s="47">
        <v>0</v>
      </c>
      <c r="X89" s="51">
        <v>0</v>
      </c>
      <c r="Y89" s="50">
        <v>0</v>
      </c>
      <c r="Z89" s="141">
        <v>0</v>
      </c>
      <c r="AA89" s="176">
        <v>0</v>
      </c>
      <c r="AB89" s="245"/>
      <c r="AC89" s="245"/>
      <c r="AD89" s="245"/>
      <c r="AE89" s="245"/>
      <c r="AF89" s="245"/>
      <c r="AG89" s="245"/>
      <c r="AH89" s="245"/>
      <c r="AI89" s="245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</row>
    <row r="90" spans="1:121" s="95" customFormat="1" ht="28.5" customHeight="1">
      <c r="A90" s="453">
        <v>230</v>
      </c>
      <c r="B90" s="445">
        <v>2219</v>
      </c>
      <c r="C90" s="446">
        <v>6121</v>
      </c>
      <c r="D90" s="336">
        <v>3239</v>
      </c>
      <c r="E90" s="238" t="s">
        <v>34</v>
      </c>
      <c r="F90" s="203" t="s">
        <v>35</v>
      </c>
      <c r="G90" s="67">
        <v>400</v>
      </c>
      <c r="H90" s="67">
        <v>2018</v>
      </c>
      <c r="I90" s="68">
        <v>2020</v>
      </c>
      <c r="J90" s="53">
        <f t="shared" si="9"/>
        <v>85600</v>
      </c>
      <c r="K90" s="54">
        <v>0</v>
      </c>
      <c r="L90" s="55">
        <v>0</v>
      </c>
      <c r="M90" s="56">
        <f t="shared" si="10"/>
        <v>600</v>
      </c>
      <c r="N90" s="57">
        <v>600</v>
      </c>
      <c r="O90" s="65">
        <f>3450-2000-1450</f>
        <v>0</v>
      </c>
      <c r="P90" s="58">
        <v>0</v>
      </c>
      <c r="Q90" s="55">
        <v>0</v>
      </c>
      <c r="R90" s="59">
        <v>15000</v>
      </c>
      <c r="S90" s="58">
        <v>0</v>
      </c>
      <c r="T90" s="55">
        <v>0</v>
      </c>
      <c r="U90" s="59">
        <v>70000</v>
      </c>
      <c r="V90" s="58">
        <v>0</v>
      </c>
      <c r="W90" s="55">
        <v>0</v>
      </c>
      <c r="X90" s="59">
        <v>0</v>
      </c>
      <c r="Y90" s="58">
        <v>0</v>
      </c>
      <c r="Z90" s="91">
        <v>0</v>
      </c>
      <c r="AA90" s="175">
        <v>0</v>
      </c>
      <c r="AB90" s="267"/>
      <c r="AC90" s="267"/>
      <c r="AD90" s="267"/>
      <c r="AE90" s="267"/>
      <c r="AF90" s="267"/>
      <c r="AG90" s="267"/>
      <c r="AH90" s="267"/>
      <c r="AI90" s="267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94"/>
      <c r="CL90" s="94"/>
      <c r="CM90" s="94"/>
      <c r="CN90" s="94"/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4"/>
      <c r="DA90" s="94"/>
      <c r="DB90" s="94"/>
      <c r="DC90" s="94"/>
      <c r="DD90" s="94"/>
      <c r="DE90" s="94"/>
      <c r="DF90" s="94"/>
      <c r="DG90" s="94"/>
      <c r="DH90" s="94"/>
      <c r="DI90" s="94"/>
      <c r="DJ90" s="94"/>
      <c r="DK90" s="94"/>
      <c r="DL90" s="94"/>
      <c r="DM90" s="94"/>
      <c r="DN90" s="94"/>
      <c r="DO90" s="94"/>
      <c r="DP90" s="94"/>
      <c r="DQ90" s="94"/>
    </row>
    <row r="91" spans="1:121" s="16" customFormat="1" ht="28.5" customHeight="1">
      <c r="A91" s="431">
        <v>230</v>
      </c>
      <c r="B91" s="454">
        <v>2219</v>
      </c>
      <c r="C91" s="455">
        <v>6121</v>
      </c>
      <c r="D91" s="456">
        <v>3257</v>
      </c>
      <c r="E91" s="240" t="s">
        <v>36</v>
      </c>
      <c r="F91" s="457"/>
      <c r="G91" s="67">
        <v>400</v>
      </c>
      <c r="H91" s="67">
        <v>2018</v>
      </c>
      <c r="I91" s="155">
        <v>2021</v>
      </c>
      <c r="J91" s="53">
        <f t="shared" si="9"/>
        <v>10400</v>
      </c>
      <c r="K91" s="54">
        <v>0</v>
      </c>
      <c r="L91" s="55">
        <v>0</v>
      </c>
      <c r="M91" s="56">
        <f t="shared" si="10"/>
        <v>400</v>
      </c>
      <c r="N91" s="57">
        <v>0</v>
      </c>
      <c r="O91" s="65">
        <v>400</v>
      </c>
      <c r="P91" s="58">
        <v>0</v>
      </c>
      <c r="Q91" s="55">
        <v>0</v>
      </c>
      <c r="R91" s="59">
        <v>0</v>
      </c>
      <c r="S91" s="58">
        <v>0</v>
      </c>
      <c r="T91" s="55">
        <v>0</v>
      </c>
      <c r="U91" s="59">
        <v>10000</v>
      </c>
      <c r="V91" s="58">
        <v>0</v>
      </c>
      <c r="W91" s="55">
        <v>0</v>
      </c>
      <c r="X91" s="59">
        <v>0</v>
      </c>
      <c r="Y91" s="58">
        <v>0</v>
      </c>
      <c r="Z91" s="91">
        <v>0</v>
      </c>
      <c r="AA91" s="175">
        <v>0</v>
      </c>
      <c r="AB91" s="245"/>
      <c r="AC91" s="245"/>
      <c r="AD91" s="245"/>
      <c r="AE91" s="245"/>
      <c r="AF91" s="245"/>
      <c r="AG91" s="245"/>
      <c r="AH91" s="245"/>
      <c r="AI91" s="245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</row>
    <row r="92" spans="1:35" s="8" customFormat="1" ht="28.5" customHeight="1">
      <c r="A92" s="431">
        <v>230</v>
      </c>
      <c r="B92" s="454">
        <v>2219</v>
      </c>
      <c r="C92" s="455">
        <v>6121</v>
      </c>
      <c r="D92" s="456">
        <v>3259</v>
      </c>
      <c r="E92" s="242" t="s">
        <v>533</v>
      </c>
      <c r="F92" s="367" t="s">
        <v>296</v>
      </c>
      <c r="G92" s="67">
        <v>400</v>
      </c>
      <c r="H92" s="67">
        <v>2019</v>
      </c>
      <c r="I92" s="68">
        <v>2020</v>
      </c>
      <c r="J92" s="53">
        <f t="shared" si="9"/>
        <v>5500</v>
      </c>
      <c r="K92" s="54">
        <v>0</v>
      </c>
      <c r="L92" s="55">
        <v>0</v>
      </c>
      <c r="M92" s="56">
        <f t="shared" si="10"/>
        <v>500</v>
      </c>
      <c r="N92" s="57">
        <v>0</v>
      </c>
      <c r="O92" s="65">
        <v>500</v>
      </c>
      <c r="P92" s="58">
        <v>0</v>
      </c>
      <c r="Q92" s="55">
        <v>0</v>
      </c>
      <c r="R92" s="59">
        <v>5000</v>
      </c>
      <c r="S92" s="58">
        <v>0</v>
      </c>
      <c r="T92" s="55">
        <v>0</v>
      </c>
      <c r="U92" s="59">
        <v>0</v>
      </c>
      <c r="V92" s="58">
        <v>0</v>
      </c>
      <c r="W92" s="55">
        <v>0</v>
      </c>
      <c r="X92" s="59">
        <v>0</v>
      </c>
      <c r="Y92" s="58">
        <v>0</v>
      </c>
      <c r="Z92" s="91">
        <v>0</v>
      </c>
      <c r="AA92" s="175">
        <v>0</v>
      </c>
      <c r="AB92" s="245"/>
      <c r="AC92" s="245"/>
      <c r="AD92" s="245"/>
      <c r="AE92" s="245"/>
      <c r="AF92" s="245"/>
      <c r="AG92" s="245"/>
      <c r="AH92" s="245"/>
      <c r="AI92" s="245"/>
    </row>
    <row r="93" spans="1:121" s="450" customFormat="1" ht="28.5" customHeight="1">
      <c r="A93" s="449">
        <v>230</v>
      </c>
      <c r="B93" s="337">
        <v>2219</v>
      </c>
      <c r="C93" s="338">
        <v>6121</v>
      </c>
      <c r="D93" s="336">
        <v>3292</v>
      </c>
      <c r="E93" s="232" t="s">
        <v>334</v>
      </c>
      <c r="F93" s="81" t="s">
        <v>286</v>
      </c>
      <c r="G93" s="62">
        <v>400</v>
      </c>
      <c r="H93" s="62">
        <v>2015</v>
      </c>
      <c r="I93" s="63">
        <v>2020</v>
      </c>
      <c r="J93" s="45">
        <f t="shared" si="9"/>
        <v>84374</v>
      </c>
      <c r="K93" s="46">
        <v>1374</v>
      </c>
      <c r="L93" s="47">
        <v>0</v>
      </c>
      <c r="M93" s="48">
        <f t="shared" si="10"/>
        <v>1000</v>
      </c>
      <c r="N93" s="49">
        <v>0</v>
      </c>
      <c r="O93" s="64">
        <f>3000-2000</f>
        <v>1000</v>
      </c>
      <c r="P93" s="50">
        <v>0</v>
      </c>
      <c r="Q93" s="47">
        <v>0</v>
      </c>
      <c r="R93" s="51">
        <v>60000</v>
      </c>
      <c r="S93" s="50">
        <v>0</v>
      </c>
      <c r="T93" s="47">
        <v>0</v>
      </c>
      <c r="U93" s="51">
        <f>20000+2000</f>
        <v>22000</v>
      </c>
      <c r="V93" s="50">
        <v>0</v>
      </c>
      <c r="W93" s="47">
        <v>0</v>
      </c>
      <c r="X93" s="51">
        <v>0</v>
      </c>
      <c r="Y93" s="50">
        <v>0</v>
      </c>
      <c r="Z93" s="141">
        <v>0</v>
      </c>
      <c r="AA93" s="176">
        <v>0</v>
      </c>
      <c r="AJ93" s="451"/>
      <c r="AK93" s="451"/>
      <c r="AL93" s="451"/>
      <c r="AM93" s="451"/>
      <c r="AN93" s="451"/>
      <c r="AO93" s="451"/>
      <c r="AP93" s="451"/>
      <c r="AQ93" s="451"/>
      <c r="AR93" s="451"/>
      <c r="AS93" s="451"/>
      <c r="AT93" s="451"/>
      <c r="AU93" s="451"/>
      <c r="AV93" s="451"/>
      <c r="AW93" s="451"/>
      <c r="AX93" s="451"/>
      <c r="AY93" s="451"/>
      <c r="AZ93" s="451"/>
      <c r="BA93" s="451"/>
      <c r="BB93" s="451"/>
      <c r="BC93" s="451"/>
      <c r="BD93" s="451"/>
      <c r="BE93" s="451"/>
      <c r="BF93" s="451"/>
      <c r="BG93" s="451"/>
      <c r="BH93" s="451"/>
      <c r="BI93" s="451"/>
      <c r="BJ93" s="451"/>
      <c r="BK93" s="451"/>
      <c r="BL93" s="451"/>
      <c r="BM93" s="451"/>
      <c r="BN93" s="451"/>
      <c r="BO93" s="451"/>
      <c r="BP93" s="451"/>
      <c r="BQ93" s="451"/>
      <c r="BR93" s="451"/>
      <c r="BS93" s="451"/>
      <c r="BT93" s="451"/>
      <c r="BU93" s="451"/>
      <c r="BV93" s="451"/>
      <c r="BW93" s="451"/>
      <c r="BX93" s="451"/>
      <c r="BY93" s="451"/>
      <c r="BZ93" s="451"/>
      <c r="CA93" s="451"/>
      <c r="CB93" s="451"/>
      <c r="CC93" s="451"/>
      <c r="CD93" s="451"/>
      <c r="CE93" s="451"/>
      <c r="CF93" s="451"/>
      <c r="CG93" s="451"/>
      <c r="CH93" s="451"/>
      <c r="CI93" s="451"/>
      <c r="CJ93" s="451"/>
      <c r="CK93" s="451"/>
      <c r="CL93" s="451"/>
      <c r="CM93" s="451"/>
      <c r="CN93" s="451"/>
      <c r="CO93" s="451"/>
      <c r="CP93" s="451"/>
      <c r="CQ93" s="451"/>
      <c r="CR93" s="451"/>
      <c r="CS93" s="451"/>
      <c r="CT93" s="451"/>
      <c r="CU93" s="451"/>
      <c r="CV93" s="451"/>
      <c r="CW93" s="451"/>
      <c r="CX93" s="451"/>
      <c r="CY93" s="451"/>
      <c r="CZ93" s="451"/>
      <c r="DA93" s="451"/>
      <c r="DB93" s="451"/>
      <c r="DC93" s="451"/>
      <c r="DD93" s="451"/>
      <c r="DE93" s="451"/>
      <c r="DF93" s="451"/>
      <c r="DG93" s="451"/>
      <c r="DH93" s="451"/>
      <c r="DI93" s="451"/>
      <c r="DJ93" s="451"/>
      <c r="DK93" s="451"/>
      <c r="DL93" s="451"/>
      <c r="DM93" s="451"/>
      <c r="DN93" s="451"/>
      <c r="DO93" s="451"/>
      <c r="DP93" s="451"/>
      <c r="DQ93" s="451"/>
    </row>
    <row r="94" spans="1:35" s="8" customFormat="1" ht="28.5" customHeight="1">
      <c r="A94" s="449">
        <v>230</v>
      </c>
      <c r="B94" s="458">
        <v>2219</v>
      </c>
      <c r="C94" s="459">
        <v>6121</v>
      </c>
      <c r="D94" s="460">
        <v>8191</v>
      </c>
      <c r="E94" s="205" t="s">
        <v>517</v>
      </c>
      <c r="F94" s="83" t="s">
        <v>286</v>
      </c>
      <c r="G94" s="67">
        <v>400</v>
      </c>
      <c r="H94" s="67">
        <v>2016</v>
      </c>
      <c r="I94" s="68">
        <v>2020</v>
      </c>
      <c r="J94" s="53">
        <f>K94+L94+M94+SUM(R94:AA94)</f>
        <v>23038</v>
      </c>
      <c r="K94" s="54">
        <v>0</v>
      </c>
      <c r="L94" s="55">
        <v>0</v>
      </c>
      <c r="M94" s="56">
        <f>N94+O94+P94+Q94</f>
        <v>5000</v>
      </c>
      <c r="N94" s="57">
        <v>0</v>
      </c>
      <c r="O94" s="65">
        <f>10000-5000</f>
        <v>5000</v>
      </c>
      <c r="P94" s="216">
        <v>0</v>
      </c>
      <c r="Q94" s="217">
        <v>0</v>
      </c>
      <c r="R94" s="51">
        <f>13038+5000</f>
        <v>18038</v>
      </c>
      <c r="S94" s="58">
        <v>0</v>
      </c>
      <c r="T94" s="55">
        <v>0</v>
      </c>
      <c r="U94" s="59">
        <v>0</v>
      </c>
      <c r="V94" s="58">
        <v>0</v>
      </c>
      <c r="W94" s="55">
        <v>0</v>
      </c>
      <c r="X94" s="59">
        <v>0</v>
      </c>
      <c r="Y94" s="58">
        <v>0</v>
      </c>
      <c r="Z94" s="91">
        <v>0</v>
      </c>
      <c r="AA94" s="175">
        <v>0</v>
      </c>
      <c r="AB94" s="245"/>
      <c r="AC94" s="245"/>
      <c r="AD94" s="245"/>
      <c r="AE94" s="245"/>
      <c r="AF94" s="245"/>
      <c r="AG94" s="245"/>
      <c r="AH94" s="245"/>
      <c r="AI94" s="245"/>
    </row>
    <row r="95" spans="1:121" s="16" customFormat="1" ht="28.5" customHeight="1">
      <c r="A95" s="461">
        <v>230</v>
      </c>
      <c r="B95" s="337">
        <v>2219</v>
      </c>
      <c r="C95" s="462">
        <v>6122</v>
      </c>
      <c r="D95" s="1392">
        <v>8228</v>
      </c>
      <c r="E95" s="463" t="s">
        <v>586</v>
      </c>
      <c r="F95" s="83" t="s">
        <v>248</v>
      </c>
      <c r="G95" s="67">
        <v>400</v>
      </c>
      <c r="H95" s="67">
        <v>2018</v>
      </c>
      <c r="I95" s="68">
        <v>2019</v>
      </c>
      <c r="J95" s="53">
        <f>K95+L95+M95+SUM(R95:AA95)</f>
        <v>1658</v>
      </c>
      <c r="K95" s="54">
        <v>0</v>
      </c>
      <c r="L95" s="55">
        <f>600+100</f>
        <v>700</v>
      </c>
      <c r="M95" s="56">
        <f>N95+O95+P95+Q95</f>
        <v>958</v>
      </c>
      <c r="N95" s="57">
        <v>958</v>
      </c>
      <c r="O95" s="65">
        <v>0</v>
      </c>
      <c r="P95" s="58">
        <v>0</v>
      </c>
      <c r="Q95" s="55">
        <v>0</v>
      </c>
      <c r="R95" s="59">
        <v>0</v>
      </c>
      <c r="S95" s="58">
        <v>0</v>
      </c>
      <c r="T95" s="55">
        <v>0</v>
      </c>
      <c r="U95" s="59">
        <v>0</v>
      </c>
      <c r="V95" s="58">
        <v>0</v>
      </c>
      <c r="W95" s="55">
        <v>0</v>
      </c>
      <c r="X95" s="59">
        <v>0</v>
      </c>
      <c r="Y95" s="58">
        <v>0</v>
      </c>
      <c r="Z95" s="91">
        <v>0</v>
      </c>
      <c r="AA95" s="175">
        <v>0</v>
      </c>
      <c r="AB95" s="245"/>
      <c r="AC95" s="245"/>
      <c r="AD95" s="245"/>
      <c r="AE95" s="245"/>
      <c r="AF95" s="245"/>
      <c r="AG95" s="245"/>
      <c r="AH95" s="245"/>
      <c r="AI95" s="245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</row>
    <row r="96" spans="1:121" s="450" customFormat="1" ht="28.5" customHeight="1">
      <c r="A96" s="464">
        <v>100</v>
      </c>
      <c r="B96" s="465">
        <v>2219</v>
      </c>
      <c r="C96" s="455"/>
      <c r="D96" s="456"/>
      <c r="E96" s="466" t="s">
        <v>172</v>
      </c>
      <c r="F96" s="83" t="s">
        <v>248</v>
      </c>
      <c r="G96" s="67">
        <v>400</v>
      </c>
      <c r="H96" s="67">
        <v>2019</v>
      </c>
      <c r="I96" s="68">
        <v>2022</v>
      </c>
      <c r="J96" s="53">
        <f t="shared" si="9"/>
        <v>325900</v>
      </c>
      <c r="K96" s="54">
        <v>0</v>
      </c>
      <c r="L96" s="55">
        <v>0</v>
      </c>
      <c r="M96" s="56">
        <f t="shared" si="10"/>
        <v>400</v>
      </c>
      <c r="N96" s="57">
        <v>0</v>
      </c>
      <c r="O96" s="65">
        <v>400</v>
      </c>
      <c r="P96" s="58">
        <v>0</v>
      </c>
      <c r="Q96" s="55">
        <v>0</v>
      </c>
      <c r="R96" s="59">
        <v>10890</v>
      </c>
      <c r="S96" s="58">
        <v>0</v>
      </c>
      <c r="T96" s="55">
        <v>0</v>
      </c>
      <c r="U96" s="59">
        <v>18886</v>
      </c>
      <c r="V96" s="58">
        <v>106964</v>
      </c>
      <c r="W96" s="55">
        <v>0</v>
      </c>
      <c r="X96" s="59">
        <v>28314</v>
      </c>
      <c r="Y96" s="58">
        <v>160446</v>
      </c>
      <c r="Z96" s="91">
        <v>0</v>
      </c>
      <c r="AA96" s="175">
        <v>0</v>
      </c>
      <c r="AJ96" s="451"/>
      <c r="AK96" s="451"/>
      <c r="AL96" s="451"/>
      <c r="AM96" s="451"/>
      <c r="AN96" s="451"/>
      <c r="AO96" s="451"/>
      <c r="AP96" s="451"/>
      <c r="AQ96" s="451"/>
      <c r="AR96" s="451"/>
      <c r="AS96" s="451"/>
      <c r="AT96" s="451"/>
      <c r="AU96" s="451"/>
      <c r="AV96" s="451"/>
      <c r="AW96" s="451"/>
      <c r="AX96" s="451"/>
      <c r="AY96" s="451"/>
      <c r="AZ96" s="451"/>
      <c r="BA96" s="451"/>
      <c r="BB96" s="451"/>
      <c r="BC96" s="451"/>
      <c r="BD96" s="451"/>
      <c r="BE96" s="451"/>
      <c r="BF96" s="451"/>
      <c r="BG96" s="451"/>
      <c r="BH96" s="451"/>
      <c r="BI96" s="451"/>
      <c r="BJ96" s="451"/>
      <c r="BK96" s="451"/>
      <c r="BL96" s="451"/>
      <c r="BM96" s="451"/>
      <c r="BN96" s="451"/>
      <c r="BO96" s="451"/>
      <c r="BP96" s="451"/>
      <c r="BQ96" s="451"/>
      <c r="BR96" s="451"/>
      <c r="BS96" s="451"/>
      <c r="BT96" s="451"/>
      <c r="BU96" s="451"/>
      <c r="BV96" s="451"/>
      <c r="BW96" s="451"/>
      <c r="BX96" s="451"/>
      <c r="BY96" s="451"/>
      <c r="BZ96" s="451"/>
      <c r="CA96" s="451"/>
      <c r="CB96" s="451"/>
      <c r="CC96" s="451"/>
      <c r="CD96" s="451"/>
      <c r="CE96" s="451"/>
      <c r="CF96" s="451"/>
      <c r="CG96" s="451"/>
      <c r="CH96" s="451"/>
      <c r="CI96" s="451"/>
      <c r="CJ96" s="451"/>
      <c r="CK96" s="451"/>
      <c r="CL96" s="451"/>
      <c r="CM96" s="451"/>
      <c r="CN96" s="451"/>
      <c r="CO96" s="451"/>
      <c r="CP96" s="451"/>
      <c r="CQ96" s="451"/>
      <c r="CR96" s="451"/>
      <c r="CS96" s="451"/>
      <c r="CT96" s="451"/>
      <c r="CU96" s="451"/>
      <c r="CV96" s="451"/>
      <c r="CW96" s="451"/>
      <c r="CX96" s="451"/>
      <c r="CY96" s="451"/>
      <c r="CZ96" s="451"/>
      <c r="DA96" s="451"/>
      <c r="DB96" s="451"/>
      <c r="DC96" s="451"/>
      <c r="DD96" s="451"/>
      <c r="DE96" s="451"/>
      <c r="DF96" s="451"/>
      <c r="DG96" s="451"/>
      <c r="DH96" s="451"/>
      <c r="DI96" s="451"/>
      <c r="DJ96" s="451"/>
      <c r="DK96" s="451"/>
      <c r="DL96" s="451"/>
      <c r="DM96" s="451"/>
      <c r="DN96" s="451"/>
      <c r="DO96" s="451"/>
      <c r="DP96" s="451"/>
      <c r="DQ96" s="451"/>
    </row>
    <row r="97" spans="1:121" s="450" customFormat="1" ht="28.5" customHeight="1">
      <c r="A97" s="464">
        <v>100</v>
      </c>
      <c r="B97" s="465">
        <v>2219</v>
      </c>
      <c r="C97" s="467"/>
      <c r="D97" s="336"/>
      <c r="E97" s="463" t="s">
        <v>335</v>
      </c>
      <c r="F97" s="172"/>
      <c r="G97" s="86">
        <v>400</v>
      </c>
      <c r="H97" s="86">
        <v>2016</v>
      </c>
      <c r="I97" s="87">
        <v>2019</v>
      </c>
      <c r="J97" s="53">
        <f t="shared" si="9"/>
        <v>3250</v>
      </c>
      <c r="K97" s="54">
        <v>2400</v>
      </c>
      <c r="L97" s="55">
        <v>680</v>
      </c>
      <c r="M97" s="56">
        <f t="shared" si="10"/>
        <v>170</v>
      </c>
      <c r="N97" s="57">
        <v>0</v>
      </c>
      <c r="O97" s="65">
        <v>170</v>
      </c>
      <c r="P97" s="58">
        <v>0</v>
      </c>
      <c r="Q97" s="55">
        <v>0</v>
      </c>
      <c r="R97" s="59">
        <v>0</v>
      </c>
      <c r="S97" s="58">
        <v>0</v>
      </c>
      <c r="T97" s="55">
        <v>0</v>
      </c>
      <c r="U97" s="59">
        <v>0</v>
      </c>
      <c r="V97" s="58">
        <v>0</v>
      </c>
      <c r="W97" s="55">
        <v>0</v>
      </c>
      <c r="X97" s="59">
        <v>0</v>
      </c>
      <c r="Y97" s="58">
        <v>0</v>
      </c>
      <c r="Z97" s="91">
        <v>0</v>
      </c>
      <c r="AA97" s="175">
        <v>0</v>
      </c>
      <c r="AJ97" s="451"/>
      <c r="AK97" s="451"/>
      <c r="AL97" s="451"/>
      <c r="AM97" s="451"/>
      <c r="AN97" s="451"/>
      <c r="AO97" s="451"/>
      <c r="AP97" s="451"/>
      <c r="AQ97" s="451"/>
      <c r="AR97" s="451"/>
      <c r="AS97" s="451"/>
      <c r="AT97" s="451"/>
      <c r="AU97" s="451"/>
      <c r="AV97" s="451"/>
      <c r="AW97" s="451"/>
      <c r="AX97" s="451"/>
      <c r="AY97" s="451"/>
      <c r="AZ97" s="451"/>
      <c r="BA97" s="451"/>
      <c r="BB97" s="451"/>
      <c r="BC97" s="451"/>
      <c r="BD97" s="451"/>
      <c r="BE97" s="451"/>
      <c r="BF97" s="451"/>
      <c r="BG97" s="451"/>
      <c r="BH97" s="451"/>
      <c r="BI97" s="451"/>
      <c r="BJ97" s="451"/>
      <c r="BK97" s="451"/>
      <c r="BL97" s="451"/>
      <c r="BM97" s="451"/>
      <c r="BN97" s="451"/>
      <c r="BO97" s="451"/>
      <c r="BP97" s="451"/>
      <c r="BQ97" s="451"/>
      <c r="BR97" s="451"/>
      <c r="BS97" s="451"/>
      <c r="BT97" s="451"/>
      <c r="BU97" s="451"/>
      <c r="BV97" s="451"/>
      <c r="BW97" s="451"/>
      <c r="BX97" s="451"/>
      <c r="BY97" s="451"/>
      <c r="BZ97" s="451"/>
      <c r="CA97" s="451"/>
      <c r="CB97" s="451"/>
      <c r="CC97" s="451"/>
      <c r="CD97" s="451"/>
      <c r="CE97" s="451"/>
      <c r="CF97" s="451"/>
      <c r="CG97" s="451"/>
      <c r="CH97" s="451"/>
      <c r="CI97" s="451"/>
      <c r="CJ97" s="451"/>
      <c r="CK97" s="451"/>
      <c r="CL97" s="451"/>
      <c r="CM97" s="451"/>
      <c r="CN97" s="451"/>
      <c r="CO97" s="451"/>
      <c r="CP97" s="451"/>
      <c r="CQ97" s="451"/>
      <c r="CR97" s="451"/>
      <c r="CS97" s="451"/>
      <c r="CT97" s="451"/>
      <c r="CU97" s="451"/>
      <c r="CV97" s="451"/>
      <c r="CW97" s="451"/>
      <c r="CX97" s="451"/>
      <c r="CY97" s="451"/>
      <c r="CZ97" s="451"/>
      <c r="DA97" s="451"/>
      <c r="DB97" s="451"/>
      <c r="DC97" s="451"/>
      <c r="DD97" s="451"/>
      <c r="DE97" s="451"/>
      <c r="DF97" s="451"/>
      <c r="DG97" s="451"/>
      <c r="DH97" s="451"/>
      <c r="DI97" s="451"/>
      <c r="DJ97" s="451"/>
      <c r="DK97" s="451"/>
      <c r="DL97" s="451"/>
      <c r="DM97" s="451"/>
      <c r="DN97" s="451"/>
      <c r="DO97" s="451"/>
      <c r="DP97" s="451"/>
      <c r="DQ97" s="451"/>
    </row>
    <row r="98" spans="1:121" s="450" customFormat="1" ht="28.5" customHeight="1">
      <c r="A98" s="468">
        <v>100</v>
      </c>
      <c r="B98" s="469">
        <v>2219</v>
      </c>
      <c r="C98" s="470"/>
      <c r="D98" s="956"/>
      <c r="E98" s="976" t="s">
        <v>558</v>
      </c>
      <c r="F98" s="66" t="s">
        <v>248</v>
      </c>
      <c r="G98" s="67">
        <v>400</v>
      </c>
      <c r="H98" s="67">
        <v>2018</v>
      </c>
      <c r="I98" s="68">
        <v>2021</v>
      </c>
      <c r="J98" s="175">
        <f t="shared" si="9"/>
        <v>182300</v>
      </c>
      <c r="K98" s="54">
        <v>0</v>
      </c>
      <c r="L98" s="55">
        <v>0</v>
      </c>
      <c r="M98" s="56">
        <f t="shared" si="10"/>
        <v>0</v>
      </c>
      <c r="N98" s="57">
        <v>0</v>
      </c>
      <c r="O98" s="65">
        <f>300-300</f>
        <v>0</v>
      </c>
      <c r="P98" s="58">
        <v>0</v>
      </c>
      <c r="Q98" s="55">
        <v>0</v>
      </c>
      <c r="R98" s="59">
        <v>2300</v>
      </c>
      <c r="S98" s="58">
        <v>0</v>
      </c>
      <c r="T98" s="55">
        <v>0</v>
      </c>
      <c r="U98" s="59">
        <v>27000</v>
      </c>
      <c r="V98" s="58">
        <v>153000</v>
      </c>
      <c r="W98" s="55">
        <v>0</v>
      </c>
      <c r="X98" s="59">
        <v>0</v>
      </c>
      <c r="Y98" s="58">
        <v>0</v>
      </c>
      <c r="Z98" s="55">
        <v>0</v>
      </c>
      <c r="AA98" s="60">
        <v>0</v>
      </c>
      <c r="AJ98" s="451"/>
      <c r="AK98" s="451"/>
      <c r="AL98" s="451"/>
      <c r="AM98" s="451"/>
      <c r="AN98" s="451"/>
      <c r="AO98" s="451"/>
      <c r="AP98" s="451"/>
      <c r="AQ98" s="451"/>
      <c r="AR98" s="451"/>
      <c r="AS98" s="451"/>
      <c r="AT98" s="451"/>
      <c r="AU98" s="451"/>
      <c r="AV98" s="451"/>
      <c r="AW98" s="451"/>
      <c r="AX98" s="451"/>
      <c r="AY98" s="451"/>
      <c r="AZ98" s="451"/>
      <c r="BA98" s="451"/>
      <c r="BB98" s="451"/>
      <c r="BC98" s="451"/>
      <c r="BD98" s="451"/>
      <c r="BE98" s="451"/>
      <c r="BF98" s="451"/>
      <c r="BG98" s="451"/>
      <c r="BH98" s="451"/>
      <c r="BI98" s="451"/>
      <c r="BJ98" s="451"/>
      <c r="BK98" s="451"/>
      <c r="BL98" s="451"/>
      <c r="BM98" s="451"/>
      <c r="BN98" s="451"/>
      <c r="BO98" s="451"/>
      <c r="BP98" s="451"/>
      <c r="BQ98" s="451"/>
      <c r="BR98" s="451"/>
      <c r="BS98" s="451"/>
      <c r="BT98" s="451"/>
      <c r="BU98" s="451"/>
      <c r="BV98" s="451"/>
      <c r="BW98" s="451"/>
      <c r="BX98" s="451"/>
      <c r="BY98" s="451"/>
      <c r="BZ98" s="451"/>
      <c r="CA98" s="451"/>
      <c r="CB98" s="451"/>
      <c r="CC98" s="451"/>
      <c r="CD98" s="451"/>
      <c r="CE98" s="451"/>
      <c r="CF98" s="451"/>
      <c r="CG98" s="451"/>
      <c r="CH98" s="451"/>
      <c r="CI98" s="451"/>
      <c r="CJ98" s="451"/>
      <c r="CK98" s="451"/>
      <c r="CL98" s="451"/>
      <c r="CM98" s="451"/>
      <c r="CN98" s="451"/>
      <c r="CO98" s="451"/>
      <c r="CP98" s="451"/>
      <c r="CQ98" s="451"/>
      <c r="CR98" s="451"/>
      <c r="CS98" s="451"/>
      <c r="CT98" s="451"/>
      <c r="CU98" s="451"/>
      <c r="CV98" s="451"/>
      <c r="CW98" s="451"/>
      <c r="CX98" s="451"/>
      <c r="CY98" s="451"/>
      <c r="CZ98" s="451"/>
      <c r="DA98" s="451"/>
      <c r="DB98" s="451"/>
      <c r="DC98" s="451"/>
      <c r="DD98" s="451"/>
      <c r="DE98" s="451"/>
      <c r="DF98" s="451"/>
      <c r="DG98" s="451"/>
      <c r="DH98" s="451"/>
      <c r="DI98" s="451"/>
      <c r="DJ98" s="451"/>
      <c r="DK98" s="451"/>
      <c r="DL98" s="451"/>
      <c r="DM98" s="451"/>
      <c r="DN98" s="451"/>
      <c r="DO98" s="451"/>
      <c r="DP98" s="451"/>
      <c r="DQ98" s="451"/>
    </row>
    <row r="99" spans="1:121" s="450" customFormat="1" ht="28.5" customHeight="1" thickBot="1">
      <c r="A99" s="468">
        <v>100</v>
      </c>
      <c r="B99" s="469">
        <v>2219</v>
      </c>
      <c r="C99" s="470"/>
      <c r="D99" s="471"/>
      <c r="E99" s="1393" t="s">
        <v>559</v>
      </c>
      <c r="F99" s="178" t="s">
        <v>248</v>
      </c>
      <c r="G99" s="70">
        <v>400</v>
      </c>
      <c r="H99" s="70">
        <v>2018</v>
      </c>
      <c r="I99" s="71">
        <v>2022</v>
      </c>
      <c r="J99" s="243">
        <f t="shared" si="9"/>
        <v>262300</v>
      </c>
      <c r="K99" s="73">
        <v>0</v>
      </c>
      <c r="L99" s="1394">
        <v>0</v>
      </c>
      <c r="M99" s="75">
        <f t="shared" si="10"/>
        <v>0</v>
      </c>
      <c r="N99" s="76">
        <v>0</v>
      </c>
      <c r="O99" s="77">
        <f>300-300</f>
        <v>0</v>
      </c>
      <c r="P99" s="78">
        <v>0</v>
      </c>
      <c r="Q99" s="74">
        <v>0</v>
      </c>
      <c r="R99" s="79">
        <v>0</v>
      </c>
      <c r="S99" s="78">
        <v>0</v>
      </c>
      <c r="T99" s="74">
        <v>0</v>
      </c>
      <c r="U99" s="79">
        <v>2300</v>
      </c>
      <c r="V99" s="78">
        <v>0</v>
      </c>
      <c r="W99" s="74">
        <v>0</v>
      </c>
      <c r="X99" s="79">
        <v>39000</v>
      </c>
      <c r="Y99" s="78">
        <v>221000</v>
      </c>
      <c r="Z99" s="74">
        <v>0</v>
      </c>
      <c r="AA99" s="80">
        <v>0</v>
      </c>
      <c r="AJ99" s="451"/>
      <c r="AK99" s="451"/>
      <c r="AL99" s="451"/>
      <c r="AM99" s="451"/>
      <c r="AN99" s="451"/>
      <c r="AO99" s="451"/>
      <c r="AP99" s="451"/>
      <c r="AQ99" s="451"/>
      <c r="AR99" s="451"/>
      <c r="AS99" s="451"/>
      <c r="AT99" s="451"/>
      <c r="AU99" s="451"/>
      <c r="AV99" s="451"/>
      <c r="AW99" s="451"/>
      <c r="AX99" s="451"/>
      <c r="AY99" s="451"/>
      <c r="AZ99" s="451"/>
      <c r="BA99" s="451"/>
      <c r="BB99" s="451"/>
      <c r="BC99" s="451"/>
      <c r="BD99" s="451"/>
      <c r="BE99" s="451"/>
      <c r="BF99" s="451"/>
      <c r="BG99" s="451"/>
      <c r="BH99" s="451"/>
      <c r="BI99" s="451"/>
      <c r="BJ99" s="451"/>
      <c r="BK99" s="451"/>
      <c r="BL99" s="451"/>
      <c r="BM99" s="451"/>
      <c r="BN99" s="451"/>
      <c r="BO99" s="451"/>
      <c r="BP99" s="451"/>
      <c r="BQ99" s="451"/>
      <c r="BR99" s="451"/>
      <c r="BS99" s="451"/>
      <c r="BT99" s="451"/>
      <c r="BU99" s="451"/>
      <c r="BV99" s="451"/>
      <c r="BW99" s="451"/>
      <c r="BX99" s="451"/>
      <c r="BY99" s="451"/>
      <c r="BZ99" s="451"/>
      <c r="CA99" s="451"/>
      <c r="CB99" s="451"/>
      <c r="CC99" s="451"/>
      <c r="CD99" s="451"/>
      <c r="CE99" s="451"/>
      <c r="CF99" s="451"/>
      <c r="CG99" s="451"/>
      <c r="CH99" s="451"/>
      <c r="CI99" s="451"/>
      <c r="CJ99" s="451"/>
      <c r="CK99" s="451"/>
      <c r="CL99" s="451"/>
      <c r="CM99" s="451"/>
      <c r="CN99" s="451"/>
      <c r="CO99" s="451"/>
      <c r="CP99" s="451"/>
      <c r="CQ99" s="451"/>
      <c r="CR99" s="451"/>
      <c r="CS99" s="451"/>
      <c r="CT99" s="451"/>
      <c r="CU99" s="451"/>
      <c r="CV99" s="451"/>
      <c r="CW99" s="451"/>
      <c r="CX99" s="451"/>
      <c r="CY99" s="451"/>
      <c r="CZ99" s="451"/>
      <c r="DA99" s="451"/>
      <c r="DB99" s="451"/>
      <c r="DC99" s="451"/>
      <c r="DD99" s="451"/>
      <c r="DE99" s="451"/>
      <c r="DF99" s="451"/>
      <c r="DG99" s="451"/>
      <c r="DH99" s="451"/>
      <c r="DI99" s="451"/>
      <c r="DJ99" s="451"/>
      <c r="DK99" s="451"/>
      <c r="DL99" s="451"/>
      <c r="DM99" s="451"/>
      <c r="DN99" s="451"/>
      <c r="DO99" s="451"/>
      <c r="DP99" s="451"/>
      <c r="DQ99" s="451"/>
    </row>
    <row r="100" spans="1:35" s="8" customFormat="1" ht="28.5" customHeight="1" thickBot="1">
      <c r="A100" s="283"/>
      <c r="B100" s="472"/>
      <c r="C100" s="472"/>
      <c r="D100" s="309"/>
      <c r="E100" s="1514" t="s">
        <v>336</v>
      </c>
      <c r="F100" s="1514"/>
      <c r="G100" s="1514"/>
      <c r="H100" s="1514"/>
      <c r="I100" s="1509"/>
      <c r="J100" s="311">
        <f aca="true" t="shared" si="11" ref="J100:AA100">SUM(J60:J99)</f>
        <v>1794711</v>
      </c>
      <c r="K100" s="311">
        <f t="shared" si="11"/>
        <v>43230</v>
      </c>
      <c r="L100" s="312">
        <f t="shared" si="11"/>
        <v>50979</v>
      </c>
      <c r="M100" s="311">
        <f t="shared" si="11"/>
        <v>97414</v>
      </c>
      <c r="N100" s="313">
        <f t="shared" si="11"/>
        <v>49417</v>
      </c>
      <c r="O100" s="314">
        <f t="shared" si="11"/>
        <v>47997</v>
      </c>
      <c r="P100" s="314">
        <f t="shared" si="11"/>
        <v>0</v>
      </c>
      <c r="Q100" s="312">
        <f t="shared" si="11"/>
        <v>0</v>
      </c>
      <c r="R100" s="315">
        <f t="shared" si="11"/>
        <v>358630</v>
      </c>
      <c r="S100" s="314">
        <f t="shared" si="11"/>
        <v>0</v>
      </c>
      <c r="T100" s="316">
        <f t="shared" si="11"/>
        <v>0</v>
      </c>
      <c r="U100" s="313">
        <f t="shared" si="11"/>
        <v>414386</v>
      </c>
      <c r="V100" s="314">
        <f t="shared" si="11"/>
        <v>259964</v>
      </c>
      <c r="W100" s="312">
        <f t="shared" si="11"/>
        <v>0</v>
      </c>
      <c r="X100" s="1039">
        <f t="shared" si="11"/>
        <v>188662</v>
      </c>
      <c r="Y100" s="314">
        <f t="shared" si="11"/>
        <v>381446</v>
      </c>
      <c r="Z100" s="312">
        <f t="shared" si="11"/>
        <v>0</v>
      </c>
      <c r="AA100" s="988">
        <f t="shared" si="11"/>
        <v>0</v>
      </c>
      <c r="AB100" s="245"/>
      <c r="AC100" s="245"/>
      <c r="AD100" s="245"/>
      <c r="AE100" s="245"/>
      <c r="AF100" s="245"/>
      <c r="AG100" s="245"/>
      <c r="AH100" s="245"/>
      <c r="AI100" s="245"/>
    </row>
    <row r="101" spans="2:27" ht="28.5" customHeight="1" thickBot="1">
      <c r="B101" s="297"/>
      <c r="C101" s="298"/>
      <c r="D101" s="299" t="s">
        <v>337</v>
      </c>
      <c r="E101" s="299"/>
      <c r="F101" s="474"/>
      <c r="G101" s="474"/>
      <c r="H101" s="475"/>
      <c r="I101" s="474"/>
      <c r="J101" s="989"/>
      <c r="K101" s="977"/>
      <c r="L101" s="977"/>
      <c r="M101" s="298"/>
      <c r="N101" s="298"/>
      <c r="O101" s="978"/>
      <c r="P101" s="851"/>
      <c r="Q101" s="979"/>
      <c r="R101" s="978"/>
      <c r="S101" s="980"/>
      <c r="T101" s="981"/>
      <c r="U101" s="640"/>
      <c r="V101" s="980"/>
      <c r="W101" s="981"/>
      <c r="X101" s="982"/>
      <c r="Y101" s="980"/>
      <c r="Z101" s="981"/>
      <c r="AA101" s="990"/>
    </row>
    <row r="102" spans="1:121" s="481" customFormat="1" ht="28.5" customHeight="1">
      <c r="A102" s="476">
        <v>230</v>
      </c>
      <c r="B102" s="340">
        <v>2221</v>
      </c>
      <c r="C102" s="341">
        <v>6121</v>
      </c>
      <c r="D102" s="432">
        <v>3195</v>
      </c>
      <c r="E102" s="1268" t="s">
        <v>37</v>
      </c>
      <c r="F102" s="478" t="s">
        <v>261</v>
      </c>
      <c r="G102" s="479">
        <v>400</v>
      </c>
      <c r="H102" s="479">
        <v>2016</v>
      </c>
      <c r="I102" s="480">
        <v>2023</v>
      </c>
      <c r="J102" s="37">
        <f>K102+L102+M102+SUM(R102:AA102)</f>
        <v>168304</v>
      </c>
      <c r="K102" s="38">
        <v>1104</v>
      </c>
      <c r="L102" s="39">
        <v>0</v>
      </c>
      <c r="M102" s="97">
        <f>N102+O102+P102+Q102</f>
        <v>6200</v>
      </c>
      <c r="N102" s="41">
        <v>4996</v>
      </c>
      <c r="O102" s="85">
        <v>1204</v>
      </c>
      <c r="P102" s="42">
        <v>0</v>
      </c>
      <c r="Q102" s="39">
        <v>0</v>
      </c>
      <c r="R102" s="43">
        <v>50000</v>
      </c>
      <c r="S102" s="42">
        <v>0</v>
      </c>
      <c r="T102" s="39">
        <v>0</v>
      </c>
      <c r="U102" s="43">
        <v>50000</v>
      </c>
      <c r="V102" s="42">
        <v>0</v>
      </c>
      <c r="W102" s="39">
        <v>0</v>
      </c>
      <c r="X102" s="43">
        <v>61000</v>
      </c>
      <c r="Y102" s="42">
        <v>0</v>
      </c>
      <c r="Z102" s="39">
        <v>0</v>
      </c>
      <c r="AA102" s="44">
        <v>0</v>
      </c>
      <c r="AB102" s="245"/>
      <c r="AC102" s="245"/>
      <c r="AD102" s="245"/>
      <c r="AE102" s="245"/>
      <c r="AF102" s="245"/>
      <c r="AG102" s="245"/>
      <c r="AH102" s="245"/>
      <c r="AI102" s="245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</row>
    <row r="103" spans="1:121" s="481" customFormat="1" ht="28.5" customHeight="1">
      <c r="A103" s="476">
        <v>230</v>
      </c>
      <c r="B103" s="340">
        <v>2221</v>
      </c>
      <c r="C103" s="341">
        <v>6121</v>
      </c>
      <c r="D103" s="336">
        <v>3202</v>
      </c>
      <c r="E103" s="205" t="s">
        <v>38</v>
      </c>
      <c r="F103" s="482" t="s">
        <v>286</v>
      </c>
      <c r="G103" s="86">
        <v>400</v>
      </c>
      <c r="H103" s="86">
        <v>2016</v>
      </c>
      <c r="I103" s="87">
        <v>2023</v>
      </c>
      <c r="J103" s="53">
        <f>K103+L103+M103+SUM(R103:AA103)</f>
        <v>1496062</v>
      </c>
      <c r="K103" s="54">
        <v>0</v>
      </c>
      <c r="L103" s="55">
        <v>5430</v>
      </c>
      <c r="M103" s="56">
        <f>N103+O103+P103+Q103</f>
        <v>10172</v>
      </c>
      <c r="N103" s="57">
        <v>8642</v>
      </c>
      <c r="O103" s="65">
        <v>1530</v>
      </c>
      <c r="P103" s="58">
        <v>0</v>
      </c>
      <c r="Q103" s="55">
        <v>0</v>
      </c>
      <c r="R103" s="59">
        <f>6479</f>
        <v>6479</v>
      </c>
      <c r="S103" s="58">
        <v>0</v>
      </c>
      <c r="T103" s="55">
        <v>0</v>
      </c>
      <c r="U103" s="59">
        <v>490000</v>
      </c>
      <c r="V103" s="58">
        <v>0</v>
      </c>
      <c r="W103" s="55">
        <v>0</v>
      </c>
      <c r="X103" s="59">
        <v>490000</v>
      </c>
      <c r="Y103" s="58">
        <v>0</v>
      </c>
      <c r="Z103" s="55">
        <v>0</v>
      </c>
      <c r="AA103" s="60">
        <f>494000-19</f>
        <v>493981</v>
      </c>
      <c r="AB103" s="245"/>
      <c r="AC103" s="245"/>
      <c r="AD103" s="245"/>
      <c r="AE103" s="245"/>
      <c r="AF103" s="245"/>
      <c r="AG103" s="245"/>
      <c r="AH103" s="245"/>
      <c r="AI103" s="245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</row>
    <row r="104" spans="1:121" s="481" customFormat="1" ht="28.5" customHeight="1">
      <c r="A104" s="476">
        <v>230</v>
      </c>
      <c r="B104" s="304">
        <v>2221</v>
      </c>
      <c r="C104" s="305">
        <v>6121</v>
      </c>
      <c r="D104" s="336">
        <v>3225</v>
      </c>
      <c r="E104" s="205" t="s">
        <v>462</v>
      </c>
      <c r="F104" s="66" t="s">
        <v>248</v>
      </c>
      <c r="G104" s="67">
        <v>400</v>
      </c>
      <c r="H104" s="67">
        <v>2017</v>
      </c>
      <c r="I104" s="68">
        <v>2020</v>
      </c>
      <c r="J104" s="53">
        <f>K104+L104+M104+SUM(R104:AA104)</f>
        <v>33401</v>
      </c>
      <c r="K104" s="54">
        <v>0</v>
      </c>
      <c r="L104" s="55">
        <v>350</v>
      </c>
      <c r="M104" s="136">
        <f>N104+O104+P104+Q104</f>
        <v>1540</v>
      </c>
      <c r="N104" s="57">
        <f>1037</f>
        <v>1037</v>
      </c>
      <c r="O104" s="65">
        <v>503</v>
      </c>
      <c r="P104" s="58">
        <v>0</v>
      </c>
      <c r="Q104" s="55">
        <v>0</v>
      </c>
      <c r="R104" s="59">
        <v>31511</v>
      </c>
      <c r="S104" s="58">
        <v>0</v>
      </c>
      <c r="T104" s="55">
        <v>0</v>
      </c>
      <c r="U104" s="59">
        <v>0</v>
      </c>
      <c r="V104" s="58">
        <v>0</v>
      </c>
      <c r="W104" s="55">
        <v>0</v>
      </c>
      <c r="X104" s="59">
        <v>0</v>
      </c>
      <c r="Y104" s="58">
        <v>0</v>
      </c>
      <c r="Z104" s="55">
        <v>0</v>
      </c>
      <c r="AA104" s="60">
        <v>0</v>
      </c>
      <c r="AB104" s="245"/>
      <c r="AC104" s="245"/>
      <c r="AD104" s="245"/>
      <c r="AE104" s="245"/>
      <c r="AF104" s="245"/>
      <c r="AG104" s="245"/>
      <c r="AH104" s="245"/>
      <c r="AI104" s="245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</row>
    <row r="105" spans="1:121" s="481" customFormat="1" ht="28.5" customHeight="1" thickBot="1">
      <c r="A105" s="476">
        <v>230</v>
      </c>
      <c r="B105" s="340">
        <v>2221</v>
      </c>
      <c r="C105" s="341">
        <v>6121</v>
      </c>
      <c r="D105" s="1269">
        <v>3237</v>
      </c>
      <c r="E105" s="1270" t="s">
        <v>39</v>
      </c>
      <c r="F105" s="484" t="s">
        <v>248</v>
      </c>
      <c r="G105" s="485">
        <v>400</v>
      </c>
      <c r="H105" s="485">
        <v>2017</v>
      </c>
      <c r="I105" s="486">
        <v>2023</v>
      </c>
      <c r="J105" s="72">
        <f>K105+L105+M105+SUM(R105:AA105)</f>
        <v>291361</v>
      </c>
      <c r="K105" s="73">
        <v>0</v>
      </c>
      <c r="L105" s="74">
        <v>361</v>
      </c>
      <c r="M105" s="75">
        <f>N105+O105+P105+Q105</f>
        <v>4000</v>
      </c>
      <c r="N105" s="76">
        <v>1639</v>
      </c>
      <c r="O105" s="77">
        <f>5361-3000</f>
        <v>2361</v>
      </c>
      <c r="P105" s="78">
        <v>0</v>
      </c>
      <c r="Q105" s="74">
        <v>0</v>
      </c>
      <c r="R105" s="79">
        <f>5000+3000</f>
        <v>8000</v>
      </c>
      <c r="S105" s="78">
        <v>0</v>
      </c>
      <c r="T105" s="74">
        <v>0</v>
      </c>
      <c r="U105" s="79">
        <v>60000</v>
      </c>
      <c r="V105" s="78">
        <v>0</v>
      </c>
      <c r="W105" s="74">
        <v>0</v>
      </c>
      <c r="X105" s="79">
        <v>90000</v>
      </c>
      <c r="Y105" s="78">
        <v>0</v>
      </c>
      <c r="Z105" s="74">
        <v>0</v>
      </c>
      <c r="AA105" s="80">
        <v>129000</v>
      </c>
      <c r="AB105" s="245"/>
      <c r="AC105" s="245"/>
      <c r="AD105" s="245"/>
      <c r="AE105" s="245"/>
      <c r="AF105" s="245"/>
      <c r="AG105" s="245"/>
      <c r="AH105" s="245"/>
      <c r="AI105" s="245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</row>
    <row r="106" spans="1:121" s="481" customFormat="1" ht="28.5" customHeight="1" thickBot="1">
      <c r="A106" s="487"/>
      <c r="B106" s="472"/>
      <c r="C106" s="472"/>
      <c r="D106" s="309"/>
      <c r="E106" s="1514" t="s">
        <v>338</v>
      </c>
      <c r="F106" s="1514"/>
      <c r="G106" s="1514"/>
      <c r="H106" s="1514"/>
      <c r="I106" s="1509"/>
      <c r="J106" s="311">
        <f aca="true" t="shared" si="12" ref="J106:AA106">SUM(J102:J105)</f>
        <v>1989128</v>
      </c>
      <c r="K106" s="311">
        <f t="shared" si="12"/>
        <v>1104</v>
      </c>
      <c r="L106" s="312">
        <f t="shared" si="12"/>
        <v>6141</v>
      </c>
      <c r="M106" s="311">
        <f t="shared" si="12"/>
        <v>21912</v>
      </c>
      <c r="N106" s="991">
        <f t="shared" si="12"/>
        <v>16314</v>
      </c>
      <c r="O106" s="992">
        <f t="shared" si="12"/>
        <v>5598</v>
      </c>
      <c r="P106" s="992">
        <f t="shared" si="12"/>
        <v>0</v>
      </c>
      <c r="Q106" s="993">
        <f t="shared" si="12"/>
        <v>0</v>
      </c>
      <c r="R106" s="994">
        <f t="shared" si="12"/>
        <v>95990</v>
      </c>
      <c r="S106" s="992">
        <f t="shared" si="12"/>
        <v>0</v>
      </c>
      <c r="T106" s="995">
        <f t="shared" si="12"/>
        <v>0</v>
      </c>
      <c r="U106" s="991">
        <f t="shared" si="12"/>
        <v>600000</v>
      </c>
      <c r="V106" s="992">
        <f t="shared" si="12"/>
        <v>0</v>
      </c>
      <c r="W106" s="993">
        <f t="shared" si="12"/>
        <v>0</v>
      </c>
      <c r="X106" s="994">
        <f t="shared" si="12"/>
        <v>641000</v>
      </c>
      <c r="Y106" s="992">
        <f t="shared" si="12"/>
        <v>0</v>
      </c>
      <c r="Z106" s="995">
        <f t="shared" si="12"/>
        <v>0</v>
      </c>
      <c r="AA106" s="317">
        <f t="shared" si="12"/>
        <v>622981</v>
      </c>
      <c r="AB106" s="245"/>
      <c r="AC106" s="245"/>
      <c r="AD106" s="245"/>
      <c r="AE106" s="245"/>
      <c r="AF106" s="245"/>
      <c r="AG106" s="245"/>
      <c r="AH106" s="245"/>
      <c r="AI106" s="245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</row>
    <row r="107" spans="1:35" s="8" customFormat="1" ht="28.5" customHeight="1" thickBot="1">
      <c r="A107" s="283"/>
      <c r="B107" s="309"/>
      <c r="C107" s="309"/>
      <c r="D107" s="299" t="s">
        <v>4</v>
      </c>
      <c r="E107" s="488"/>
      <c r="F107" s="474"/>
      <c r="G107" s="474"/>
      <c r="H107" s="475"/>
      <c r="I107" s="474"/>
      <c r="J107" s="989"/>
      <c r="K107" s="977"/>
      <c r="L107" s="977"/>
      <c r="M107" s="298"/>
      <c r="N107" s="298"/>
      <c r="O107" s="978"/>
      <c r="P107" s="851"/>
      <c r="Q107" s="979"/>
      <c r="R107" s="978"/>
      <c r="S107" s="980"/>
      <c r="T107" s="981"/>
      <c r="U107" s="982"/>
      <c r="V107" s="980"/>
      <c r="W107" s="981"/>
      <c r="X107" s="982"/>
      <c r="Y107" s="980"/>
      <c r="Z107" s="981"/>
      <c r="AA107" s="979"/>
      <c r="AB107" s="245"/>
      <c r="AC107" s="245"/>
      <c r="AD107" s="245"/>
      <c r="AE107" s="245"/>
      <c r="AF107" s="245"/>
      <c r="AG107" s="245"/>
      <c r="AH107" s="245"/>
      <c r="AI107" s="245"/>
    </row>
    <row r="108" spans="1:35" s="502" customFormat="1" ht="28.5" customHeight="1">
      <c r="A108" s="199">
        <v>101</v>
      </c>
      <c r="B108" s="489">
        <v>2223</v>
      </c>
      <c r="C108" s="490"/>
      <c r="D108" s="491"/>
      <c r="E108" s="492" t="s">
        <v>189</v>
      </c>
      <c r="F108" s="493" t="s">
        <v>248</v>
      </c>
      <c r="G108" s="494">
        <v>400</v>
      </c>
      <c r="H108" s="495">
        <v>2019</v>
      </c>
      <c r="I108" s="496">
        <v>2019</v>
      </c>
      <c r="J108" s="497">
        <f>K108+L108+M108+SUM(R108:AA108)</f>
        <v>0</v>
      </c>
      <c r="K108" s="498">
        <v>0</v>
      </c>
      <c r="L108" s="499">
        <v>0</v>
      </c>
      <c r="M108" s="135">
        <f>N108+O108+P108+Q108</f>
        <v>0</v>
      </c>
      <c r="N108" s="500">
        <v>0</v>
      </c>
      <c r="O108" s="1351">
        <f>10285-10285</f>
        <v>0</v>
      </c>
      <c r="P108" s="996">
        <v>0</v>
      </c>
      <c r="Q108" s="997">
        <v>0</v>
      </c>
      <c r="R108" s="998">
        <v>0</v>
      </c>
      <c r="S108" s="996">
        <v>0</v>
      </c>
      <c r="T108" s="999">
        <v>0</v>
      </c>
      <c r="U108" s="1000">
        <v>0</v>
      </c>
      <c r="V108" s="996">
        <v>0</v>
      </c>
      <c r="W108" s="997">
        <v>0</v>
      </c>
      <c r="X108" s="998">
        <v>0</v>
      </c>
      <c r="Y108" s="996">
        <v>0</v>
      </c>
      <c r="Z108" s="999">
        <v>0</v>
      </c>
      <c r="AA108" s="1001">
        <v>0</v>
      </c>
      <c r="AB108" s="501"/>
      <c r="AC108" s="501"/>
      <c r="AD108" s="501"/>
      <c r="AE108" s="501"/>
      <c r="AF108" s="501"/>
      <c r="AG108" s="501"/>
      <c r="AH108" s="501"/>
      <c r="AI108" s="501"/>
    </row>
    <row r="109" spans="1:35" s="502" customFormat="1" ht="28.5" customHeight="1" thickBot="1">
      <c r="A109" s="199">
        <v>101</v>
      </c>
      <c r="B109" s="489">
        <v>2223</v>
      </c>
      <c r="C109" s="490"/>
      <c r="D109" s="503"/>
      <c r="E109" s="504" t="s">
        <v>190</v>
      </c>
      <c r="F109" s="505" t="s">
        <v>587</v>
      </c>
      <c r="G109" s="506">
        <v>400</v>
      </c>
      <c r="H109" s="507">
        <v>2019</v>
      </c>
      <c r="I109" s="508">
        <v>2019</v>
      </c>
      <c r="J109" s="509">
        <f>K109+L109+M109+SUM(R109:AA109)</f>
        <v>0</v>
      </c>
      <c r="K109" s="510">
        <v>0</v>
      </c>
      <c r="L109" s="511">
        <v>0</v>
      </c>
      <c r="M109" s="136">
        <f>N109+O109+P109+Q109</f>
        <v>0</v>
      </c>
      <c r="N109" s="512">
        <v>0</v>
      </c>
      <c r="O109" s="1352">
        <f>31467-31467</f>
        <v>0</v>
      </c>
      <c r="P109" s="1002">
        <v>0</v>
      </c>
      <c r="Q109" s="1003">
        <f>31467-31467</f>
        <v>0</v>
      </c>
      <c r="R109" s="1004">
        <v>0</v>
      </c>
      <c r="S109" s="1002">
        <v>0</v>
      </c>
      <c r="T109" s="1005">
        <v>0</v>
      </c>
      <c r="U109" s="1006">
        <v>0</v>
      </c>
      <c r="V109" s="1002">
        <v>0</v>
      </c>
      <c r="W109" s="1003">
        <v>0</v>
      </c>
      <c r="X109" s="1004">
        <v>0</v>
      </c>
      <c r="Y109" s="1002">
        <v>0</v>
      </c>
      <c r="Z109" s="1005">
        <v>0</v>
      </c>
      <c r="AA109" s="632">
        <v>0</v>
      </c>
      <c r="AB109" s="501"/>
      <c r="AC109" s="501"/>
      <c r="AD109" s="501"/>
      <c r="AE109" s="501"/>
      <c r="AF109" s="501"/>
      <c r="AG109" s="501"/>
      <c r="AH109" s="501"/>
      <c r="AI109" s="501"/>
    </row>
    <row r="110" spans="1:121" s="123" customFormat="1" ht="28.5" customHeight="1" thickBot="1">
      <c r="A110" s="170"/>
      <c r="B110" s="167"/>
      <c r="C110" s="513"/>
      <c r="D110" s="309"/>
      <c r="E110" s="1514" t="s">
        <v>5</v>
      </c>
      <c r="F110" s="1514"/>
      <c r="G110" s="1514"/>
      <c r="H110" s="1514"/>
      <c r="I110" s="1509"/>
      <c r="J110" s="1007">
        <f>SUM(J108:J109)</f>
        <v>0</v>
      </c>
      <c r="K110" s="984">
        <f>SUM(K108:K109)</f>
        <v>0</v>
      </c>
      <c r="L110" s="987">
        <f>SUM(L108:L109)</f>
        <v>0</v>
      </c>
      <c r="M110" s="1008">
        <f>SUM(M108:M109)</f>
        <v>0</v>
      </c>
      <c r="N110" s="984">
        <f aca="true" t="shared" si="13" ref="N110:AA110">SUM(N108:N109)</f>
        <v>0</v>
      </c>
      <c r="O110" s="984">
        <f t="shared" si="13"/>
        <v>0</v>
      </c>
      <c r="P110" s="1048">
        <f t="shared" si="13"/>
        <v>0</v>
      </c>
      <c r="Q110" s="987">
        <f t="shared" si="13"/>
        <v>0</v>
      </c>
      <c r="R110" s="984">
        <f t="shared" si="13"/>
        <v>0</v>
      </c>
      <c r="S110" s="1048">
        <f t="shared" si="13"/>
        <v>0</v>
      </c>
      <c r="T110" s="987">
        <f t="shared" si="13"/>
        <v>0</v>
      </c>
      <c r="U110" s="984">
        <f t="shared" si="13"/>
        <v>0</v>
      </c>
      <c r="V110" s="1048">
        <f t="shared" si="13"/>
        <v>0</v>
      </c>
      <c r="W110" s="987">
        <f t="shared" si="13"/>
        <v>0</v>
      </c>
      <c r="X110" s="984">
        <f t="shared" si="13"/>
        <v>0</v>
      </c>
      <c r="Y110" s="1048">
        <f t="shared" si="13"/>
        <v>0</v>
      </c>
      <c r="Z110" s="987">
        <f t="shared" si="13"/>
        <v>0</v>
      </c>
      <c r="AA110" s="1008">
        <f t="shared" si="13"/>
        <v>0</v>
      </c>
      <c r="AB110" s="245"/>
      <c r="AC110" s="245"/>
      <c r="AD110" s="245"/>
      <c r="AE110" s="245"/>
      <c r="AF110" s="245"/>
      <c r="AG110" s="245"/>
      <c r="AH110" s="245"/>
      <c r="AI110" s="245"/>
      <c r="AJ110" s="8"/>
      <c r="AK110" s="8"/>
      <c r="AL110" s="8"/>
      <c r="AM110" s="8"/>
      <c r="AN110" s="8"/>
      <c r="AO110" s="8"/>
      <c r="AP110" s="8"/>
      <c r="AQ110" s="8"/>
      <c r="AR110" s="264"/>
      <c r="AS110" s="264"/>
      <c r="AT110" s="264"/>
      <c r="AU110" s="264"/>
      <c r="AV110" s="264"/>
      <c r="AW110" s="264"/>
      <c r="AX110" s="264"/>
      <c r="AY110" s="264"/>
      <c r="AZ110" s="264"/>
      <c r="BA110" s="264"/>
      <c r="BB110" s="264"/>
      <c r="BC110" s="264"/>
      <c r="BD110" s="264"/>
      <c r="BE110" s="264"/>
      <c r="BF110" s="264"/>
      <c r="BG110" s="264"/>
      <c r="BH110" s="264"/>
      <c r="BI110" s="264"/>
      <c r="BJ110" s="264"/>
      <c r="BK110" s="264"/>
      <c r="BL110" s="264"/>
      <c r="BM110" s="264"/>
      <c r="BN110" s="264"/>
      <c r="BO110" s="264"/>
      <c r="BP110" s="264"/>
      <c r="BQ110" s="264"/>
      <c r="BR110" s="264"/>
      <c r="BS110" s="264"/>
      <c r="BT110" s="264"/>
      <c r="BU110" s="264"/>
      <c r="BV110" s="264"/>
      <c r="BW110" s="264"/>
      <c r="BX110" s="264"/>
      <c r="BY110" s="264"/>
      <c r="BZ110" s="264"/>
      <c r="CA110" s="264"/>
      <c r="CB110" s="264"/>
      <c r="CC110" s="264"/>
      <c r="CD110" s="264"/>
      <c r="CE110" s="264"/>
      <c r="CF110" s="264"/>
      <c r="CG110" s="264"/>
      <c r="CH110" s="264"/>
      <c r="CI110" s="264"/>
      <c r="CJ110" s="264"/>
      <c r="CK110" s="264"/>
      <c r="CL110" s="264"/>
      <c r="CM110" s="264"/>
      <c r="CN110" s="264"/>
      <c r="CO110" s="264"/>
      <c r="CP110" s="264"/>
      <c r="CQ110" s="264"/>
      <c r="CR110" s="264"/>
      <c r="CS110" s="264"/>
      <c r="CT110" s="264"/>
      <c r="CU110" s="264"/>
      <c r="CV110" s="264"/>
      <c r="CW110" s="264"/>
      <c r="CX110" s="264"/>
      <c r="CY110" s="264"/>
      <c r="CZ110" s="264"/>
      <c r="DA110" s="264"/>
      <c r="DB110" s="264"/>
      <c r="DC110" s="264"/>
      <c r="DD110" s="264"/>
      <c r="DE110" s="264"/>
      <c r="DF110" s="264"/>
      <c r="DG110" s="264"/>
      <c r="DH110" s="264"/>
      <c r="DI110" s="264"/>
      <c r="DJ110" s="264"/>
      <c r="DK110" s="264"/>
      <c r="DL110" s="264"/>
      <c r="DM110" s="264"/>
      <c r="DN110" s="264"/>
      <c r="DO110" s="264"/>
      <c r="DP110" s="264"/>
      <c r="DQ110" s="264"/>
    </row>
    <row r="111" spans="2:27" ht="28.5" customHeight="1" thickBot="1">
      <c r="B111" s="428"/>
      <c r="C111" s="429"/>
      <c r="D111" s="299" t="s">
        <v>339</v>
      </c>
      <c r="E111" s="299"/>
      <c r="F111" s="474"/>
      <c r="G111" s="474"/>
      <c r="H111" s="475"/>
      <c r="I111" s="474"/>
      <c r="J111" s="989"/>
      <c r="K111" s="977"/>
      <c r="L111" s="977"/>
      <c r="M111" s="298"/>
      <c r="N111" s="298"/>
      <c r="O111" s="978"/>
      <c r="P111" s="851"/>
      <c r="Q111" s="979"/>
      <c r="R111" s="978"/>
      <c r="S111" s="980"/>
      <c r="T111" s="981"/>
      <c r="U111" s="982"/>
      <c r="V111" s="980"/>
      <c r="W111" s="981"/>
      <c r="X111" s="982"/>
      <c r="Y111" s="980"/>
      <c r="Z111" s="981"/>
      <c r="AA111" s="979"/>
    </row>
    <row r="112" spans="1:27" ht="28.5" customHeight="1">
      <c r="A112" s="170">
        <v>230</v>
      </c>
      <c r="B112" s="304">
        <v>2229</v>
      </c>
      <c r="C112" s="305">
        <v>6121</v>
      </c>
      <c r="D112" s="1273">
        <v>3211</v>
      </c>
      <c r="E112" s="326" t="s">
        <v>40</v>
      </c>
      <c r="F112" s="121"/>
      <c r="G112" s="35">
        <v>400</v>
      </c>
      <c r="H112" s="35">
        <v>2005</v>
      </c>
      <c r="I112" s="36">
        <v>2020</v>
      </c>
      <c r="J112" s="37">
        <f>K112+L112+M112+SUM(R112:AA112)</f>
        <v>4313</v>
      </c>
      <c r="K112" s="38">
        <v>313</v>
      </c>
      <c r="L112" s="39">
        <v>0</v>
      </c>
      <c r="M112" s="40">
        <f>N112+O112+P112+Q112</f>
        <v>2000</v>
      </c>
      <c r="N112" s="41">
        <v>2000</v>
      </c>
      <c r="O112" s="85">
        <v>0</v>
      </c>
      <c r="P112" s="42">
        <v>0</v>
      </c>
      <c r="Q112" s="39">
        <v>0</v>
      </c>
      <c r="R112" s="43">
        <v>1000</v>
      </c>
      <c r="S112" s="42">
        <v>0</v>
      </c>
      <c r="T112" s="39">
        <v>0</v>
      </c>
      <c r="U112" s="43">
        <v>1000</v>
      </c>
      <c r="V112" s="42">
        <v>0</v>
      </c>
      <c r="W112" s="39">
        <v>0</v>
      </c>
      <c r="X112" s="43">
        <v>0</v>
      </c>
      <c r="Y112" s="42">
        <v>0</v>
      </c>
      <c r="Z112" s="39">
        <v>0</v>
      </c>
      <c r="AA112" s="44">
        <v>0</v>
      </c>
    </row>
    <row r="113" spans="1:121" s="481" customFormat="1" ht="28.5" customHeight="1" thickBot="1">
      <c r="A113" s="476">
        <v>230</v>
      </c>
      <c r="B113" s="342">
        <v>2229</v>
      </c>
      <c r="C113" s="343">
        <v>6121</v>
      </c>
      <c r="D113" s="1271">
        <v>3243</v>
      </c>
      <c r="E113" s="1272" t="s">
        <v>41</v>
      </c>
      <c r="F113" s="98" t="s">
        <v>248</v>
      </c>
      <c r="G113" s="99">
        <v>400</v>
      </c>
      <c r="H113" s="99">
        <v>2019</v>
      </c>
      <c r="I113" s="100">
        <v>2021</v>
      </c>
      <c r="J113" s="101">
        <f>K113+L113+M113+SUM(R113:AA113)</f>
        <v>19500</v>
      </c>
      <c r="K113" s="102">
        <v>0</v>
      </c>
      <c r="L113" s="103">
        <v>240</v>
      </c>
      <c r="M113" s="104">
        <f>N113+O113+P113+Q113</f>
        <v>860</v>
      </c>
      <c r="N113" s="105">
        <v>310</v>
      </c>
      <c r="O113" s="106">
        <v>550</v>
      </c>
      <c r="P113" s="107">
        <v>0</v>
      </c>
      <c r="Q113" s="103">
        <v>0</v>
      </c>
      <c r="R113" s="108">
        <v>11000</v>
      </c>
      <c r="S113" s="107">
        <v>0</v>
      </c>
      <c r="T113" s="103">
        <v>0</v>
      </c>
      <c r="U113" s="108">
        <v>7400</v>
      </c>
      <c r="V113" s="107">
        <v>0</v>
      </c>
      <c r="W113" s="103">
        <v>0</v>
      </c>
      <c r="X113" s="108">
        <v>0</v>
      </c>
      <c r="Y113" s="107">
        <v>0</v>
      </c>
      <c r="Z113" s="103">
        <v>0</v>
      </c>
      <c r="AA113" s="109">
        <v>0</v>
      </c>
      <c r="AB113" s="14"/>
      <c r="AC113" s="14"/>
      <c r="AD113" s="14"/>
      <c r="AE113" s="14"/>
      <c r="AF113" s="245"/>
      <c r="AG113" s="245"/>
      <c r="AH113" s="245"/>
      <c r="AI113" s="245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</row>
    <row r="114" spans="1:121" s="481" customFormat="1" ht="28.5" customHeight="1" thickBot="1">
      <c r="A114" s="487"/>
      <c r="B114" s="472"/>
      <c r="C114" s="472"/>
      <c r="D114" s="309"/>
      <c r="E114" s="1514" t="s">
        <v>340</v>
      </c>
      <c r="F114" s="1514"/>
      <c r="G114" s="1514"/>
      <c r="H114" s="1514"/>
      <c r="I114" s="1509"/>
      <c r="J114" s="311">
        <f>SUM(J112:J113)</f>
        <v>23813</v>
      </c>
      <c r="K114" s="984">
        <f aca="true" t="shared" si="14" ref="K114:AA114">SUM(K112:K113)</f>
        <v>313</v>
      </c>
      <c r="L114" s="1039">
        <f t="shared" si="14"/>
        <v>240</v>
      </c>
      <c r="M114" s="311">
        <f t="shared" si="14"/>
        <v>2860</v>
      </c>
      <c r="N114" s="984">
        <f t="shared" si="14"/>
        <v>2310</v>
      </c>
      <c r="O114" s="985">
        <f t="shared" si="14"/>
        <v>550</v>
      </c>
      <c r="P114" s="1048">
        <f t="shared" si="14"/>
        <v>0</v>
      </c>
      <c r="Q114" s="1039">
        <f t="shared" si="14"/>
        <v>0</v>
      </c>
      <c r="R114" s="984">
        <f t="shared" si="14"/>
        <v>12000</v>
      </c>
      <c r="S114" s="1048">
        <f t="shared" si="14"/>
        <v>0</v>
      </c>
      <c r="T114" s="1039">
        <f t="shared" si="14"/>
        <v>0</v>
      </c>
      <c r="U114" s="984">
        <f t="shared" si="14"/>
        <v>8400</v>
      </c>
      <c r="V114" s="1048">
        <f t="shared" si="14"/>
        <v>0</v>
      </c>
      <c r="W114" s="1039">
        <f t="shared" si="14"/>
        <v>0</v>
      </c>
      <c r="X114" s="984">
        <f t="shared" si="14"/>
        <v>0</v>
      </c>
      <c r="Y114" s="1048">
        <f t="shared" si="14"/>
        <v>0</v>
      </c>
      <c r="Z114" s="1039">
        <f t="shared" si="14"/>
        <v>0</v>
      </c>
      <c r="AA114" s="1008">
        <f t="shared" si="14"/>
        <v>0</v>
      </c>
      <c r="AB114" s="245"/>
      <c r="AC114" s="245"/>
      <c r="AD114" s="245"/>
      <c r="AE114" s="245"/>
      <c r="AF114" s="245"/>
      <c r="AG114" s="245"/>
      <c r="AH114" s="245"/>
      <c r="AI114" s="245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</row>
    <row r="115" spans="2:27" ht="28.5" customHeight="1" thickBot="1">
      <c r="B115" s="428"/>
      <c r="C115" s="429"/>
      <c r="D115" s="299" t="s">
        <v>341</v>
      </c>
      <c r="E115" s="299"/>
      <c r="F115" s="474"/>
      <c r="G115" s="474"/>
      <c r="H115" s="475"/>
      <c r="I115" s="474"/>
      <c r="J115" s="989"/>
      <c r="K115" s="977"/>
      <c r="L115" s="977"/>
      <c r="M115" s="298"/>
      <c r="N115" s="298"/>
      <c r="O115" s="978"/>
      <c r="P115" s="851"/>
      <c r="Q115" s="979"/>
      <c r="R115" s="978"/>
      <c r="S115" s="980"/>
      <c r="T115" s="981"/>
      <c r="U115" s="982"/>
      <c r="V115" s="980"/>
      <c r="W115" s="981"/>
      <c r="X115" s="982"/>
      <c r="Y115" s="980"/>
      <c r="Z115" s="981"/>
      <c r="AA115" s="979"/>
    </row>
    <row r="116" spans="1:31" ht="28.5" customHeight="1">
      <c r="A116" s="303">
        <v>230</v>
      </c>
      <c r="B116" s="342">
        <v>2271</v>
      </c>
      <c r="C116" s="343">
        <v>6121</v>
      </c>
      <c r="D116" s="518">
        <v>3245</v>
      </c>
      <c r="E116" s="971" t="s">
        <v>42</v>
      </c>
      <c r="F116" s="152" t="s">
        <v>43</v>
      </c>
      <c r="G116" s="35">
        <v>400</v>
      </c>
      <c r="H116" s="35">
        <v>2018</v>
      </c>
      <c r="I116" s="36">
        <v>2021</v>
      </c>
      <c r="J116" s="37">
        <f>K116+L116+M116+SUM(R116:AA116)</f>
        <v>96100</v>
      </c>
      <c r="K116" s="38">
        <v>0</v>
      </c>
      <c r="L116" s="39">
        <v>301</v>
      </c>
      <c r="M116" s="97">
        <f>N116+O116+P116+Q116</f>
        <v>2000</v>
      </c>
      <c r="N116" s="41">
        <v>0</v>
      </c>
      <c r="O116" s="85">
        <f>2000</f>
        <v>2000</v>
      </c>
      <c r="P116" s="42">
        <v>0</v>
      </c>
      <c r="Q116" s="39">
        <v>0</v>
      </c>
      <c r="R116" s="43">
        <v>16000</v>
      </c>
      <c r="S116" s="42">
        <v>0</v>
      </c>
      <c r="T116" s="39">
        <v>0</v>
      </c>
      <c r="U116" s="43">
        <v>15000</v>
      </c>
      <c r="V116" s="42">
        <v>0</v>
      </c>
      <c r="W116" s="39">
        <v>0</v>
      </c>
      <c r="X116" s="43">
        <v>62799</v>
      </c>
      <c r="Y116" s="42">
        <v>0</v>
      </c>
      <c r="Z116" s="39">
        <v>0</v>
      </c>
      <c r="AA116" s="44">
        <v>0</v>
      </c>
      <c r="AB116" s="14"/>
      <c r="AC116" s="14"/>
      <c r="AD116" s="14"/>
      <c r="AE116" s="14"/>
    </row>
    <row r="117" spans="1:27" ht="28.5" customHeight="1">
      <c r="A117" s="520">
        <v>100</v>
      </c>
      <c r="B117" s="521">
        <v>2271</v>
      </c>
      <c r="C117" s="522"/>
      <c r="D117" s="523"/>
      <c r="E117" s="204" t="s">
        <v>177</v>
      </c>
      <c r="F117" s="66" t="s">
        <v>175</v>
      </c>
      <c r="G117" s="67">
        <v>411</v>
      </c>
      <c r="H117" s="67">
        <v>2019</v>
      </c>
      <c r="I117" s="68">
        <v>2023</v>
      </c>
      <c r="J117" s="175">
        <f aca="true" t="shared" si="15" ref="J117:J126">K117+L117+M117+SUM(R117:AA117)</f>
        <v>380100</v>
      </c>
      <c r="K117" s="54">
        <v>0</v>
      </c>
      <c r="L117" s="55">
        <v>0</v>
      </c>
      <c r="M117" s="1371">
        <f aca="true" t="shared" si="16" ref="M117:M126">N117+O117+P117+Q117</f>
        <v>0</v>
      </c>
      <c r="N117" s="57">
        <v>0</v>
      </c>
      <c r="O117" s="65">
        <v>0</v>
      </c>
      <c r="P117" s="58">
        <v>0</v>
      </c>
      <c r="Q117" s="55">
        <v>0</v>
      </c>
      <c r="R117" s="59">
        <v>6900</v>
      </c>
      <c r="S117" s="58">
        <v>0</v>
      </c>
      <c r="T117" s="55">
        <v>0</v>
      </c>
      <c r="U117" s="59">
        <v>25890</v>
      </c>
      <c r="V117" s="58">
        <v>146710</v>
      </c>
      <c r="W117" s="55">
        <v>0</v>
      </c>
      <c r="X117" s="59">
        <v>25890</v>
      </c>
      <c r="Y117" s="58">
        <v>146710</v>
      </c>
      <c r="Z117" s="55">
        <v>0</v>
      </c>
      <c r="AA117" s="60">
        <v>28000</v>
      </c>
    </row>
    <row r="118" spans="1:27" ht="28.5" customHeight="1">
      <c r="A118" s="520">
        <v>100</v>
      </c>
      <c r="B118" s="521">
        <v>2271</v>
      </c>
      <c r="C118" s="522"/>
      <c r="D118" s="523"/>
      <c r="E118" s="444" t="s">
        <v>178</v>
      </c>
      <c r="F118" s="524" t="s">
        <v>248</v>
      </c>
      <c r="G118" s="67">
        <v>411</v>
      </c>
      <c r="H118" s="67">
        <v>2020</v>
      </c>
      <c r="I118" s="68">
        <v>2021</v>
      </c>
      <c r="J118" s="175">
        <f t="shared" si="15"/>
        <v>113850</v>
      </c>
      <c r="K118" s="54">
        <v>0</v>
      </c>
      <c r="L118" s="55">
        <v>0</v>
      </c>
      <c r="M118" s="1371">
        <f t="shared" si="16"/>
        <v>0</v>
      </c>
      <c r="N118" s="57">
        <v>0</v>
      </c>
      <c r="O118" s="65">
        <f>1000-1000</f>
        <v>0</v>
      </c>
      <c r="P118" s="58">
        <v>0</v>
      </c>
      <c r="Q118" s="55">
        <v>0</v>
      </c>
      <c r="R118" s="59">
        <v>14850</v>
      </c>
      <c r="S118" s="58">
        <v>84150</v>
      </c>
      <c r="T118" s="55">
        <v>0</v>
      </c>
      <c r="U118" s="59">
        <v>4850</v>
      </c>
      <c r="V118" s="58">
        <v>10000</v>
      </c>
      <c r="W118" s="55">
        <v>0</v>
      </c>
      <c r="X118" s="59">
        <v>0</v>
      </c>
      <c r="Y118" s="58">
        <v>0</v>
      </c>
      <c r="Z118" s="55">
        <v>0</v>
      </c>
      <c r="AA118" s="60">
        <v>0</v>
      </c>
    </row>
    <row r="119" spans="1:27" ht="28.5" customHeight="1">
      <c r="A119" s="520">
        <v>100</v>
      </c>
      <c r="B119" s="521">
        <v>2271</v>
      </c>
      <c r="C119" s="522"/>
      <c r="D119" s="523"/>
      <c r="E119" s="444" t="s">
        <v>179</v>
      </c>
      <c r="F119" s="525"/>
      <c r="G119" s="67">
        <v>411</v>
      </c>
      <c r="H119" s="67">
        <v>2017</v>
      </c>
      <c r="I119" s="68">
        <v>2020</v>
      </c>
      <c r="J119" s="175">
        <f t="shared" si="15"/>
        <v>40000</v>
      </c>
      <c r="K119" s="54">
        <v>0</v>
      </c>
      <c r="L119" s="55">
        <v>0</v>
      </c>
      <c r="M119" s="1371">
        <f t="shared" si="16"/>
        <v>0</v>
      </c>
      <c r="N119" s="57">
        <v>0</v>
      </c>
      <c r="O119" s="65">
        <f>3000-3000</f>
        <v>0</v>
      </c>
      <c r="P119" s="58">
        <v>0</v>
      </c>
      <c r="Q119" s="55">
        <v>0</v>
      </c>
      <c r="R119" s="59">
        <v>6000</v>
      </c>
      <c r="S119" s="58">
        <v>34000</v>
      </c>
      <c r="T119" s="55">
        <v>0</v>
      </c>
      <c r="U119" s="59">
        <v>0</v>
      </c>
      <c r="V119" s="58">
        <v>0</v>
      </c>
      <c r="W119" s="55">
        <v>0</v>
      </c>
      <c r="X119" s="59">
        <v>0</v>
      </c>
      <c r="Y119" s="58">
        <v>0</v>
      </c>
      <c r="Z119" s="55">
        <v>0</v>
      </c>
      <c r="AA119" s="60">
        <v>0</v>
      </c>
    </row>
    <row r="120" spans="1:27" ht="28.5" customHeight="1">
      <c r="A120" s="520">
        <v>100</v>
      </c>
      <c r="B120" s="521">
        <v>2271</v>
      </c>
      <c r="C120" s="522"/>
      <c r="D120" s="523"/>
      <c r="E120" s="444" t="s">
        <v>180</v>
      </c>
      <c r="F120" s="66"/>
      <c r="G120" s="67">
        <v>411</v>
      </c>
      <c r="H120" s="67">
        <v>2018</v>
      </c>
      <c r="I120" s="68">
        <v>2021</v>
      </c>
      <c r="J120" s="175">
        <f t="shared" si="15"/>
        <v>15000</v>
      </c>
      <c r="K120" s="54">
        <v>0</v>
      </c>
      <c r="L120" s="55">
        <v>0</v>
      </c>
      <c r="M120" s="1371">
        <f t="shared" si="16"/>
        <v>0</v>
      </c>
      <c r="N120" s="57">
        <v>0</v>
      </c>
      <c r="O120" s="65">
        <f>5000-5000</f>
        <v>0</v>
      </c>
      <c r="P120" s="58">
        <v>0</v>
      </c>
      <c r="Q120" s="55">
        <v>0</v>
      </c>
      <c r="R120" s="59">
        <v>10000</v>
      </c>
      <c r="S120" s="58">
        <v>0</v>
      </c>
      <c r="T120" s="55">
        <v>0</v>
      </c>
      <c r="U120" s="59">
        <v>5000</v>
      </c>
      <c r="V120" s="58">
        <v>0</v>
      </c>
      <c r="W120" s="55">
        <v>0</v>
      </c>
      <c r="X120" s="59">
        <v>0</v>
      </c>
      <c r="Y120" s="58">
        <v>0</v>
      </c>
      <c r="Z120" s="55">
        <v>0</v>
      </c>
      <c r="AA120" s="60">
        <v>0</v>
      </c>
    </row>
    <row r="121" spans="1:27" ht="28.5" customHeight="1">
      <c r="A121" s="520">
        <v>100</v>
      </c>
      <c r="B121" s="521">
        <v>2271</v>
      </c>
      <c r="C121" s="522"/>
      <c r="D121" s="523"/>
      <c r="E121" s="526" t="s">
        <v>181</v>
      </c>
      <c r="F121" s="66"/>
      <c r="G121" s="67">
        <v>411</v>
      </c>
      <c r="H121" s="67">
        <v>2019</v>
      </c>
      <c r="I121" s="68">
        <v>2021</v>
      </c>
      <c r="J121" s="175">
        <f t="shared" si="15"/>
        <v>35000</v>
      </c>
      <c r="K121" s="54">
        <v>0</v>
      </c>
      <c r="L121" s="55">
        <v>0</v>
      </c>
      <c r="M121" s="1371">
        <f t="shared" si="16"/>
        <v>0</v>
      </c>
      <c r="N121" s="57">
        <v>0</v>
      </c>
      <c r="O121" s="65">
        <f>15000-15000</f>
        <v>0</v>
      </c>
      <c r="P121" s="58">
        <v>0</v>
      </c>
      <c r="Q121" s="55">
        <f>15000-15000</f>
        <v>0</v>
      </c>
      <c r="R121" s="59">
        <v>15000</v>
      </c>
      <c r="S121" s="58">
        <v>0</v>
      </c>
      <c r="T121" s="55">
        <v>0</v>
      </c>
      <c r="U121" s="59">
        <v>20000</v>
      </c>
      <c r="V121" s="58">
        <v>0</v>
      </c>
      <c r="W121" s="55">
        <v>0</v>
      </c>
      <c r="X121" s="59">
        <v>0</v>
      </c>
      <c r="Y121" s="58">
        <v>0</v>
      </c>
      <c r="Z121" s="55">
        <v>0</v>
      </c>
      <c r="AA121" s="60">
        <v>0</v>
      </c>
    </row>
    <row r="122" spans="1:27" ht="28.5" customHeight="1">
      <c r="A122" s="520">
        <v>100</v>
      </c>
      <c r="B122" s="521">
        <v>2271</v>
      </c>
      <c r="C122" s="522"/>
      <c r="D122" s="523"/>
      <c r="E122" s="526" t="s">
        <v>182</v>
      </c>
      <c r="F122" s="482" t="s">
        <v>286</v>
      </c>
      <c r="G122" s="86">
        <v>411</v>
      </c>
      <c r="H122" s="86">
        <v>2019</v>
      </c>
      <c r="I122" s="87">
        <v>2023</v>
      </c>
      <c r="J122" s="175">
        <f t="shared" si="15"/>
        <v>500000</v>
      </c>
      <c r="K122" s="54">
        <v>0</v>
      </c>
      <c r="L122" s="55">
        <v>0</v>
      </c>
      <c r="M122" s="1371">
        <f t="shared" si="16"/>
        <v>0</v>
      </c>
      <c r="N122" s="57">
        <v>0</v>
      </c>
      <c r="O122" s="65">
        <v>0</v>
      </c>
      <c r="P122" s="58">
        <v>0</v>
      </c>
      <c r="Q122" s="55">
        <v>0</v>
      </c>
      <c r="R122" s="59">
        <v>1000</v>
      </c>
      <c r="S122" s="58">
        <v>0</v>
      </c>
      <c r="T122" s="55">
        <v>0</v>
      </c>
      <c r="U122" s="59">
        <v>2000</v>
      </c>
      <c r="V122" s="58">
        <v>0</v>
      </c>
      <c r="W122" s="55">
        <v>0</v>
      </c>
      <c r="X122" s="59">
        <f>300000-150000</f>
        <v>150000</v>
      </c>
      <c r="Y122" s="58">
        <v>0</v>
      </c>
      <c r="Z122" s="55">
        <v>0</v>
      </c>
      <c r="AA122" s="60">
        <f>197000+150000</f>
        <v>347000</v>
      </c>
    </row>
    <row r="123" spans="1:27" ht="28.5" customHeight="1">
      <c r="A123" s="520">
        <v>100</v>
      </c>
      <c r="B123" s="521">
        <v>2271</v>
      </c>
      <c r="C123" s="522"/>
      <c r="D123" s="523"/>
      <c r="E123" s="526" t="s">
        <v>183</v>
      </c>
      <c r="F123" s="66"/>
      <c r="G123" s="67">
        <v>411</v>
      </c>
      <c r="H123" s="67">
        <v>2019</v>
      </c>
      <c r="I123" s="68">
        <v>2020</v>
      </c>
      <c r="J123" s="175">
        <f t="shared" si="15"/>
        <v>25000</v>
      </c>
      <c r="K123" s="54">
        <v>0</v>
      </c>
      <c r="L123" s="55">
        <v>0</v>
      </c>
      <c r="M123" s="1371">
        <f t="shared" si="16"/>
        <v>0</v>
      </c>
      <c r="N123" s="57">
        <v>0</v>
      </c>
      <c r="O123" s="65">
        <f>25000-25000</f>
        <v>0</v>
      </c>
      <c r="P123" s="58">
        <v>0</v>
      </c>
      <c r="Q123" s="55">
        <f>25000-25000</f>
        <v>0</v>
      </c>
      <c r="R123" s="59">
        <v>25000</v>
      </c>
      <c r="S123" s="58">
        <v>0</v>
      </c>
      <c r="T123" s="55">
        <v>0</v>
      </c>
      <c r="U123" s="59">
        <v>0</v>
      </c>
      <c r="V123" s="58">
        <v>0</v>
      </c>
      <c r="W123" s="55">
        <v>0</v>
      </c>
      <c r="X123" s="59">
        <v>0</v>
      </c>
      <c r="Y123" s="58">
        <v>0</v>
      </c>
      <c r="Z123" s="55">
        <v>0</v>
      </c>
      <c r="AA123" s="60">
        <v>0</v>
      </c>
    </row>
    <row r="124" spans="1:27" ht="28.5" customHeight="1">
      <c r="A124" s="520">
        <v>100</v>
      </c>
      <c r="B124" s="521">
        <v>2271</v>
      </c>
      <c r="C124" s="522"/>
      <c r="D124" s="523"/>
      <c r="E124" s="526" t="s">
        <v>184</v>
      </c>
      <c r="F124" s="66"/>
      <c r="G124" s="67">
        <v>411</v>
      </c>
      <c r="H124" s="67">
        <v>2018</v>
      </c>
      <c r="I124" s="68">
        <v>2020</v>
      </c>
      <c r="J124" s="175">
        <f t="shared" si="15"/>
        <v>15000</v>
      </c>
      <c r="K124" s="54">
        <v>0</v>
      </c>
      <c r="L124" s="55">
        <v>5000</v>
      </c>
      <c r="M124" s="1371">
        <f t="shared" si="16"/>
        <v>0</v>
      </c>
      <c r="N124" s="57">
        <v>0</v>
      </c>
      <c r="O124" s="65">
        <f>7500-7500</f>
        <v>0</v>
      </c>
      <c r="P124" s="58">
        <v>0</v>
      </c>
      <c r="Q124" s="55">
        <v>0</v>
      </c>
      <c r="R124" s="59">
        <v>10000</v>
      </c>
      <c r="S124" s="58">
        <v>0</v>
      </c>
      <c r="T124" s="55">
        <v>0</v>
      </c>
      <c r="U124" s="59">
        <v>0</v>
      </c>
      <c r="V124" s="58">
        <v>0</v>
      </c>
      <c r="W124" s="55">
        <v>0</v>
      </c>
      <c r="X124" s="59">
        <v>0</v>
      </c>
      <c r="Y124" s="58">
        <v>0</v>
      </c>
      <c r="Z124" s="55">
        <v>0</v>
      </c>
      <c r="AA124" s="60">
        <v>0</v>
      </c>
    </row>
    <row r="125" spans="1:27" ht="28.5" customHeight="1">
      <c r="A125" s="520">
        <v>100</v>
      </c>
      <c r="B125" s="521">
        <v>2271</v>
      </c>
      <c r="C125" s="522"/>
      <c r="D125" s="954"/>
      <c r="E125" s="1080" t="s">
        <v>560</v>
      </c>
      <c r="F125" s="955"/>
      <c r="G125" s="67">
        <v>411</v>
      </c>
      <c r="H125" s="67">
        <v>2018</v>
      </c>
      <c r="I125" s="68">
        <v>2019</v>
      </c>
      <c r="J125" s="175">
        <f t="shared" si="15"/>
        <v>25000</v>
      </c>
      <c r="K125" s="54">
        <v>0</v>
      </c>
      <c r="L125" s="55">
        <v>0</v>
      </c>
      <c r="M125" s="1371">
        <f t="shared" si="16"/>
        <v>0</v>
      </c>
      <c r="N125" s="57">
        <v>0</v>
      </c>
      <c r="O125" s="65">
        <f>1000-1000</f>
        <v>0</v>
      </c>
      <c r="P125" s="58">
        <v>0</v>
      </c>
      <c r="Q125" s="55">
        <v>0</v>
      </c>
      <c r="R125" s="59">
        <v>25000</v>
      </c>
      <c r="S125" s="58">
        <v>0</v>
      </c>
      <c r="T125" s="55">
        <v>0</v>
      </c>
      <c r="U125" s="59">
        <v>0</v>
      </c>
      <c r="V125" s="58">
        <v>0</v>
      </c>
      <c r="W125" s="55">
        <v>0</v>
      </c>
      <c r="X125" s="59">
        <v>0</v>
      </c>
      <c r="Y125" s="58">
        <v>0</v>
      </c>
      <c r="Z125" s="55">
        <v>0</v>
      </c>
      <c r="AA125" s="60">
        <v>0</v>
      </c>
    </row>
    <row r="126" spans="1:27" ht="28.5" customHeight="1" thickBot="1">
      <c r="A126" s="520">
        <v>100</v>
      </c>
      <c r="B126" s="521">
        <v>2271</v>
      </c>
      <c r="C126" s="522"/>
      <c r="D126" s="527"/>
      <c r="E126" s="528" t="s">
        <v>185</v>
      </c>
      <c r="F126" s="178"/>
      <c r="G126" s="70">
        <v>411</v>
      </c>
      <c r="H126" s="70">
        <v>2018</v>
      </c>
      <c r="I126" s="71">
        <v>2022</v>
      </c>
      <c r="J126" s="243">
        <f t="shared" si="15"/>
        <v>128000</v>
      </c>
      <c r="K126" s="73">
        <v>0</v>
      </c>
      <c r="L126" s="74">
        <v>0</v>
      </c>
      <c r="M126" s="1388">
        <f t="shared" si="16"/>
        <v>0</v>
      </c>
      <c r="N126" s="76">
        <v>0</v>
      </c>
      <c r="O126" s="77">
        <v>0</v>
      </c>
      <c r="P126" s="78">
        <v>0</v>
      </c>
      <c r="Q126" s="74">
        <v>0</v>
      </c>
      <c r="R126" s="79">
        <v>28000</v>
      </c>
      <c r="S126" s="78">
        <v>100000</v>
      </c>
      <c r="T126" s="74">
        <v>0</v>
      </c>
      <c r="U126" s="79">
        <v>0</v>
      </c>
      <c r="V126" s="78">
        <v>0</v>
      </c>
      <c r="W126" s="74">
        <v>0</v>
      </c>
      <c r="X126" s="79">
        <v>0</v>
      </c>
      <c r="Y126" s="78">
        <v>0</v>
      </c>
      <c r="Z126" s="74">
        <v>0</v>
      </c>
      <c r="AA126" s="80">
        <v>0</v>
      </c>
    </row>
    <row r="127" spans="1:121" s="481" customFormat="1" ht="28.5" customHeight="1" thickBot="1">
      <c r="A127" s="283"/>
      <c r="B127" s="472"/>
      <c r="C127" s="472"/>
      <c r="D127" s="309"/>
      <c r="E127" s="1514" t="s">
        <v>342</v>
      </c>
      <c r="F127" s="1514"/>
      <c r="G127" s="1514"/>
      <c r="H127" s="1514"/>
      <c r="I127" s="1509"/>
      <c r="J127" s="311">
        <f aca="true" t="shared" si="17" ref="J127:AA127">SUM(J116:J126)</f>
        <v>1373050</v>
      </c>
      <c r="K127" s="984">
        <f t="shared" si="17"/>
        <v>0</v>
      </c>
      <c r="L127" s="1039">
        <f t="shared" si="17"/>
        <v>5301</v>
      </c>
      <c r="M127" s="311">
        <f t="shared" si="17"/>
        <v>2000</v>
      </c>
      <c r="N127" s="984">
        <f t="shared" si="17"/>
        <v>0</v>
      </c>
      <c r="O127" s="985">
        <f t="shared" si="17"/>
        <v>2000</v>
      </c>
      <c r="P127" s="985">
        <f t="shared" si="17"/>
        <v>0</v>
      </c>
      <c r="Q127" s="1039">
        <f t="shared" si="17"/>
        <v>0</v>
      </c>
      <c r="R127" s="984">
        <f t="shared" si="17"/>
        <v>157750</v>
      </c>
      <c r="S127" s="985">
        <f t="shared" si="17"/>
        <v>218150</v>
      </c>
      <c r="T127" s="1039">
        <f t="shared" si="17"/>
        <v>0</v>
      </c>
      <c r="U127" s="984">
        <f t="shared" si="17"/>
        <v>72740</v>
      </c>
      <c r="V127" s="985">
        <f t="shared" si="17"/>
        <v>156710</v>
      </c>
      <c r="W127" s="1039">
        <f t="shared" si="17"/>
        <v>0</v>
      </c>
      <c r="X127" s="984">
        <f t="shared" si="17"/>
        <v>238689</v>
      </c>
      <c r="Y127" s="985">
        <f t="shared" si="17"/>
        <v>146710</v>
      </c>
      <c r="Z127" s="1039">
        <f t="shared" si="17"/>
        <v>0</v>
      </c>
      <c r="AA127" s="1008">
        <f t="shared" si="17"/>
        <v>375000</v>
      </c>
      <c r="AB127" s="245"/>
      <c r="AC127" s="245"/>
      <c r="AD127" s="245"/>
      <c r="AE127" s="245"/>
      <c r="AF127" s="245"/>
      <c r="AG127" s="245"/>
      <c r="AH127" s="245"/>
      <c r="AI127" s="245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</row>
    <row r="128" spans="2:27" ht="28.5" customHeight="1" thickBot="1">
      <c r="B128" s="428"/>
      <c r="C128" s="429"/>
      <c r="D128" s="299" t="s">
        <v>343</v>
      </c>
      <c r="E128" s="299"/>
      <c r="F128" s="474"/>
      <c r="G128" s="474"/>
      <c r="H128" s="475"/>
      <c r="I128" s="474"/>
      <c r="J128" s="989"/>
      <c r="K128" s="977"/>
      <c r="L128" s="977"/>
      <c r="M128" s="298"/>
      <c r="N128" s="298"/>
      <c r="O128" s="982"/>
      <c r="P128" s="851"/>
      <c r="Q128" s="979"/>
      <c r="R128" s="978"/>
      <c r="S128" s="980"/>
      <c r="T128" s="981"/>
      <c r="U128" s="982"/>
      <c r="V128" s="980"/>
      <c r="W128" s="981"/>
      <c r="X128" s="982"/>
      <c r="Y128" s="980"/>
      <c r="Z128" s="981"/>
      <c r="AA128" s="979"/>
    </row>
    <row r="129" spans="1:121" s="481" customFormat="1" ht="28.5" customHeight="1">
      <c r="A129" s="529">
        <v>230</v>
      </c>
      <c r="B129" s="530">
        <v>2334</v>
      </c>
      <c r="C129" s="531">
        <v>6121</v>
      </c>
      <c r="D129" s="1373">
        <v>7272</v>
      </c>
      <c r="E129" s="1374" t="s">
        <v>531</v>
      </c>
      <c r="F129" s="34" t="s">
        <v>241</v>
      </c>
      <c r="G129" s="112">
        <v>400</v>
      </c>
      <c r="H129" s="112">
        <v>2013</v>
      </c>
      <c r="I129" s="113">
        <v>2019</v>
      </c>
      <c r="J129" s="37">
        <f>K129+L129+M129+SUM(R129:AA129)</f>
        <v>3001</v>
      </c>
      <c r="K129" s="38">
        <v>200</v>
      </c>
      <c r="L129" s="39">
        <v>136</v>
      </c>
      <c r="M129" s="97">
        <f>N129+O129+P129+Q129</f>
        <v>2665</v>
      </c>
      <c r="N129" s="41">
        <v>178</v>
      </c>
      <c r="O129" s="85">
        <v>2487</v>
      </c>
      <c r="P129" s="42">
        <v>0</v>
      </c>
      <c r="Q129" s="39">
        <v>0</v>
      </c>
      <c r="R129" s="114">
        <v>0</v>
      </c>
      <c r="S129" s="115">
        <v>0</v>
      </c>
      <c r="T129" s="116">
        <v>0</v>
      </c>
      <c r="U129" s="114">
        <v>0</v>
      </c>
      <c r="V129" s="117">
        <v>0</v>
      </c>
      <c r="W129" s="116">
        <v>0</v>
      </c>
      <c r="X129" s="118">
        <v>0</v>
      </c>
      <c r="Y129" s="117">
        <v>0</v>
      </c>
      <c r="Z129" s="119">
        <v>0</v>
      </c>
      <c r="AA129" s="119">
        <v>0</v>
      </c>
      <c r="AB129" s="245"/>
      <c r="AC129" s="245"/>
      <c r="AD129" s="245"/>
      <c r="AE129" s="245"/>
      <c r="AF129" s="245"/>
      <c r="AG129" s="245"/>
      <c r="AH129" s="245"/>
      <c r="AI129" s="245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</row>
    <row r="130" spans="1:121" s="481" customFormat="1" ht="28.5" customHeight="1">
      <c r="A130" s="529">
        <v>230</v>
      </c>
      <c r="B130" s="532">
        <v>2334</v>
      </c>
      <c r="C130" s="533">
        <v>6121</v>
      </c>
      <c r="D130" s="534">
        <v>8209</v>
      </c>
      <c r="E130" s="535" t="s">
        <v>532</v>
      </c>
      <c r="F130" s="61" t="s">
        <v>248</v>
      </c>
      <c r="G130" s="130">
        <v>400</v>
      </c>
      <c r="H130" s="130">
        <v>2016</v>
      </c>
      <c r="I130" s="225">
        <v>2020</v>
      </c>
      <c r="J130" s="53">
        <f>K130+L130+M130+SUM(R130:AA130)</f>
        <v>20010.240550900002</v>
      </c>
      <c r="K130" s="46">
        <v>12836.2405509</v>
      </c>
      <c r="L130" s="47">
        <v>5508</v>
      </c>
      <c r="M130" s="56">
        <f>N130+O130+P130+Q130</f>
        <v>1666</v>
      </c>
      <c r="N130" s="49">
        <f>1699-33</f>
        <v>1666</v>
      </c>
      <c r="O130" s="64">
        <v>0</v>
      </c>
      <c r="P130" s="50">
        <v>0</v>
      </c>
      <c r="Q130" s="47">
        <v>0</v>
      </c>
      <c r="R130" s="140">
        <v>0</v>
      </c>
      <c r="S130" s="226">
        <v>0</v>
      </c>
      <c r="T130" s="227">
        <v>0</v>
      </c>
      <c r="U130" s="140">
        <v>0</v>
      </c>
      <c r="V130" s="228">
        <v>0</v>
      </c>
      <c r="W130" s="227">
        <v>0</v>
      </c>
      <c r="X130" s="223">
        <v>0</v>
      </c>
      <c r="Y130" s="228">
        <v>0</v>
      </c>
      <c r="Z130" s="229">
        <v>0</v>
      </c>
      <c r="AA130" s="229">
        <v>0</v>
      </c>
      <c r="AB130" s="245"/>
      <c r="AC130" s="245"/>
      <c r="AD130" s="245"/>
      <c r="AE130" s="245"/>
      <c r="AF130" s="245"/>
      <c r="AG130" s="245"/>
      <c r="AH130" s="245"/>
      <c r="AI130" s="245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</row>
    <row r="131" spans="1:121" s="481" customFormat="1" ht="28.5" customHeight="1">
      <c r="A131" s="529">
        <v>230</v>
      </c>
      <c r="B131" s="342">
        <v>2334</v>
      </c>
      <c r="C131" s="343">
        <v>6121</v>
      </c>
      <c r="D131" s="536">
        <v>8210</v>
      </c>
      <c r="E131" s="215" t="s">
        <v>484</v>
      </c>
      <c r="F131" s="66" t="s">
        <v>248</v>
      </c>
      <c r="G131" s="67">
        <v>400</v>
      </c>
      <c r="H131" s="447">
        <v>2016</v>
      </c>
      <c r="I131" s="448">
        <v>2020</v>
      </c>
      <c r="J131" s="53">
        <f>K131+L131+M131+SUM(R131:AA131)</f>
        <v>52397</v>
      </c>
      <c r="K131" s="54">
        <v>182</v>
      </c>
      <c r="L131" s="55">
        <v>1036</v>
      </c>
      <c r="M131" s="56">
        <f>N131+O131+P131+Q131</f>
        <v>6579</v>
      </c>
      <c r="N131" s="57">
        <v>6579</v>
      </c>
      <c r="O131" s="65">
        <v>0</v>
      </c>
      <c r="P131" s="58">
        <v>0</v>
      </c>
      <c r="Q131" s="55">
        <v>0</v>
      </c>
      <c r="R131" s="59">
        <v>44600</v>
      </c>
      <c r="S131" s="58">
        <v>0</v>
      </c>
      <c r="T131" s="55">
        <v>0</v>
      </c>
      <c r="U131" s="59">
        <v>0</v>
      </c>
      <c r="V131" s="58">
        <v>0</v>
      </c>
      <c r="W131" s="55">
        <v>0</v>
      </c>
      <c r="X131" s="59">
        <v>0</v>
      </c>
      <c r="Y131" s="58">
        <v>0</v>
      </c>
      <c r="Z131" s="55">
        <v>0</v>
      </c>
      <c r="AA131" s="60">
        <v>0</v>
      </c>
      <c r="AB131" s="245"/>
      <c r="AC131" s="245"/>
      <c r="AD131" s="245"/>
      <c r="AE131" s="245"/>
      <c r="AF131" s="245"/>
      <c r="AG131" s="245"/>
      <c r="AH131" s="245"/>
      <c r="AI131" s="245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</row>
    <row r="132" spans="1:121" s="481" customFormat="1" ht="28.5" customHeight="1" thickBot="1">
      <c r="A132" s="529">
        <v>230</v>
      </c>
      <c r="B132" s="454">
        <v>2334</v>
      </c>
      <c r="C132" s="455">
        <v>6121</v>
      </c>
      <c r="D132" s="537">
        <v>8213</v>
      </c>
      <c r="E132" s="214" t="s">
        <v>487</v>
      </c>
      <c r="F132" s="538"/>
      <c r="G132" s="70">
        <v>400</v>
      </c>
      <c r="H132" s="70">
        <v>2017</v>
      </c>
      <c r="I132" s="179">
        <v>2022</v>
      </c>
      <c r="J132" s="72">
        <f>K132+L132+M132+SUM(R132:AA132)</f>
        <v>202192</v>
      </c>
      <c r="K132" s="73">
        <v>0</v>
      </c>
      <c r="L132" s="74">
        <v>827</v>
      </c>
      <c r="M132" s="75">
        <f>N132+O132+P132+Q132</f>
        <v>1365</v>
      </c>
      <c r="N132" s="76">
        <v>365</v>
      </c>
      <c r="O132" s="77">
        <v>1000</v>
      </c>
      <c r="P132" s="78">
        <v>0</v>
      </c>
      <c r="Q132" s="74">
        <v>0</v>
      </c>
      <c r="R132" s="79">
        <v>0</v>
      </c>
      <c r="S132" s="78">
        <v>0</v>
      </c>
      <c r="T132" s="74">
        <v>0</v>
      </c>
      <c r="U132" s="79">
        <v>0</v>
      </c>
      <c r="V132" s="78">
        <v>0</v>
      </c>
      <c r="W132" s="74">
        <v>0</v>
      </c>
      <c r="X132" s="79">
        <f>200000-150000</f>
        <v>50000</v>
      </c>
      <c r="Y132" s="78">
        <v>0</v>
      </c>
      <c r="Z132" s="74">
        <v>0</v>
      </c>
      <c r="AA132" s="80">
        <v>150000</v>
      </c>
      <c r="AB132" s="245"/>
      <c r="AC132" s="245"/>
      <c r="AD132" s="245"/>
      <c r="AE132" s="245"/>
      <c r="AF132" s="245"/>
      <c r="AG132" s="245"/>
      <c r="AH132" s="245"/>
      <c r="AI132" s="245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</row>
    <row r="133" spans="1:121" s="481" customFormat="1" ht="28.5" customHeight="1" thickBot="1">
      <c r="A133" s="487"/>
      <c r="B133" s="309"/>
      <c r="C133" s="472"/>
      <c r="D133" s="309"/>
      <c r="E133" s="1514" t="s">
        <v>344</v>
      </c>
      <c r="F133" s="1514"/>
      <c r="G133" s="1514"/>
      <c r="H133" s="1514"/>
      <c r="I133" s="1509"/>
      <c r="J133" s="317">
        <f aca="true" t="shared" si="18" ref="J133:AA133">SUM(J129:J132)</f>
        <v>277600.2405509</v>
      </c>
      <c r="K133" s="311">
        <f t="shared" si="18"/>
        <v>13218.2405509</v>
      </c>
      <c r="L133" s="312">
        <f t="shared" si="18"/>
        <v>7507</v>
      </c>
      <c r="M133" s="317">
        <f t="shared" si="18"/>
        <v>12275</v>
      </c>
      <c r="N133" s="313">
        <f t="shared" si="18"/>
        <v>8788</v>
      </c>
      <c r="O133" s="314">
        <f t="shared" si="18"/>
        <v>3487</v>
      </c>
      <c r="P133" s="314">
        <f t="shared" si="18"/>
        <v>0</v>
      </c>
      <c r="Q133" s="312">
        <f t="shared" si="18"/>
        <v>0</v>
      </c>
      <c r="R133" s="315">
        <f t="shared" si="18"/>
        <v>44600</v>
      </c>
      <c r="S133" s="314">
        <f t="shared" si="18"/>
        <v>0</v>
      </c>
      <c r="T133" s="316">
        <f t="shared" si="18"/>
        <v>0</v>
      </c>
      <c r="U133" s="313">
        <f t="shared" si="18"/>
        <v>0</v>
      </c>
      <c r="V133" s="314">
        <f t="shared" si="18"/>
        <v>0</v>
      </c>
      <c r="W133" s="312">
        <f t="shared" si="18"/>
        <v>0</v>
      </c>
      <c r="X133" s="315">
        <f t="shared" si="18"/>
        <v>50000</v>
      </c>
      <c r="Y133" s="314">
        <f t="shared" si="18"/>
        <v>0</v>
      </c>
      <c r="Z133" s="316">
        <f t="shared" si="18"/>
        <v>0</v>
      </c>
      <c r="AA133" s="317">
        <f t="shared" si="18"/>
        <v>150000</v>
      </c>
      <c r="AB133" s="245"/>
      <c r="AC133" s="245"/>
      <c r="AD133" s="245"/>
      <c r="AE133" s="245"/>
      <c r="AF133" s="245"/>
      <c r="AG133" s="245"/>
      <c r="AH133" s="245"/>
      <c r="AI133" s="245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</row>
    <row r="134" spans="1:35" s="17" customFormat="1" ht="28.5" customHeight="1">
      <c r="A134" s="253"/>
      <c r="B134" s="309"/>
      <c r="C134" s="309"/>
      <c r="D134" s="539" t="s">
        <v>345</v>
      </c>
      <c r="E134" s="539"/>
      <c r="F134" s="310"/>
      <c r="G134" s="310"/>
      <c r="H134" s="310"/>
      <c r="I134" s="310"/>
      <c r="J134" s="318"/>
      <c r="K134" s="318"/>
      <c r="L134" s="318"/>
      <c r="M134" s="318"/>
      <c r="N134" s="318"/>
      <c r="O134" s="318"/>
      <c r="P134" s="318"/>
      <c r="Q134" s="318"/>
      <c r="R134" s="318"/>
      <c r="S134" s="318"/>
      <c r="T134" s="318"/>
      <c r="U134" s="318"/>
      <c r="V134" s="318"/>
      <c r="W134" s="318"/>
      <c r="X134" s="318"/>
      <c r="Y134" s="318"/>
      <c r="Z134" s="318"/>
      <c r="AA134" s="318"/>
      <c r="AB134" s="270"/>
      <c r="AC134" s="270"/>
      <c r="AD134" s="270"/>
      <c r="AE134" s="270"/>
      <c r="AF134" s="270"/>
      <c r="AG134" s="270"/>
      <c r="AH134" s="270"/>
      <c r="AI134" s="270"/>
    </row>
    <row r="135" spans="2:27" ht="28.5" customHeight="1" thickBot="1">
      <c r="B135" s="428"/>
      <c r="C135" s="429"/>
      <c r="D135" s="299" t="s">
        <v>430</v>
      </c>
      <c r="E135" s="299"/>
      <c r="F135" s="286"/>
      <c r="G135" s="286"/>
      <c r="H135" s="430"/>
      <c r="I135" s="286"/>
      <c r="J135" s="983"/>
      <c r="K135" s="977"/>
      <c r="L135" s="977"/>
      <c r="M135" s="298"/>
      <c r="N135" s="298"/>
      <c r="O135" s="978"/>
      <c r="P135" s="851"/>
      <c r="Q135" s="979"/>
      <c r="R135" s="978"/>
      <c r="S135" s="980"/>
      <c r="T135" s="981"/>
      <c r="U135" s="982"/>
      <c r="V135" s="980"/>
      <c r="W135" s="981"/>
      <c r="X135" s="982"/>
      <c r="Y135" s="980"/>
      <c r="Z135" s="981"/>
      <c r="AA135" s="979"/>
    </row>
    <row r="136" spans="1:121" s="481" customFormat="1" ht="28.5" customHeight="1" thickBot="1">
      <c r="A136" s="476">
        <v>230</v>
      </c>
      <c r="B136" s="445">
        <v>3111</v>
      </c>
      <c r="C136" s="446">
        <v>6121</v>
      </c>
      <c r="D136" s="540">
        <v>6320</v>
      </c>
      <c r="E136" s="120" t="s">
        <v>346</v>
      </c>
      <c r="F136" s="122"/>
      <c r="G136" s="23">
        <v>400</v>
      </c>
      <c r="H136" s="23">
        <v>2016</v>
      </c>
      <c r="I136" s="24">
        <v>2022</v>
      </c>
      <c r="J136" s="25">
        <f>K136+L136+M136+SUM(R136:AA136)</f>
        <v>2566</v>
      </c>
      <c r="K136" s="26">
        <v>33</v>
      </c>
      <c r="L136" s="27">
        <v>33</v>
      </c>
      <c r="M136" s="111">
        <f>N136+O136+P136+Q136</f>
        <v>500</v>
      </c>
      <c r="N136" s="29">
        <v>0</v>
      </c>
      <c r="O136" s="30">
        <v>500</v>
      </c>
      <c r="P136" s="31">
        <v>0</v>
      </c>
      <c r="Q136" s="27">
        <v>0</v>
      </c>
      <c r="R136" s="32">
        <v>500</v>
      </c>
      <c r="S136" s="31">
        <v>0</v>
      </c>
      <c r="T136" s="27">
        <v>0</v>
      </c>
      <c r="U136" s="32">
        <v>500</v>
      </c>
      <c r="V136" s="31">
        <v>0</v>
      </c>
      <c r="W136" s="27">
        <v>0</v>
      </c>
      <c r="X136" s="32">
        <v>500</v>
      </c>
      <c r="Y136" s="31">
        <v>0</v>
      </c>
      <c r="Z136" s="27">
        <v>0</v>
      </c>
      <c r="AA136" s="33">
        <v>500</v>
      </c>
      <c r="AB136" s="541"/>
      <c r="AC136" s="541"/>
      <c r="AD136" s="541"/>
      <c r="AE136" s="541"/>
      <c r="AF136" s="245"/>
      <c r="AG136" s="245"/>
      <c r="AH136" s="245"/>
      <c r="AI136" s="245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</row>
    <row r="137" spans="1:121" s="481" customFormat="1" ht="28.5" customHeight="1" thickBot="1">
      <c r="A137" s="487"/>
      <c r="B137" s="472"/>
      <c r="C137" s="472"/>
      <c r="D137" s="309"/>
      <c r="E137" s="1514" t="s">
        <v>347</v>
      </c>
      <c r="F137" s="1514"/>
      <c r="G137" s="1514"/>
      <c r="H137" s="1514"/>
      <c r="I137" s="1509"/>
      <c r="J137" s="311">
        <f>SUM(J136)</f>
        <v>2566</v>
      </c>
      <c r="K137" s="311">
        <f>SUM(K136)</f>
        <v>33</v>
      </c>
      <c r="L137" s="312">
        <f>SUM(L136)</f>
        <v>33</v>
      </c>
      <c r="M137" s="311">
        <f aca="true" t="shared" si="19" ref="M137:AA137">SUM(M136)</f>
        <v>500</v>
      </c>
      <c r="N137" s="991">
        <f t="shared" si="19"/>
        <v>0</v>
      </c>
      <c r="O137" s="992">
        <f t="shared" si="19"/>
        <v>500</v>
      </c>
      <c r="P137" s="992">
        <f t="shared" si="19"/>
        <v>0</v>
      </c>
      <c r="Q137" s="993">
        <f t="shared" si="19"/>
        <v>0</v>
      </c>
      <c r="R137" s="994">
        <f t="shared" si="19"/>
        <v>500</v>
      </c>
      <c r="S137" s="992">
        <f t="shared" si="19"/>
        <v>0</v>
      </c>
      <c r="T137" s="995">
        <f t="shared" si="19"/>
        <v>0</v>
      </c>
      <c r="U137" s="991">
        <f t="shared" si="19"/>
        <v>500</v>
      </c>
      <c r="V137" s="992">
        <f t="shared" si="19"/>
        <v>0</v>
      </c>
      <c r="W137" s="993">
        <f t="shared" si="19"/>
        <v>0</v>
      </c>
      <c r="X137" s="994">
        <f t="shared" si="19"/>
        <v>500</v>
      </c>
      <c r="Y137" s="992">
        <f t="shared" si="19"/>
        <v>0</v>
      </c>
      <c r="Z137" s="995">
        <f t="shared" si="19"/>
        <v>0</v>
      </c>
      <c r="AA137" s="317">
        <f t="shared" si="19"/>
        <v>500</v>
      </c>
      <c r="AB137" s="245"/>
      <c r="AC137" s="245"/>
      <c r="AD137" s="245"/>
      <c r="AE137" s="245"/>
      <c r="AF137" s="245"/>
      <c r="AG137" s="245"/>
      <c r="AH137" s="245"/>
      <c r="AI137" s="245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</row>
    <row r="138" spans="2:27" ht="28.5" customHeight="1" thickBot="1">
      <c r="B138" s="428"/>
      <c r="C138" s="429"/>
      <c r="D138" s="299" t="s">
        <v>348</v>
      </c>
      <c r="E138" s="299"/>
      <c r="F138" s="286"/>
      <c r="G138" s="286"/>
      <c r="H138" s="430"/>
      <c r="I138" s="286"/>
      <c r="J138" s="983"/>
      <c r="K138" s="977"/>
      <c r="L138" s="977"/>
      <c r="M138" s="298"/>
      <c r="N138" s="298"/>
      <c r="O138" s="978"/>
      <c r="P138" s="851"/>
      <c r="Q138" s="979"/>
      <c r="R138" s="978"/>
      <c r="S138" s="980"/>
      <c r="T138" s="981"/>
      <c r="U138" s="982"/>
      <c r="V138" s="980"/>
      <c r="W138" s="981"/>
      <c r="X138" s="982"/>
      <c r="Y138" s="980"/>
      <c r="Z138" s="981"/>
      <c r="AA138" s="979"/>
    </row>
    <row r="139" spans="1:121" s="481" customFormat="1" ht="28.5" customHeight="1">
      <c r="A139" s="476">
        <v>230</v>
      </c>
      <c r="B139" s="342">
        <v>3113</v>
      </c>
      <c r="C139" s="343">
        <v>6121</v>
      </c>
      <c r="D139" s="542">
        <v>6315</v>
      </c>
      <c r="E139" s="543" t="s">
        <v>44</v>
      </c>
      <c r="F139" s="34" t="s">
        <v>255</v>
      </c>
      <c r="G139" s="35">
        <v>400</v>
      </c>
      <c r="H139" s="35">
        <v>2013</v>
      </c>
      <c r="I139" s="36">
        <v>2019</v>
      </c>
      <c r="J139" s="37">
        <f>K139+L139+M139+SUM(R139:AA139)</f>
        <v>22076</v>
      </c>
      <c r="K139" s="38">
        <v>446</v>
      </c>
      <c r="L139" s="39">
        <v>3183</v>
      </c>
      <c r="M139" s="97">
        <f>N139+O139+P139+Q139</f>
        <v>18447</v>
      </c>
      <c r="N139" s="41">
        <v>6647</v>
      </c>
      <c r="O139" s="85">
        <v>11800</v>
      </c>
      <c r="P139" s="42">
        <v>0</v>
      </c>
      <c r="Q139" s="39">
        <v>0</v>
      </c>
      <c r="R139" s="43">
        <v>0</v>
      </c>
      <c r="S139" s="42">
        <v>0</v>
      </c>
      <c r="T139" s="39">
        <v>0</v>
      </c>
      <c r="U139" s="43">
        <v>0</v>
      </c>
      <c r="V139" s="42">
        <v>0</v>
      </c>
      <c r="W139" s="39">
        <v>0</v>
      </c>
      <c r="X139" s="43">
        <v>0</v>
      </c>
      <c r="Y139" s="42">
        <v>0</v>
      </c>
      <c r="Z139" s="39">
        <v>0</v>
      </c>
      <c r="AA139" s="44">
        <v>0</v>
      </c>
      <c r="AB139" s="544"/>
      <c r="AC139" s="541"/>
      <c r="AD139" s="541"/>
      <c r="AE139" s="541"/>
      <c r="AF139" s="245"/>
      <c r="AG139" s="245"/>
      <c r="AH139" s="245"/>
      <c r="AI139" s="245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</row>
    <row r="140" spans="1:121" s="481" customFormat="1" ht="28.5" customHeight="1" thickBot="1">
      <c r="A140" s="476">
        <v>230</v>
      </c>
      <c r="B140" s="342">
        <v>3113</v>
      </c>
      <c r="C140" s="343">
        <v>6121</v>
      </c>
      <c r="D140" s="545">
        <v>6321</v>
      </c>
      <c r="E140" s="213" t="s">
        <v>349</v>
      </c>
      <c r="F140" s="96"/>
      <c r="G140" s="70">
        <v>400</v>
      </c>
      <c r="H140" s="70">
        <v>2016</v>
      </c>
      <c r="I140" s="71">
        <v>2022</v>
      </c>
      <c r="J140" s="72">
        <f>K140+L140+M140+SUM(R140:AA140)</f>
        <v>2596</v>
      </c>
      <c r="K140" s="73">
        <v>48</v>
      </c>
      <c r="L140" s="74">
        <v>48</v>
      </c>
      <c r="M140" s="75">
        <f>N140+O140+P140+Q140</f>
        <v>500</v>
      </c>
      <c r="N140" s="76">
        <v>0</v>
      </c>
      <c r="O140" s="77">
        <v>500</v>
      </c>
      <c r="P140" s="78">
        <v>0</v>
      </c>
      <c r="Q140" s="74">
        <v>0</v>
      </c>
      <c r="R140" s="79">
        <v>500</v>
      </c>
      <c r="S140" s="78">
        <v>0</v>
      </c>
      <c r="T140" s="74">
        <v>0</v>
      </c>
      <c r="U140" s="79">
        <v>500</v>
      </c>
      <c r="V140" s="78">
        <v>0</v>
      </c>
      <c r="W140" s="74">
        <v>0</v>
      </c>
      <c r="X140" s="79">
        <v>500</v>
      </c>
      <c r="Y140" s="78">
        <v>0</v>
      </c>
      <c r="Z140" s="74">
        <v>0</v>
      </c>
      <c r="AA140" s="80">
        <v>500</v>
      </c>
      <c r="AB140" s="544"/>
      <c r="AC140" s="541"/>
      <c r="AD140" s="541"/>
      <c r="AE140" s="541"/>
      <c r="AF140" s="245"/>
      <c r="AG140" s="245"/>
      <c r="AH140" s="245"/>
      <c r="AI140" s="245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</row>
    <row r="141" spans="1:121" s="481" customFormat="1" ht="28.5" customHeight="1" thickBot="1">
      <c r="A141" s="487"/>
      <c r="B141" s="472"/>
      <c r="C141" s="472"/>
      <c r="D141" s="309"/>
      <c r="E141" s="1514" t="s">
        <v>350</v>
      </c>
      <c r="F141" s="1514"/>
      <c r="G141" s="1514"/>
      <c r="H141" s="1514"/>
      <c r="I141" s="1509"/>
      <c r="J141" s="311">
        <f>SUM(J139:J140)</f>
        <v>24672</v>
      </c>
      <c r="K141" s="311">
        <f>SUM(K139:K140)</f>
        <v>494</v>
      </c>
      <c r="L141" s="312">
        <f>SUM(L139:L140)</f>
        <v>3231</v>
      </c>
      <c r="M141" s="311">
        <f>SUM(M139:M140)</f>
        <v>18947</v>
      </c>
      <c r="N141" s="313">
        <f aca="true" t="shared" si="20" ref="N141:AA141">SUM(N139:N140)</f>
        <v>6647</v>
      </c>
      <c r="O141" s="314">
        <f t="shared" si="20"/>
        <v>12300</v>
      </c>
      <c r="P141" s="314">
        <f t="shared" si="20"/>
        <v>0</v>
      </c>
      <c r="Q141" s="312">
        <f t="shared" si="20"/>
        <v>0</v>
      </c>
      <c r="R141" s="315">
        <f t="shared" si="20"/>
        <v>500</v>
      </c>
      <c r="S141" s="314">
        <f t="shared" si="20"/>
        <v>0</v>
      </c>
      <c r="T141" s="316">
        <f t="shared" si="20"/>
        <v>0</v>
      </c>
      <c r="U141" s="313">
        <f t="shared" si="20"/>
        <v>500</v>
      </c>
      <c r="V141" s="314">
        <f t="shared" si="20"/>
        <v>0</v>
      </c>
      <c r="W141" s="312">
        <f t="shared" si="20"/>
        <v>0</v>
      </c>
      <c r="X141" s="315">
        <f t="shared" si="20"/>
        <v>500</v>
      </c>
      <c r="Y141" s="314">
        <f t="shared" si="20"/>
        <v>0</v>
      </c>
      <c r="Z141" s="316">
        <f t="shared" si="20"/>
        <v>0</v>
      </c>
      <c r="AA141" s="317">
        <f t="shared" si="20"/>
        <v>500</v>
      </c>
      <c r="AB141" s="245"/>
      <c r="AC141" s="245"/>
      <c r="AD141" s="245"/>
      <c r="AE141" s="245"/>
      <c r="AF141" s="245"/>
      <c r="AG141" s="245"/>
      <c r="AH141" s="245"/>
      <c r="AI141" s="245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</row>
    <row r="142" spans="2:27" ht="28.5" customHeight="1" thickBot="1">
      <c r="B142" s="428"/>
      <c r="C142" s="429"/>
      <c r="D142" s="299" t="s">
        <v>351</v>
      </c>
      <c r="E142" s="299"/>
      <c r="F142" s="286"/>
      <c r="G142" s="286"/>
      <c r="H142" s="430"/>
      <c r="I142" s="286"/>
      <c r="J142" s="983"/>
      <c r="K142" s="977"/>
      <c r="L142" s="977"/>
      <c r="M142" s="298"/>
      <c r="N142" s="298"/>
      <c r="O142" s="978"/>
      <c r="P142" s="851"/>
      <c r="Q142" s="979"/>
      <c r="R142" s="978"/>
      <c r="S142" s="980"/>
      <c r="T142" s="981"/>
      <c r="U142" s="982"/>
      <c r="V142" s="980"/>
      <c r="W142" s="981"/>
      <c r="X142" s="982"/>
      <c r="Y142" s="980"/>
      <c r="Z142" s="981"/>
      <c r="AA142" s="990"/>
    </row>
    <row r="143" spans="1:121" s="481" customFormat="1" ht="28.5" customHeight="1">
      <c r="A143" s="476">
        <v>230</v>
      </c>
      <c r="B143" s="342">
        <v>3233</v>
      </c>
      <c r="C143" s="343">
        <v>6121</v>
      </c>
      <c r="D143" s="542">
        <v>6324</v>
      </c>
      <c r="E143" s="546" t="s">
        <v>45</v>
      </c>
      <c r="F143" s="34" t="s">
        <v>286</v>
      </c>
      <c r="G143" s="35">
        <v>400</v>
      </c>
      <c r="H143" s="35">
        <v>2016</v>
      </c>
      <c r="I143" s="153">
        <v>2018</v>
      </c>
      <c r="J143" s="37">
        <f>K143+L143+M143+SUM(R143:AA143)</f>
        <v>14898</v>
      </c>
      <c r="K143" s="38">
        <v>919</v>
      </c>
      <c r="L143" s="39">
        <v>4600</v>
      </c>
      <c r="M143" s="97">
        <f>N143+O143+P143+Q143</f>
        <v>9379</v>
      </c>
      <c r="N143" s="41">
        <v>7079</v>
      </c>
      <c r="O143" s="85">
        <v>0</v>
      </c>
      <c r="P143" s="42">
        <v>2300</v>
      </c>
      <c r="Q143" s="39">
        <v>0</v>
      </c>
      <c r="R143" s="43">
        <v>0</v>
      </c>
      <c r="S143" s="42">
        <v>0</v>
      </c>
      <c r="T143" s="39">
        <v>0</v>
      </c>
      <c r="U143" s="43">
        <v>0</v>
      </c>
      <c r="V143" s="42">
        <v>0</v>
      </c>
      <c r="W143" s="39">
        <v>0</v>
      </c>
      <c r="X143" s="43">
        <v>0</v>
      </c>
      <c r="Y143" s="42">
        <v>0</v>
      </c>
      <c r="Z143" s="39">
        <v>0</v>
      </c>
      <c r="AA143" s="44">
        <v>0</v>
      </c>
      <c r="AB143" s="541"/>
      <c r="AC143" s="541"/>
      <c r="AD143" s="541"/>
      <c r="AE143" s="541"/>
      <c r="AF143" s="245"/>
      <c r="AG143" s="245"/>
      <c r="AH143" s="245"/>
      <c r="AI143" s="245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</row>
    <row r="144" spans="1:121" s="481" customFormat="1" ht="28.5" customHeight="1">
      <c r="A144" s="449">
        <v>230</v>
      </c>
      <c r="B144" s="547">
        <v>3233</v>
      </c>
      <c r="C144" s="548">
        <v>6121</v>
      </c>
      <c r="D144" s="549">
        <v>8232</v>
      </c>
      <c r="E144" s="550" t="s">
        <v>46</v>
      </c>
      <c r="F144" s="61" t="s">
        <v>248</v>
      </c>
      <c r="G144" s="62">
        <v>400</v>
      </c>
      <c r="H144" s="62">
        <v>2019</v>
      </c>
      <c r="I144" s="154">
        <v>2020</v>
      </c>
      <c r="J144" s="45">
        <f>K144+L144+M144+SUM(R144:AA144)</f>
        <v>10000</v>
      </c>
      <c r="K144" s="46">
        <v>0</v>
      </c>
      <c r="L144" s="47">
        <v>0</v>
      </c>
      <c r="M144" s="82">
        <f>N144+O144+P144+Q144</f>
        <v>0</v>
      </c>
      <c r="N144" s="49">
        <v>0</v>
      </c>
      <c r="O144" s="64">
        <f>1000-1000</f>
        <v>0</v>
      </c>
      <c r="P144" s="50">
        <v>0</v>
      </c>
      <c r="Q144" s="47">
        <v>0</v>
      </c>
      <c r="R144" s="51">
        <f>9000+1000</f>
        <v>10000</v>
      </c>
      <c r="S144" s="50">
        <v>0</v>
      </c>
      <c r="T144" s="47">
        <v>0</v>
      </c>
      <c r="U144" s="51">
        <v>0</v>
      </c>
      <c r="V144" s="50">
        <v>0</v>
      </c>
      <c r="W144" s="47">
        <v>0</v>
      </c>
      <c r="X144" s="51">
        <v>0</v>
      </c>
      <c r="Y144" s="50">
        <v>0</v>
      </c>
      <c r="Z144" s="47">
        <v>0</v>
      </c>
      <c r="AA144" s="52">
        <v>0</v>
      </c>
      <c r="AB144" s="541"/>
      <c r="AC144" s="541"/>
      <c r="AD144" s="541"/>
      <c r="AE144" s="541"/>
      <c r="AF144" s="245"/>
      <c r="AG144" s="245"/>
      <c r="AH144" s="245"/>
      <c r="AI144" s="245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</row>
    <row r="145" spans="1:121" s="481" customFormat="1" ht="42.75" customHeight="1" thickBot="1">
      <c r="A145" s="199">
        <v>140</v>
      </c>
      <c r="B145" s="551">
        <v>3233</v>
      </c>
      <c r="C145" s="490"/>
      <c r="D145" s="1365">
        <v>6324</v>
      </c>
      <c r="E145" s="552" t="s">
        <v>0</v>
      </c>
      <c r="F145" s="553" t="s">
        <v>248</v>
      </c>
      <c r="G145" s="171">
        <v>400</v>
      </c>
      <c r="H145" s="171">
        <v>2016</v>
      </c>
      <c r="I145" s="554">
        <v>2019</v>
      </c>
      <c r="J145" s="1384">
        <f>K145+L145+M145+SUM(S145:AE145)</f>
        <v>13076</v>
      </c>
      <c r="K145" s="1385">
        <v>236</v>
      </c>
      <c r="L145" s="1386">
        <v>40</v>
      </c>
      <c r="M145" s="1387">
        <f>N145+O145+P145+Q145+R145</f>
        <v>12800</v>
      </c>
      <c r="N145" s="427">
        <v>12500</v>
      </c>
      <c r="O145" s="1352">
        <v>300</v>
      </c>
      <c r="P145" s="1297">
        <v>0</v>
      </c>
      <c r="Q145" s="1010">
        <v>0</v>
      </c>
      <c r="R145" s="1011">
        <v>0</v>
      </c>
      <c r="S145" s="1009">
        <v>0</v>
      </c>
      <c r="T145" s="1012">
        <v>0</v>
      </c>
      <c r="U145" s="1013">
        <v>0</v>
      </c>
      <c r="V145" s="1014">
        <v>0</v>
      </c>
      <c r="W145" s="1015">
        <v>0</v>
      </c>
      <c r="X145" s="1016">
        <v>0</v>
      </c>
      <c r="Y145" s="1014">
        <v>0</v>
      </c>
      <c r="Z145" s="1012">
        <v>0</v>
      </c>
      <c r="AA145" s="1017">
        <v>0</v>
      </c>
      <c r="AB145" s="245"/>
      <c r="AC145" s="245"/>
      <c r="AD145" s="245"/>
      <c r="AE145" s="245"/>
      <c r="AF145" s="245"/>
      <c r="AG145" s="245"/>
      <c r="AH145" s="245"/>
      <c r="AI145" s="245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</row>
    <row r="146" spans="1:121" s="481" customFormat="1" ht="28.5" customHeight="1" thickBot="1">
      <c r="A146" s="487"/>
      <c r="B146" s="472"/>
      <c r="C146" s="472"/>
      <c r="D146" s="309"/>
      <c r="E146" s="1514" t="s">
        <v>352</v>
      </c>
      <c r="F146" s="1514"/>
      <c r="G146" s="1514"/>
      <c r="H146" s="1514"/>
      <c r="I146" s="1509"/>
      <c r="J146" s="311">
        <f aca="true" t="shared" si="21" ref="J146:AA146">SUM(J143:J145)</f>
        <v>37974</v>
      </c>
      <c r="K146" s="984">
        <f t="shared" si="21"/>
        <v>1155</v>
      </c>
      <c r="L146" s="1039">
        <f t="shared" si="21"/>
        <v>4640</v>
      </c>
      <c r="M146" s="311">
        <f t="shared" si="21"/>
        <v>22179</v>
      </c>
      <c r="N146" s="984">
        <f t="shared" si="21"/>
        <v>19579</v>
      </c>
      <c r="O146" s="985">
        <f t="shared" si="21"/>
        <v>300</v>
      </c>
      <c r="P146" s="985">
        <f t="shared" si="21"/>
        <v>2300</v>
      </c>
      <c r="Q146" s="1039">
        <f t="shared" si="21"/>
        <v>0</v>
      </c>
      <c r="R146" s="984">
        <f t="shared" si="21"/>
        <v>10000</v>
      </c>
      <c r="S146" s="985">
        <f t="shared" si="21"/>
        <v>0</v>
      </c>
      <c r="T146" s="1039">
        <f t="shared" si="21"/>
        <v>0</v>
      </c>
      <c r="U146" s="984">
        <f t="shared" si="21"/>
        <v>0</v>
      </c>
      <c r="V146" s="1048">
        <f t="shared" si="21"/>
        <v>0</v>
      </c>
      <c r="W146" s="1039">
        <f t="shared" si="21"/>
        <v>0</v>
      </c>
      <c r="X146" s="984">
        <f t="shared" si="21"/>
        <v>0</v>
      </c>
      <c r="Y146" s="985">
        <f t="shared" si="21"/>
        <v>0</v>
      </c>
      <c r="Z146" s="1039">
        <f t="shared" si="21"/>
        <v>0</v>
      </c>
      <c r="AA146" s="1008">
        <f t="shared" si="21"/>
        <v>0</v>
      </c>
      <c r="AB146" s="245"/>
      <c r="AC146" s="245"/>
      <c r="AD146" s="245"/>
      <c r="AE146" s="245"/>
      <c r="AF146" s="245"/>
      <c r="AG146" s="245"/>
      <c r="AH146" s="245"/>
      <c r="AI146" s="245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</row>
    <row r="147" spans="2:27" ht="28.5" customHeight="1" thickBot="1">
      <c r="B147" s="428"/>
      <c r="C147" s="429"/>
      <c r="D147" s="299" t="s">
        <v>353</v>
      </c>
      <c r="E147" s="299"/>
      <c r="F147" s="286"/>
      <c r="G147" s="286"/>
      <c r="H147" s="430"/>
      <c r="I147" s="286"/>
      <c r="J147" s="983"/>
      <c r="K147" s="977"/>
      <c r="L147" s="977"/>
      <c r="M147" s="298"/>
      <c r="N147" s="298"/>
      <c r="O147" s="978"/>
      <c r="P147" s="851"/>
      <c r="Q147" s="979"/>
      <c r="R147" s="978"/>
      <c r="S147" s="980"/>
      <c r="T147" s="981"/>
      <c r="U147" s="982"/>
      <c r="V147" s="980"/>
      <c r="W147" s="981"/>
      <c r="X147" s="982"/>
      <c r="Y147" s="980"/>
      <c r="Z147" s="981"/>
      <c r="AA147" s="979"/>
    </row>
    <row r="148" spans="1:121" s="481" customFormat="1" ht="28.5" customHeight="1">
      <c r="A148" s="529">
        <v>230</v>
      </c>
      <c r="B148" s="342">
        <v>3311</v>
      </c>
      <c r="C148" s="343">
        <v>6121</v>
      </c>
      <c r="D148" s="542">
        <v>8203</v>
      </c>
      <c r="E148" s="555" t="s">
        <v>47</v>
      </c>
      <c r="F148" s="34" t="s">
        <v>248</v>
      </c>
      <c r="G148" s="35">
        <v>400</v>
      </c>
      <c r="H148" s="35">
        <v>2017</v>
      </c>
      <c r="I148" s="153">
        <v>2019</v>
      </c>
      <c r="J148" s="37">
        <f>K148+L148+M148+SUM(R148:AA148)</f>
        <v>17351</v>
      </c>
      <c r="K148" s="38">
        <v>838</v>
      </c>
      <c r="L148" s="39">
        <f>4700-123</f>
        <v>4577</v>
      </c>
      <c r="M148" s="97">
        <f>N148+O148+P148+Q148</f>
        <v>11936</v>
      </c>
      <c r="N148" s="41">
        <v>5936</v>
      </c>
      <c r="O148" s="85">
        <v>6000</v>
      </c>
      <c r="P148" s="42">
        <v>0</v>
      </c>
      <c r="Q148" s="39">
        <v>0</v>
      </c>
      <c r="R148" s="43">
        <v>0</v>
      </c>
      <c r="S148" s="42">
        <v>0</v>
      </c>
      <c r="T148" s="39">
        <v>0</v>
      </c>
      <c r="U148" s="43">
        <v>0</v>
      </c>
      <c r="V148" s="42">
        <v>0</v>
      </c>
      <c r="W148" s="39">
        <v>0</v>
      </c>
      <c r="X148" s="43">
        <v>0</v>
      </c>
      <c r="Y148" s="42">
        <v>0</v>
      </c>
      <c r="Z148" s="39">
        <v>0</v>
      </c>
      <c r="AA148" s="44">
        <v>0</v>
      </c>
      <c r="AB148" s="123"/>
      <c r="AC148" s="123"/>
      <c r="AD148" s="245"/>
      <c r="AE148" s="245"/>
      <c r="AF148" s="245"/>
      <c r="AG148" s="245"/>
      <c r="AH148" s="245"/>
      <c r="AI148" s="245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</row>
    <row r="149" spans="1:121" s="481" customFormat="1" ht="28.5" customHeight="1">
      <c r="A149" s="556">
        <v>160</v>
      </c>
      <c r="B149" s="557">
        <v>3311</v>
      </c>
      <c r="C149" s="558"/>
      <c r="D149" s="641"/>
      <c r="E149" s="559" t="s">
        <v>530</v>
      </c>
      <c r="F149" s="560" t="s">
        <v>248</v>
      </c>
      <c r="G149" s="561">
        <v>444</v>
      </c>
      <c r="H149" s="562">
        <v>2017</v>
      </c>
      <c r="I149" s="563">
        <v>2019</v>
      </c>
      <c r="J149" s="53">
        <f>K149+L149+M149+SUM(R149:AA149)</f>
        <v>214020</v>
      </c>
      <c r="K149" s="46">
        <v>8618</v>
      </c>
      <c r="L149" s="139">
        <v>186846</v>
      </c>
      <c r="M149" s="82">
        <f>N149+O149+P149+Q149</f>
        <v>18556</v>
      </c>
      <c r="N149" s="49">
        <v>0</v>
      </c>
      <c r="O149" s="64">
        <v>18556</v>
      </c>
      <c r="P149" s="50">
        <v>0</v>
      </c>
      <c r="Q149" s="47">
        <v>0</v>
      </c>
      <c r="R149" s="140">
        <v>0</v>
      </c>
      <c r="S149" s="50">
        <v>0</v>
      </c>
      <c r="T149" s="52">
        <v>0</v>
      </c>
      <c r="U149" s="223">
        <v>0</v>
      </c>
      <c r="V149" s="50">
        <v>0</v>
      </c>
      <c r="W149" s="139">
        <v>0</v>
      </c>
      <c r="X149" s="140">
        <v>0</v>
      </c>
      <c r="Y149" s="50">
        <v>0</v>
      </c>
      <c r="Z149" s="52">
        <v>0</v>
      </c>
      <c r="AA149" s="52">
        <v>0</v>
      </c>
      <c r="AB149" s="123"/>
      <c r="AC149" s="123"/>
      <c r="AD149" s="245"/>
      <c r="AE149" s="245"/>
      <c r="AF149" s="245"/>
      <c r="AG149" s="245"/>
      <c r="AH149" s="245"/>
      <c r="AI149" s="245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</row>
    <row r="150" spans="1:121" s="481" customFormat="1" ht="28.5" customHeight="1">
      <c r="A150" s="556">
        <v>160</v>
      </c>
      <c r="B150" s="557">
        <v>3311</v>
      </c>
      <c r="C150" s="558"/>
      <c r="D150" s="1364"/>
      <c r="E150" s="559" t="s">
        <v>518</v>
      </c>
      <c r="F150" s="560" t="s">
        <v>248</v>
      </c>
      <c r="G150" s="561">
        <v>444</v>
      </c>
      <c r="H150" s="562">
        <v>2019</v>
      </c>
      <c r="I150" s="563">
        <v>2019</v>
      </c>
      <c r="J150" s="53">
        <f>K150+L150+M150+SUM(R150:AA150)</f>
        <v>3400</v>
      </c>
      <c r="K150" s="1018">
        <v>0</v>
      </c>
      <c r="L150" s="1019">
        <v>0</v>
      </c>
      <c r="M150" s="82">
        <f>N150+O150+P150+Q150</f>
        <v>3400</v>
      </c>
      <c r="N150" s="49">
        <v>0</v>
      </c>
      <c r="O150" s="64">
        <v>1700</v>
      </c>
      <c r="P150" s="58">
        <v>0</v>
      </c>
      <c r="Q150" s="55">
        <v>1700</v>
      </c>
      <c r="R150" s="1020">
        <v>0</v>
      </c>
      <c r="S150" s="1021">
        <v>0</v>
      </c>
      <c r="T150" s="1022">
        <v>0</v>
      </c>
      <c r="U150" s="1023">
        <v>0</v>
      </c>
      <c r="V150" s="1021">
        <v>0</v>
      </c>
      <c r="W150" s="1019">
        <v>0</v>
      </c>
      <c r="X150" s="1020">
        <v>0</v>
      </c>
      <c r="Y150" s="1021">
        <v>0</v>
      </c>
      <c r="Z150" s="1022">
        <v>0</v>
      </c>
      <c r="AA150" s="1022">
        <v>0</v>
      </c>
      <c r="AB150" s="245"/>
      <c r="AC150" s="245"/>
      <c r="AD150" s="245"/>
      <c r="AE150" s="245"/>
      <c r="AF150" s="245"/>
      <c r="AG150" s="245"/>
      <c r="AH150" s="245"/>
      <c r="AI150" s="245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</row>
    <row r="151" spans="1:121" s="569" customFormat="1" ht="28.5" customHeight="1">
      <c r="A151" s="556">
        <v>160</v>
      </c>
      <c r="B151" s="557">
        <v>3311</v>
      </c>
      <c r="C151" s="564"/>
      <c r="D151" s="460"/>
      <c r="E151" s="559" t="s">
        <v>7</v>
      </c>
      <c r="F151" s="565" t="s">
        <v>248</v>
      </c>
      <c r="G151" s="566">
        <v>444</v>
      </c>
      <c r="H151" s="567">
        <v>2019</v>
      </c>
      <c r="I151" s="568">
        <v>2021</v>
      </c>
      <c r="J151" s="53">
        <f>K151+L151+M151+SUM(R151:AA151)</f>
        <v>80000</v>
      </c>
      <c r="K151" s="372">
        <v>0</v>
      </c>
      <c r="L151" s="413">
        <v>0</v>
      </c>
      <c r="M151" s="82">
        <f>N151+O151+P151+Q151</f>
        <v>2000</v>
      </c>
      <c r="N151" s="49">
        <v>0</v>
      </c>
      <c r="O151" s="64">
        <f>35000-35000</f>
        <v>0</v>
      </c>
      <c r="P151" s="58">
        <v>0</v>
      </c>
      <c r="Q151" s="1316">
        <v>2000</v>
      </c>
      <c r="R151" s="59">
        <f>35000+15000</f>
        <v>50000</v>
      </c>
      <c r="S151" s="58">
        <v>0</v>
      </c>
      <c r="T151" s="55">
        <v>0</v>
      </c>
      <c r="U151" s="59">
        <v>20000</v>
      </c>
      <c r="V151" s="377">
        <v>0</v>
      </c>
      <c r="W151" s="413">
        <v>0</v>
      </c>
      <c r="X151" s="378">
        <v>8000</v>
      </c>
      <c r="Y151" s="377">
        <v>0</v>
      </c>
      <c r="Z151" s="373">
        <v>0</v>
      </c>
      <c r="AA151" s="379">
        <v>0</v>
      </c>
      <c r="AB151" s="270"/>
      <c r="AC151" s="270"/>
      <c r="AD151" s="270"/>
      <c r="AE151" s="270"/>
      <c r="AF151" s="270"/>
      <c r="AG151" s="270"/>
      <c r="AH151" s="270"/>
      <c r="AI151" s="270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</row>
    <row r="152" spans="1:121" s="481" customFormat="1" ht="60" customHeight="1" thickBot="1">
      <c r="A152" s="198">
        <v>160</v>
      </c>
      <c r="B152" s="547">
        <v>3311</v>
      </c>
      <c r="C152" s="548"/>
      <c r="D152" s="1271">
        <v>4240</v>
      </c>
      <c r="E152" s="552" t="s">
        <v>607</v>
      </c>
      <c r="F152" s="178" t="s">
        <v>248</v>
      </c>
      <c r="G152" s="70">
        <v>448</v>
      </c>
      <c r="H152" s="70">
        <v>2019</v>
      </c>
      <c r="I152" s="179">
        <v>2019</v>
      </c>
      <c r="J152" s="72">
        <f>K152+L152+M152+SUM(R152:AA152)</f>
        <v>28102</v>
      </c>
      <c r="K152" s="73">
        <v>0</v>
      </c>
      <c r="L152" s="74">
        <v>0</v>
      </c>
      <c r="M152" s="75">
        <f>N152+O152+P152+Q152</f>
        <v>28102</v>
      </c>
      <c r="N152" s="76">
        <v>0</v>
      </c>
      <c r="O152" s="77">
        <f>28102-10000</f>
        <v>18102</v>
      </c>
      <c r="P152" s="78">
        <v>0</v>
      </c>
      <c r="Q152" s="1317">
        <v>10000</v>
      </c>
      <c r="R152" s="79">
        <v>0</v>
      </c>
      <c r="S152" s="78">
        <v>0</v>
      </c>
      <c r="T152" s="74">
        <v>0</v>
      </c>
      <c r="U152" s="79">
        <v>0</v>
      </c>
      <c r="V152" s="78">
        <v>0</v>
      </c>
      <c r="W152" s="74">
        <v>0</v>
      </c>
      <c r="X152" s="79">
        <v>0</v>
      </c>
      <c r="Y152" s="78">
        <v>0</v>
      </c>
      <c r="Z152" s="74">
        <v>0</v>
      </c>
      <c r="AA152" s="80">
        <v>0</v>
      </c>
      <c r="AB152" s="123"/>
      <c r="AC152" s="123"/>
      <c r="AD152" s="245"/>
      <c r="AE152" s="245"/>
      <c r="AF152" s="245"/>
      <c r="AG152" s="245"/>
      <c r="AH152" s="245"/>
      <c r="AI152" s="245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</row>
    <row r="153" spans="1:121" s="481" customFormat="1" ht="28.5" customHeight="1" thickBot="1">
      <c r="A153" s="283"/>
      <c r="B153" s="309"/>
      <c r="C153" s="309"/>
      <c r="D153" s="309"/>
      <c r="E153" s="1509" t="s">
        <v>48</v>
      </c>
      <c r="F153" s="1509"/>
      <c r="G153" s="1509"/>
      <c r="H153" s="1509"/>
      <c r="I153" s="1510"/>
      <c r="J153" s="311">
        <f aca="true" t="shared" si="22" ref="J153:AA153">SUM(J148:J152)</f>
        <v>342873</v>
      </c>
      <c r="K153" s="984">
        <f t="shared" si="22"/>
        <v>9456</v>
      </c>
      <c r="L153" s="1039">
        <f t="shared" si="22"/>
        <v>191423</v>
      </c>
      <c r="M153" s="311">
        <f t="shared" si="22"/>
        <v>63994</v>
      </c>
      <c r="N153" s="984">
        <f t="shared" si="22"/>
        <v>5936</v>
      </c>
      <c r="O153" s="985">
        <f>SUM(O148:O152)</f>
        <v>44358</v>
      </c>
      <c r="P153" s="985">
        <f t="shared" si="22"/>
        <v>0</v>
      </c>
      <c r="Q153" s="1039">
        <f t="shared" si="22"/>
        <v>13700</v>
      </c>
      <c r="R153" s="984">
        <f t="shared" si="22"/>
        <v>50000</v>
      </c>
      <c r="S153" s="1048">
        <f t="shared" si="22"/>
        <v>0</v>
      </c>
      <c r="T153" s="1049">
        <f t="shared" si="22"/>
        <v>0</v>
      </c>
      <c r="U153" s="984">
        <f t="shared" si="22"/>
        <v>20000</v>
      </c>
      <c r="V153" s="1048">
        <f t="shared" si="22"/>
        <v>0</v>
      </c>
      <c r="W153" s="1049">
        <f t="shared" si="22"/>
        <v>0</v>
      </c>
      <c r="X153" s="984">
        <f t="shared" si="22"/>
        <v>8000</v>
      </c>
      <c r="Y153" s="1048">
        <f t="shared" si="22"/>
        <v>0</v>
      </c>
      <c r="Z153" s="1039">
        <f t="shared" si="22"/>
        <v>0</v>
      </c>
      <c r="AA153" s="1008">
        <f t="shared" si="22"/>
        <v>0</v>
      </c>
      <c r="AB153" s="245"/>
      <c r="AC153" s="245"/>
      <c r="AD153" s="245"/>
      <c r="AE153" s="245"/>
      <c r="AF153" s="245"/>
      <c r="AG153" s="245"/>
      <c r="AH153" s="245"/>
      <c r="AI153" s="245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</row>
    <row r="154" spans="2:27" ht="28.5" customHeight="1" thickBot="1">
      <c r="B154" s="428"/>
      <c r="C154" s="429"/>
      <c r="D154" s="299" t="s">
        <v>8</v>
      </c>
      <c r="E154" s="570"/>
      <c r="F154" s="286"/>
      <c r="G154" s="286"/>
      <c r="H154" s="430"/>
      <c r="I154" s="286"/>
      <c r="J154" s="983"/>
      <c r="K154" s="977"/>
      <c r="L154" s="977"/>
      <c r="M154" s="298"/>
      <c r="N154" s="298"/>
      <c r="O154" s="978"/>
      <c r="P154" s="851"/>
      <c r="Q154" s="979"/>
      <c r="R154" s="978"/>
      <c r="S154" s="980"/>
      <c r="T154" s="981"/>
      <c r="U154" s="982"/>
      <c r="V154" s="980"/>
      <c r="W154" s="981"/>
      <c r="X154" s="982"/>
      <c r="Y154" s="980"/>
      <c r="Z154" s="981"/>
      <c r="AA154" s="979"/>
    </row>
    <row r="155" spans="1:121" s="481" customFormat="1" ht="28.5" customHeight="1">
      <c r="A155" s="199">
        <v>160</v>
      </c>
      <c r="B155" s="551">
        <v>3312</v>
      </c>
      <c r="C155" s="490"/>
      <c r="D155" s="1273"/>
      <c r="E155" s="1306" t="s">
        <v>9</v>
      </c>
      <c r="F155" s="1307"/>
      <c r="G155" s="1308">
        <v>400</v>
      </c>
      <c r="H155" s="1309">
        <v>2019</v>
      </c>
      <c r="I155" s="1310">
        <v>2025</v>
      </c>
      <c r="J155" s="37">
        <f>K155+L155+M155+SUM(R155:AA155)</f>
        <v>1000000</v>
      </c>
      <c r="K155" s="1311">
        <v>0</v>
      </c>
      <c r="L155" s="1312">
        <v>0</v>
      </c>
      <c r="M155" s="97">
        <f>N155+O155+P155+Q155</f>
        <v>200000</v>
      </c>
      <c r="N155" s="1044">
        <f>150000+50000</f>
        <v>200000</v>
      </c>
      <c r="O155" s="1045">
        <f>50000-50000</f>
        <v>0</v>
      </c>
      <c r="P155" s="1313">
        <v>0</v>
      </c>
      <c r="Q155" s="1312">
        <v>0</v>
      </c>
      <c r="R155" s="998">
        <v>100000</v>
      </c>
      <c r="S155" s="1313">
        <v>0</v>
      </c>
      <c r="T155" s="1314">
        <v>0</v>
      </c>
      <c r="U155" s="998">
        <v>100000</v>
      </c>
      <c r="V155" s="1313">
        <v>0</v>
      </c>
      <c r="W155" s="1312">
        <v>0</v>
      </c>
      <c r="X155" s="998">
        <v>100000</v>
      </c>
      <c r="Y155" s="1313">
        <v>0</v>
      </c>
      <c r="Z155" s="1314">
        <v>0</v>
      </c>
      <c r="AA155" s="1074">
        <v>500000</v>
      </c>
      <c r="AB155" s="245"/>
      <c r="AC155" s="245"/>
      <c r="AD155" s="245"/>
      <c r="AE155" s="245"/>
      <c r="AF155" s="245"/>
      <c r="AG155" s="245"/>
      <c r="AH155" s="245"/>
      <c r="AI155" s="245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</row>
    <row r="156" spans="1:121" s="481" customFormat="1" ht="28.5" customHeight="1" thickBot="1">
      <c r="A156" s="199">
        <v>210</v>
      </c>
      <c r="B156" s="551">
        <v>3312</v>
      </c>
      <c r="C156" s="490"/>
      <c r="D156" s="1271">
        <v>8230</v>
      </c>
      <c r="E156" s="552" t="s">
        <v>602</v>
      </c>
      <c r="F156" s="1300"/>
      <c r="G156" s="1301">
        <v>400</v>
      </c>
      <c r="H156" s="1302">
        <v>2019</v>
      </c>
      <c r="I156" s="1303">
        <v>2025</v>
      </c>
      <c r="J156" s="101">
        <f>K156+L156+M156+SUM(R156:AA156)</f>
        <v>3032</v>
      </c>
      <c r="K156" s="1304">
        <v>0</v>
      </c>
      <c r="L156" s="1298">
        <v>0</v>
      </c>
      <c r="M156" s="104">
        <f>N156+O156+P156+Q156</f>
        <v>3032</v>
      </c>
      <c r="N156" s="1295">
        <v>3032</v>
      </c>
      <c r="O156" s="1296">
        <f>50000-50000</f>
        <v>0</v>
      </c>
      <c r="P156" s="1297">
        <v>0</v>
      </c>
      <c r="Q156" s="1298">
        <v>0</v>
      </c>
      <c r="R156" s="1004">
        <v>0</v>
      </c>
      <c r="S156" s="1297">
        <v>0</v>
      </c>
      <c r="T156" s="1305">
        <v>0</v>
      </c>
      <c r="U156" s="1004">
        <v>0</v>
      </c>
      <c r="V156" s="1297">
        <v>0</v>
      </c>
      <c r="W156" s="1298">
        <v>0</v>
      </c>
      <c r="X156" s="1004">
        <v>0</v>
      </c>
      <c r="Y156" s="1297">
        <v>0</v>
      </c>
      <c r="Z156" s="1305">
        <v>0</v>
      </c>
      <c r="AA156" s="1299">
        <v>0</v>
      </c>
      <c r="AB156" s="245"/>
      <c r="AC156" s="245"/>
      <c r="AD156" s="245"/>
      <c r="AE156" s="245"/>
      <c r="AF156" s="245"/>
      <c r="AG156" s="245"/>
      <c r="AH156" s="245"/>
      <c r="AI156" s="245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</row>
    <row r="157" spans="1:121" s="481" customFormat="1" ht="28.5" customHeight="1" thickBot="1">
      <c r="A157" s="487"/>
      <c r="B157" s="472"/>
      <c r="C157" s="472"/>
      <c r="D157" s="309"/>
      <c r="E157" s="1511" t="s">
        <v>82</v>
      </c>
      <c r="F157" s="1511"/>
      <c r="G157" s="1511"/>
      <c r="H157" s="1511"/>
      <c r="I157" s="1511"/>
      <c r="J157" s="311">
        <f>SUM(J155:J156)</f>
        <v>1003032</v>
      </c>
      <c r="K157" s="311">
        <f>SUM(K155:K156)</f>
        <v>0</v>
      </c>
      <c r="L157" s="311">
        <f>SUM(L155)</f>
        <v>0</v>
      </c>
      <c r="M157" s="311">
        <f>SUM(M155:M156)</f>
        <v>203032</v>
      </c>
      <c r="N157" s="991">
        <f>SUM(N155:N156)</f>
        <v>203032</v>
      </c>
      <c r="O157" s="992">
        <f>SUM(O155:O156)</f>
        <v>0</v>
      </c>
      <c r="P157" s="992">
        <f aca="true" t="shared" si="23" ref="P157:AA157">SUM(P155)</f>
        <v>0</v>
      </c>
      <c r="Q157" s="993">
        <f t="shared" si="23"/>
        <v>0</v>
      </c>
      <c r="R157" s="994">
        <f>SUM(R155:R156)</f>
        <v>100000</v>
      </c>
      <c r="S157" s="992">
        <f t="shared" si="23"/>
        <v>0</v>
      </c>
      <c r="T157" s="995">
        <f t="shared" si="23"/>
        <v>0</v>
      </c>
      <c r="U157" s="991">
        <f>SUM(U155:U156)</f>
        <v>100000</v>
      </c>
      <c r="V157" s="992">
        <f t="shared" si="23"/>
        <v>0</v>
      </c>
      <c r="W157" s="993">
        <f t="shared" si="23"/>
        <v>0</v>
      </c>
      <c r="X157" s="994">
        <f>SUM(X155:X156)</f>
        <v>100000</v>
      </c>
      <c r="Y157" s="992">
        <f t="shared" si="23"/>
        <v>0</v>
      </c>
      <c r="Z157" s="995">
        <f t="shared" si="23"/>
        <v>0</v>
      </c>
      <c r="AA157" s="317">
        <f t="shared" si="23"/>
        <v>500000</v>
      </c>
      <c r="AB157" s="245"/>
      <c r="AC157" s="245"/>
      <c r="AD157" s="245"/>
      <c r="AE157" s="245"/>
      <c r="AF157" s="245"/>
      <c r="AG157" s="245"/>
      <c r="AH157" s="245"/>
      <c r="AI157" s="245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</row>
    <row r="158" spans="2:27" ht="28.5" customHeight="1" thickBot="1">
      <c r="B158" s="428"/>
      <c r="C158" s="429"/>
      <c r="D158" s="299" t="s">
        <v>354</v>
      </c>
      <c r="E158" s="299"/>
      <c r="F158" s="286"/>
      <c r="G158" s="286"/>
      <c r="H158" s="430"/>
      <c r="I158" s="286"/>
      <c r="J158" s="983"/>
      <c r="K158" s="977"/>
      <c r="L158" s="977"/>
      <c r="M158" s="298"/>
      <c r="N158" s="298"/>
      <c r="O158" s="978"/>
      <c r="P158" s="851"/>
      <c r="Q158" s="979"/>
      <c r="R158" s="978"/>
      <c r="S158" s="980"/>
      <c r="T158" s="981"/>
      <c r="U158" s="982"/>
      <c r="V158" s="980"/>
      <c r="W158" s="981"/>
      <c r="X158" s="982"/>
      <c r="Y158" s="980"/>
      <c r="Z158" s="981"/>
      <c r="AA158" s="979"/>
    </row>
    <row r="159" spans="1:121" s="481" customFormat="1" ht="28.5" customHeight="1" thickBot="1">
      <c r="A159" s="476">
        <v>230</v>
      </c>
      <c r="B159" s="342">
        <v>3314</v>
      </c>
      <c r="C159" s="343">
        <v>6121</v>
      </c>
      <c r="D159" s="571">
        <v>8191</v>
      </c>
      <c r="E159" s="572" t="s">
        <v>355</v>
      </c>
      <c r="F159" s="22" t="s">
        <v>286</v>
      </c>
      <c r="G159" s="23">
        <v>400</v>
      </c>
      <c r="H159" s="23">
        <v>2016</v>
      </c>
      <c r="I159" s="180">
        <v>2020</v>
      </c>
      <c r="J159" s="25">
        <f>K159+L159+M159+SUM(R159:AA159)</f>
        <v>36577</v>
      </c>
      <c r="K159" s="26">
        <v>228</v>
      </c>
      <c r="L159" s="27">
        <v>611</v>
      </c>
      <c r="M159" s="111">
        <f>N159+O159+P159+Q159</f>
        <v>11804</v>
      </c>
      <c r="N159" s="29">
        <v>6804</v>
      </c>
      <c r="O159" s="30">
        <f>10934-8934</f>
        <v>2000</v>
      </c>
      <c r="P159" s="31">
        <v>0</v>
      </c>
      <c r="Q159" s="27">
        <v>3000</v>
      </c>
      <c r="R159" s="32">
        <f>15000+8934</f>
        <v>23934</v>
      </c>
      <c r="S159" s="31">
        <v>0</v>
      </c>
      <c r="T159" s="27">
        <v>0</v>
      </c>
      <c r="U159" s="32">
        <v>0</v>
      </c>
      <c r="V159" s="31">
        <v>0</v>
      </c>
      <c r="W159" s="27">
        <v>0</v>
      </c>
      <c r="X159" s="32">
        <v>0</v>
      </c>
      <c r="Y159" s="31">
        <v>0</v>
      </c>
      <c r="Z159" s="27">
        <v>0</v>
      </c>
      <c r="AA159" s="33">
        <v>0</v>
      </c>
      <c r="AB159" s="245"/>
      <c r="AC159" s="245"/>
      <c r="AD159" s="245"/>
      <c r="AE159" s="245"/>
      <c r="AF159" s="245"/>
      <c r="AG159" s="245"/>
      <c r="AH159" s="245"/>
      <c r="AI159" s="245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</row>
    <row r="160" spans="1:121" s="481" customFormat="1" ht="28.5" customHeight="1" thickBot="1">
      <c r="A160" s="487"/>
      <c r="B160" s="472"/>
      <c r="C160" s="472"/>
      <c r="D160" s="309"/>
      <c r="E160" s="1509" t="s">
        <v>49</v>
      </c>
      <c r="F160" s="1509"/>
      <c r="G160" s="1509"/>
      <c r="H160" s="1509"/>
      <c r="I160" s="1509"/>
      <c r="J160" s="311">
        <f>SUM(J159)</f>
        <v>36577</v>
      </c>
      <c r="K160" s="311">
        <f>SUM(K159)</f>
        <v>228</v>
      </c>
      <c r="L160" s="312">
        <f>SUM(L159)</f>
        <v>611</v>
      </c>
      <c r="M160" s="311">
        <f aca="true" t="shared" si="24" ref="M160:AA160">SUM(M159)</f>
        <v>11804</v>
      </c>
      <c r="N160" s="991">
        <f t="shared" si="24"/>
        <v>6804</v>
      </c>
      <c r="O160" s="992">
        <f t="shared" si="24"/>
        <v>2000</v>
      </c>
      <c r="P160" s="992">
        <f t="shared" si="24"/>
        <v>0</v>
      </c>
      <c r="Q160" s="993">
        <f t="shared" si="24"/>
        <v>3000</v>
      </c>
      <c r="R160" s="994">
        <f t="shared" si="24"/>
        <v>23934</v>
      </c>
      <c r="S160" s="992">
        <f t="shared" si="24"/>
        <v>0</v>
      </c>
      <c r="T160" s="995">
        <f t="shared" si="24"/>
        <v>0</v>
      </c>
      <c r="U160" s="991">
        <f t="shared" si="24"/>
        <v>0</v>
      </c>
      <c r="V160" s="992">
        <f t="shared" si="24"/>
        <v>0</v>
      </c>
      <c r="W160" s="993">
        <f t="shared" si="24"/>
        <v>0</v>
      </c>
      <c r="X160" s="994">
        <f t="shared" si="24"/>
        <v>0</v>
      </c>
      <c r="Y160" s="992">
        <f t="shared" si="24"/>
        <v>0</v>
      </c>
      <c r="Z160" s="995">
        <f t="shared" si="24"/>
        <v>0</v>
      </c>
      <c r="AA160" s="317">
        <f t="shared" si="24"/>
        <v>0</v>
      </c>
      <c r="AB160" s="245"/>
      <c r="AC160" s="245"/>
      <c r="AD160" s="245"/>
      <c r="AE160" s="245"/>
      <c r="AF160" s="245"/>
      <c r="AG160" s="245"/>
      <c r="AH160" s="245"/>
      <c r="AI160" s="245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</row>
    <row r="161" spans="2:27" ht="28.5" customHeight="1" thickBot="1">
      <c r="B161" s="428"/>
      <c r="C161" s="429"/>
      <c r="D161" s="299" t="s">
        <v>356</v>
      </c>
      <c r="E161" s="299"/>
      <c r="F161" s="286"/>
      <c r="G161" s="286"/>
      <c r="H161" s="430"/>
      <c r="I161" s="286"/>
      <c r="J161" s="983"/>
      <c r="K161" s="977"/>
      <c r="L161" s="977"/>
      <c r="M161" s="298"/>
      <c r="N161" s="298"/>
      <c r="O161" s="978"/>
      <c r="P161" s="851"/>
      <c r="Q161" s="979"/>
      <c r="R161" s="978"/>
      <c r="S161" s="980"/>
      <c r="T161" s="981"/>
      <c r="U161" s="982"/>
      <c r="V161" s="980"/>
      <c r="W161" s="981"/>
      <c r="X161" s="982"/>
      <c r="Y161" s="980"/>
      <c r="Z161" s="981"/>
      <c r="AA161" s="979"/>
    </row>
    <row r="162" spans="1:121" s="481" customFormat="1" ht="28.5" customHeight="1" thickBot="1">
      <c r="A162" s="476">
        <v>230</v>
      </c>
      <c r="B162" s="342">
        <v>3315</v>
      </c>
      <c r="C162" s="343">
        <v>6121</v>
      </c>
      <c r="D162" s="319">
        <v>8156</v>
      </c>
      <c r="E162" s="124" t="s">
        <v>357</v>
      </c>
      <c r="F162" s="22" t="s">
        <v>248</v>
      </c>
      <c r="G162" s="23">
        <v>400</v>
      </c>
      <c r="H162" s="23">
        <v>2012</v>
      </c>
      <c r="I162" s="24">
        <v>2024</v>
      </c>
      <c r="J162" s="25">
        <f>K162+L162+M162+SUM(R162:AA162)</f>
        <v>663079</v>
      </c>
      <c r="K162" s="26">
        <v>7136</v>
      </c>
      <c r="L162" s="27">
        <v>0</v>
      </c>
      <c r="M162" s="111">
        <f>N162+O162+P162+Q162</f>
        <v>943</v>
      </c>
      <c r="N162" s="29">
        <v>943</v>
      </c>
      <c r="O162" s="30">
        <f>1500-1000-500</f>
        <v>0</v>
      </c>
      <c r="P162" s="31">
        <v>0</v>
      </c>
      <c r="Q162" s="27">
        <v>0</v>
      </c>
      <c r="R162" s="32">
        <v>5000</v>
      </c>
      <c r="S162" s="31">
        <v>0</v>
      </c>
      <c r="T162" s="27">
        <v>0</v>
      </c>
      <c r="U162" s="32">
        <v>30000</v>
      </c>
      <c r="V162" s="31">
        <v>0</v>
      </c>
      <c r="W162" s="27">
        <v>0</v>
      </c>
      <c r="X162" s="32">
        <v>120000</v>
      </c>
      <c r="Y162" s="31">
        <v>0</v>
      </c>
      <c r="Z162" s="27">
        <v>0</v>
      </c>
      <c r="AA162" s="33">
        <v>500000</v>
      </c>
      <c r="AB162" s="245"/>
      <c r="AC162" s="245"/>
      <c r="AD162" s="245"/>
      <c r="AE162" s="245"/>
      <c r="AF162" s="245"/>
      <c r="AG162" s="245"/>
      <c r="AH162" s="245"/>
      <c r="AI162" s="245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</row>
    <row r="163" spans="1:121" s="481" customFormat="1" ht="28.5" customHeight="1" thickBot="1">
      <c r="A163" s="487"/>
      <c r="B163" s="472"/>
      <c r="C163" s="472"/>
      <c r="D163" s="309"/>
      <c r="E163" s="1509" t="s">
        <v>50</v>
      </c>
      <c r="F163" s="1509"/>
      <c r="G163" s="1509"/>
      <c r="H163" s="1509"/>
      <c r="I163" s="1510"/>
      <c r="J163" s="311">
        <f>SUM(J162)</f>
        <v>663079</v>
      </c>
      <c r="K163" s="311">
        <f>SUM(K162)</f>
        <v>7136</v>
      </c>
      <c r="L163" s="312">
        <f>SUM(L162)</f>
        <v>0</v>
      </c>
      <c r="M163" s="311">
        <f aca="true" t="shared" si="25" ref="M163:AA163">SUM(M162)</f>
        <v>943</v>
      </c>
      <c r="N163" s="991">
        <f t="shared" si="25"/>
        <v>943</v>
      </c>
      <c r="O163" s="992">
        <f t="shared" si="25"/>
        <v>0</v>
      </c>
      <c r="P163" s="992">
        <f t="shared" si="25"/>
        <v>0</v>
      </c>
      <c r="Q163" s="993">
        <f t="shared" si="25"/>
        <v>0</v>
      </c>
      <c r="R163" s="994">
        <f t="shared" si="25"/>
        <v>5000</v>
      </c>
      <c r="S163" s="992">
        <f t="shared" si="25"/>
        <v>0</v>
      </c>
      <c r="T163" s="995">
        <f t="shared" si="25"/>
        <v>0</v>
      </c>
      <c r="U163" s="991">
        <f t="shared" si="25"/>
        <v>30000</v>
      </c>
      <c r="V163" s="992">
        <f t="shared" si="25"/>
        <v>0</v>
      </c>
      <c r="W163" s="993">
        <f t="shared" si="25"/>
        <v>0</v>
      </c>
      <c r="X163" s="994">
        <f t="shared" si="25"/>
        <v>120000</v>
      </c>
      <c r="Y163" s="992">
        <f t="shared" si="25"/>
        <v>0</v>
      </c>
      <c r="Z163" s="995">
        <f t="shared" si="25"/>
        <v>0</v>
      </c>
      <c r="AA163" s="317">
        <f t="shared" si="25"/>
        <v>500000</v>
      </c>
      <c r="AB163" s="245"/>
      <c r="AC163" s="245"/>
      <c r="AD163" s="245"/>
      <c r="AE163" s="245"/>
      <c r="AF163" s="245"/>
      <c r="AG163" s="245"/>
      <c r="AH163" s="245"/>
      <c r="AI163" s="245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</row>
    <row r="164" spans="2:27" ht="28.5" customHeight="1" thickBot="1">
      <c r="B164" s="428"/>
      <c r="C164" s="429"/>
      <c r="D164" s="299" t="s">
        <v>51</v>
      </c>
      <c r="E164" s="299"/>
      <c r="F164" s="286"/>
      <c r="G164" s="286"/>
      <c r="H164" s="430"/>
      <c r="I164" s="286"/>
      <c r="J164" s="983"/>
      <c r="K164" s="977"/>
      <c r="L164" s="977"/>
      <c r="M164" s="298"/>
      <c r="N164" s="298"/>
      <c r="O164" s="978"/>
      <c r="P164" s="851"/>
      <c r="Q164" s="979"/>
      <c r="R164" s="978"/>
      <c r="S164" s="980"/>
      <c r="T164" s="981"/>
      <c r="U164" s="982"/>
      <c r="V164" s="980"/>
      <c r="W164" s="981"/>
      <c r="X164" s="982"/>
      <c r="Y164" s="980"/>
      <c r="Z164" s="981"/>
      <c r="AA164" s="979"/>
    </row>
    <row r="165" spans="1:121" s="481" customFormat="1" ht="28.5" customHeight="1" thickBot="1">
      <c r="A165" s="476">
        <v>230</v>
      </c>
      <c r="B165" s="342">
        <v>3319</v>
      </c>
      <c r="C165" s="343">
        <v>6121</v>
      </c>
      <c r="D165" s="319">
        <v>8234</v>
      </c>
      <c r="E165" s="124" t="s">
        <v>524</v>
      </c>
      <c r="F165" s="22" t="s">
        <v>248</v>
      </c>
      <c r="G165" s="23">
        <v>400</v>
      </c>
      <c r="H165" s="23">
        <v>2018</v>
      </c>
      <c r="I165" s="24">
        <v>2022</v>
      </c>
      <c r="J165" s="25">
        <f>K165+L165+M165+SUM(R165:AA165)</f>
        <v>180000</v>
      </c>
      <c r="K165" s="26">
        <v>0</v>
      </c>
      <c r="L165" s="27">
        <v>0</v>
      </c>
      <c r="M165" s="111">
        <f>N165+O165+P165+Q165</f>
        <v>0</v>
      </c>
      <c r="N165" s="29">
        <v>0</v>
      </c>
      <c r="O165" s="30">
        <v>0</v>
      </c>
      <c r="P165" s="31">
        <v>0</v>
      </c>
      <c r="Q165" s="27">
        <v>0</v>
      </c>
      <c r="R165" s="32">
        <v>2000</v>
      </c>
      <c r="S165" s="31">
        <v>0</v>
      </c>
      <c r="T165" s="27">
        <v>0</v>
      </c>
      <c r="U165" s="32">
        <v>50000</v>
      </c>
      <c r="V165" s="31">
        <v>0</v>
      </c>
      <c r="W165" s="27">
        <v>0</v>
      </c>
      <c r="X165" s="32">
        <v>100000</v>
      </c>
      <c r="Y165" s="31">
        <v>0</v>
      </c>
      <c r="Z165" s="27">
        <v>0</v>
      </c>
      <c r="AA165" s="33">
        <v>28000</v>
      </c>
      <c r="AB165" s="123"/>
      <c r="AC165" s="245"/>
      <c r="AD165" s="245"/>
      <c r="AE165" s="245"/>
      <c r="AF165" s="245"/>
      <c r="AG165" s="245"/>
      <c r="AH165" s="245"/>
      <c r="AI165" s="245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</row>
    <row r="166" spans="1:121" s="481" customFormat="1" ht="28.5" customHeight="1" thickBot="1">
      <c r="A166" s="487"/>
      <c r="B166" s="472"/>
      <c r="C166" s="472"/>
      <c r="D166" s="309"/>
      <c r="E166" s="1509" t="s">
        <v>52</v>
      </c>
      <c r="F166" s="1509"/>
      <c r="G166" s="1509"/>
      <c r="H166" s="1509"/>
      <c r="I166" s="1510"/>
      <c r="J166" s="311">
        <f>SUM(J165)</f>
        <v>180000</v>
      </c>
      <c r="K166" s="311">
        <f>SUM(K165)</f>
        <v>0</v>
      </c>
      <c r="L166" s="312">
        <f>SUM(L165)</f>
        <v>0</v>
      </c>
      <c r="M166" s="311">
        <f aca="true" t="shared" si="26" ref="M166:AA166">SUM(M165)</f>
        <v>0</v>
      </c>
      <c r="N166" s="991">
        <f t="shared" si="26"/>
        <v>0</v>
      </c>
      <c r="O166" s="992">
        <f t="shared" si="26"/>
        <v>0</v>
      </c>
      <c r="P166" s="992">
        <f t="shared" si="26"/>
        <v>0</v>
      </c>
      <c r="Q166" s="993">
        <f t="shared" si="26"/>
        <v>0</v>
      </c>
      <c r="R166" s="994">
        <f t="shared" si="26"/>
        <v>2000</v>
      </c>
      <c r="S166" s="992">
        <f t="shared" si="26"/>
        <v>0</v>
      </c>
      <c r="T166" s="995">
        <f t="shared" si="26"/>
        <v>0</v>
      </c>
      <c r="U166" s="991">
        <f t="shared" si="26"/>
        <v>50000</v>
      </c>
      <c r="V166" s="992">
        <f t="shared" si="26"/>
        <v>0</v>
      </c>
      <c r="W166" s="993">
        <f t="shared" si="26"/>
        <v>0</v>
      </c>
      <c r="X166" s="994">
        <f t="shared" si="26"/>
        <v>100000</v>
      </c>
      <c r="Y166" s="992">
        <f t="shared" si="26"/>
        <v>0</v>
      </c>
      <c r="Z166" s="995">
        <f t="shared" si="26"/>
        <v>0</v>
      </c>
      <c r="AA166" s="317">
        <f t="shared" si="26"/>
        <v>28000</v>
      </c>
      <c r="AB166" s="245"/>
      <c r="AC166" s="245"/>
      <c r="AD166" s="245"/>
      <c r="AE166" s="245"/>
      <c r="AF166" s="245"/>
      <c r="AG166" s="245"/>
      <c r="AH166" s="245"/>
      <c r="AI166" s="245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</row>
    <row r="167" spans="2:27" ht="28.5" customHeight="1" thickBot="1">
      <c r="B167" s="428"/>
      <c r="C167" s="429"/>
      <c r="D167" s="299" t="s">
        <v>488</v>
      </c>
      <c r="E167" s="299"/>
      <c r="F167" s="286"/>
      <c r="G167" s="286"/>
      <c r="H167" s="430"/>
      <c r="I167" s="286"/>
      <c r="J167" s="983"/>
      <c r="K167" s="977"/>
      <c r="L167" s="977"/>
      <c r="M167" s="298"/>
      <c r="N167" s="298"/>
      <c r="O167" s="978"/>
      <c r="P167" s="851"/>
      <c r="Q167" s="979"/>
      <c r="R167" s="978"/>
      <c r="S167" s="980"/>
      <c r="T167" s="981"/>
      <c r="U167" s="982"/>
      <c r="V167" s="980"/>
      <c r="W167" s="981"/>
      <c r="X167" s="982"/>
      <c r="Y167" s="980"/>
      <c r="Z167" s="981"/>
      <c r="AA167" s="979"/>
    </row>
    <row r="168" spans="1:121" s="481" customFormat="1" ht="28.5" customHeight="1" thickBot="1">
      <c r="A168" s="476">
        <v>230</v>
      </c>
      <c r="B168" s="342">
        <v>3322</v>
      </c>
      <c r="C168" s="343">
        <v>6121</v>
      </c>
      <c r="D168" s="571">
        <v>8211</v>
      </c>
      <c r="E168" s="572" t="s">
        <v>53</v>
      </c>
      <c r="F168" s="22" t="s">
        <v>248</v>
      </c>
      <c r="G168" s="23">
        <v>400</v>
      </c>
      <c r="H168" s="23">
        <v>2017</v>
      </c>
      <c r="I168" s="24">
        <v>2020</v>
      </c>
      <c r="J168" s="25">
        <f>K168+L168+M168+SUM(R168:AA168)</f>
        <v>202134</v>
      </c>
      <c r="K168" s="26">
        <v>1404</v>
      </c>
      <c r="L168" s="27">
        <v>1790</v>
      </c>
      <c r="M168" s="111">
        <f>N168+O168+P168+Q168</f>
        <v>11940</v>
      </c>
      <c r="N168" s="29">
        <v>3698</v>
      </c>
      <c r="O168" s="30">
        <f>13242-5000</f>
        <v>8242</v>
      </c>
      <c r="P168" s="31">
        <v>0</v>
      </c>
      <c r="Q168" s="27">
        <v>0</v>
      </c>
      <c r="R168" s="32">
        <f>182000+5000-90000</f>
        <v>97000</v>
      </c>
      <c r="S168" s="31">
        <v>0</v>
      </c>
      <c r="T168" s="27">
        <v>0</v>
      </c>
      <c r="U168" s="32">
        <v>90000</v>
      </c>
      <c r="V168" s="31">
        <v>0</v>
      </c>
      <c r="W168" s="27">
        <v>0</v>
      </c>
      <c r="X168" s="32">
        <v>0</v>
      </c>
      <c r="Y168" s="31">
        <v>0</v>
      </c>
      <c r="Z168" s="27">
        <v>0</v>
      </c>
      <c r="AA168" s="33">
        <v>0</v>
      </c>
      <c r="AB168" s="245"/>
      <c r="AC168" s="245"/>
      <c r="AD168" s="245"/>
      <c r="AE168" s="245"/>
      <c r="AF168" s="245"/>
      <c r="AG168" s="245"/>
      <c r="AH168" s="245"/>
      <c r="AI168" s="245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</row>
    <row r="169" spans="1:121" s="481" customFormat="1" ht="28.5" customHeight="1" thickBot="1">
      <c r="A169" s="487"/>
      <c r="B169" s="472"/>
      <c r="C169" s="472"/>
      <c r="D169" s="309"/>
      <c r="E169" s="1509" t="s">
        <v>81</v>
      </c>
      <c r="F169" s="1509"/>
      <c r="G169" s="1509"/>
      <c r="H169" s="1509"/>
      <c r="I169" s="1510"/>
      <c r="J169" s="311">
        <f aca="true" t="shared" si="27" ref="J169:AA169">SUM(J168:J168)</f>
        <v>202134</v>
      </c>
      <c r="K169" s="311">
        <f t="shared" si="27"/>
        <v>1404</v>
      </c>
      <c r="L169" s="312">
        <f t="shared" si="27"/>
        <v>1790</v>
      </c>
      <c r="M169" s="311">
        <f t="shared" si="27"/>
        <v>11940</v>
      </c>
      <c r="N169" s="313">
        <f t="shared" si="27"/>
        <v>3698</v>
      </c>
      <c r="O169" s="314">
        <f t="shared" si="27"/>
        <v>8242</v>
      </c>
      <c r="P169" s="314">
        <f t="shared" si="27"/>
        <v>0</v>
      </c>
      <c r="Q169" s="312">
        <f t="shared" si="27"/>
        <v>0</v>
      </c>
      <c r="R169" s="315">
        <f t="shared" si="27"/>
        <v>97000</v>
      </c>
      <c r="S169" s="314">
        <f t="shared" si="27"/>
        <v>0</v>
      </c>
      <c r="T169" s="316">
        <f t="shared" si="27"/>
        <v>0</v>
      </c>
      <c r="U169" s="313">
        <f t="shared" si="27"/>
        <v>90000</v>
      </c>
      <c r="V169" s="314">
        <f t="shared" si="27"/>
        <v>0</v>
      </c>
      <c r="W169" s="312">
        <f t="shared" si="27"/>
        <v>0</v>
      </c>
      <c r="X169" s="315">
        <f t="shared" si="27"/>
        <v>0</v>
      </c>
      <c r="Y169" s="314">
        <f t="shared" si="27"/>
        <v>0</v>
      </c>
      <c r="Z169" s="316">
        <f t="shared" si="27"/>
        <v>0</v>
      </c>
      <c r="AA169" s="317">
        <f t="shared" si="27"/>
        <v>0</v>
      </c>
      <c r="AB169" s="245"/>
      <c r="AC169" s="245"/>
      <c r="AD169" s="245"/>
      <c r="AE169" s="245"/>
      <c r="AF169" s="245"/>
      <c r="AG169" s="245"/>
      <c r="AH169" s="245"/>
      <c r="AI169" s="245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</row>
    <row r="170" spans="2:27" ht="28.5" customHeight="1" thickBot="1">
      <c r="B170" s="428"/>
      <c r="C170" s="429"/>
      <c r="D170" s="299" t="s">
        <v>85</v>
      </c>
      <c r="E170" s="299"/>
      <c r="F170" s="286"/>
      <c r="G170" s="286"/>
      <c r="H170" s="430"/>
      <c r="I170" s="286"/>
      <c r="J170" s="983"/>
      <c r="K170" s="977"/>
      <c r="L170" s="977"/>
      <c r="M170" s="298"/>
      <c r="N170" s="298"/>
      <c r="O170" s="978"/>
      <c r="P170" s="851"/>
      <c r="Q170" s="979"/>
      <c r="R170" s="978"/>
      <c r="S170" s="980"/>
      <c r="T170" s="981"/>
      <c r="U170" s="982"/>
      <c r="V170" s="980"/>
      <c r="W170" s="981"/>
      <c r="X170" s="982"/>
      <c r="Y170" s="980"/>
      <c r="Z170" s="981"/>
      <c r="AA170" s="979"/>
    </row>
    <row r="171" spans="1:121" s="481" customFormat="1" ht="28.5" customHeight="1">
      <c r="A171" s="573">
        <v>230</v>
      </c>
      <c r="B171" s="574">
        <v>3392</v>
      </c>
      <c r="C171" s="575">
        <v>6121</v>
      </c>
      <c r="D171" s="325">
        <v>8202</v>
      </c>
      <c r="E171" s="519" t="s">
        <v>358</v>
      </c>
      <c r="F171" s="165" t="s">
        <v>261</v>
      </c>
      <c r="G171" s="157">
        <v>400</v>
      </c>
      <c r="H171" s="157">
        <v>2016</v>
      </c>
      <c r="I171" s="166">
        <v>2020</v>
      </c>
      <c r="J171" s="158">
        <f>K171+L171+M171+SUM(R171:AA171)</f>
        <v>21014</v>
      </c>
      <c r="K171" s="159">
        <v>94</v>
      </c>
      <c r="L171" s="160">
        <v>920</v>
      </c>
      <c r="M171" s="135">
        <f>N171+O171+P171+Q171</f>
        <v>0</v>
      </c>
      <c r="N171" s="161">
        <v>0</v>
      </c>
      <c r="O171" s="1353">
        <f>10000-9000-1000</f>
        <v>0</v>
      </c>
      <c r="P171" s="162">
        <v>0</v>
      </c>
      <c r="Q171" s="160">
        <v>0</v>
      </c>
      <c r="R171" s="163">
        <f>10000+9000+1000</f>
        <v>20000</v>
      </c>
      <c r="S171" s="162">
        <v>0</v>
      </c>
      <c r="T171" s="160">
        <v>0</v>
      </c>
      <c r="U171" s="163">
        <v>0</v>
      </c>
      <c r="V171" s="162">
        <v>0</v>
      </c>
      <c r="W171" s="160">
        <v>0</v>
      </c>
      <c r="X171" s="163">
        <v>0</v>
      </c>
      <c r="Y171" s="162">
        <v>0</v>
      </c>
      <c r="Z171" s="160">
        <v>0</v>
      </c>
      <c r="AA171" s="164">
        <v>0</v>
      </c>
      <c r="AB171" s="245"/>
      <c r="AC171" s="245"/>
      <c r="AD171" s="245"/>
      <c r="AE171" s="245"/>
      <c r="AF171" s="245"/>
      <c r="AG171" s="245"/>
      <c r="AH171" s="245"/>
      <c r="AI171" s="245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</row>
    <row r="172" spans="1:121" s="481" customFormat="1" ht="27.75" customHeight="1">
      <c r="A172" s="199">
        <v>160</v>
      </c>
      <c r="B172" s="489">
        <v>3392</v>
      </c>
      <c r="C172" s="490">
        <v>6313</v>
      </c>
      <c r="D172" s="344">
        <v>4258</v>
      </c>
      <c r="E172" s="576" t="s">
        <v>432</v>
      </c>
      <c r="F172" s="577" t="s">
        <v>286</v>
      </c>
      <c r="G172" s="578">
        <v>470</v>
      </c>
      <c r="H172" s="67">
        <v>2013</v>
      </c>
      <c r="I172" s="68">
        <v>2021</v>
      </c>
      <c r="J172" s="53">
        <f>K172+L172+M172+SUM(R172:AA172)</f>
        <v>314000</v>
      </c>
      <c r="K172" s="1024">
        <v>0</v>
      </c>
      <c r="L172" s="1025">
        <v>0</v>
      </c>
      <c r="M172" s="56">
        <f>N172+O172+P172+Q172</f>
        <v>50000</v>
      </c>
      <c r="N172" s="1026">
        <v>0</v>
      </c>
      <c r="O172" s="65">
        <v>10000</v>
      </c>
      <c r="P172" s="58">
        <v>0</v>
      </c>
      <c r="Q172" s="1316">
        <v>40000</v>
      </c>
      <c r="R172" s="59">
        <v>240000</v>
      </c>
      <c r="S172" s="58">
        <v>0</v>
      </c>
      <c r="T172" s="55">
        <v>0</v>
      </c>
      <c r="U172" s="59">
        <v>24000</v>
      </c>
      <c r="V172" s="1027">
        <v>0</v>
      </c>
      <c r="W172" s="1025">
        <v>0</v>
      </c>
      <c r="X172" s="1028">
        <v>0</v>
      </c>
      <c r="Y172" s="1027">
        <v>0</v>
      </c>
      <c r="Z172" s="1029">
        <v>0</v>
      </c>
      <c r="AA172" s="1022">
        <v>0</v>
      </c>
      <c r="AB172" s="245"/>
      <c r="AC172" s="245"/>
      <c r="AD172" s="245"/>
      <c r="AE172" s="245"/>
      <c r="AF172" s="245"/>
      <c r="AG172" s="245"/>
      <c r="AH172" s="245"/>
      <c r="AI172" s="245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</row>
    <row r="173" spans="1:121" s="481" customFormat="1" ht="28.5" customHeight="1" thickBot="1">
      <c r="A173" s="199">
        <v>160</v>
      </c>
      <c r="B173" s="489">
        <v>3392</v>
      </c>
      <c r="C173" s="490">
        <v>6313</v>
      </c>
      <c r="D173" s="516">
        <v>4258</v>
      </c>
      <c r="E173" s="579" t="s">
        <v>433</v>
      </c>
      <c r="F173" s="580" t="s">
        <v>286</v>
      </c>
      <c r="G173" s="581">
        <v>470</v>
      </c>
      <c r="H173" s="581">
        <v>2019</v>
      </c>
      <c r="I173" s="582">
        <v>2021</v>
      </c>
      <c r="J173" s="72">
        <f>K173+L173+M173+SUM(R173:AA173)</f>
        <v>20000</v>
      </c>
      <c r="K173" s="1030">
        <v>0</v>
      </c>
      <c r="L173" s="1031">
        <v>0</v>
      </c>
      <c r="M173" s="75">
        <f>N173+O173+P173+Q173</f>
        <v>0</v>
      </c>
      <c r="N173" s="1032">
        <v>0</v>
      </c>
      <c r="O173" s="77">
        <v>0</v>
      </c>
      <c r="P173" s="78">
        <v>0</v>
      </c>
      <c r="Q173" s="74">
        <v>0</v>
      </c>
      <c r="R173" s="79">
        <v>20000</v>
      </c>
      <c r="S173" s="78">
        <v>0</v>
      </c>
      <c r="T173" s="74">
        <v>0</v>
      </c>
      <c r="U173" s="79">
        <v>0</v>
      </c>
      <c r="V173" s="1033">
        <v>0</v>
      </c>
      <c r="W173" s="1031">
        <v>0</v>
      </c>
      <c r="X173" s="1034">
        <v>0</v>
      </c>
      <c r="Y173" s="1033">
        <v>0</v>
      </c>
      <c r="Z173" s="1035">
        <v>0</v>
      </c>
      <c r="AA173" s="1036">
        <v>0</v>
      </c>
      <c r="AB173" s="245"/>
      <c r="AC173" s="245"/>
      <c r="AD173" s="245"/>
      <c r="AE173" s="245"/>
      <c r="AF173" s="245"/>
      <c r="AG173" s="245"/>
      <c r="AH173" s="245"/>
      <c r="AI173" s="245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</row>
    <row r="174" spans="1:121" s="481" customFormat="1" ht="28.5" customHeight="1" thickBot="1">
      <c r="A174" s="487"/>
      <c r="B174" s="472"/>
      <c r="C174" s="472"/>
      <c r="D174" s="309"/>
      <c r="E174" s="1509" t="s">
        <v>83</v>
      </c>
      <c r="F174" s="1509"/>
      <c r="G174" s="1509"/>
      <c r="H174" s="1509"/>
      <c r="I174" s="1510"/>
      <c r="J174" s="311">
        <f aca="true" t="shared" si="28" ref="J174:AA174">SUM(J171:J173)</f>
        <v>355014</v>
      </c>
      <c r="K174" s="984">
        <f t="shared" si="28"/>
        <v>94</v>
      </c>
      <c r="L174" s="1039">
        <f t="shared" si="28"/>
        <v>920</v>
      </c>
      <c r="M174" s="311">
        <f t="shared" si="28"/>
        <v>50000</v>
      </c>
      <c r="N174" s="984">
        <f t="shared" si="28"/>
        <v>0</v>
      </c>
      <c r="O174" s="1039">
        <f t="shared" si="28"/>
        <v>10000</v>
      </c>
      <c r="P174" s="984">
        <f t="shared" si="28"/>
        <v>0</v>
      </c>
      <c r="Q174" s="1039">
        <f t="shared" si="28"/>
        <v>40000</v>
      </c>
      <c r="R174" s="311">
        <f t="shared" si="28"/>
        <v>280000</v>
      </c>
      <c r="S174" s="984">
        <f t="shared" si="28"/>
        <v>0</v>
      </c>
      <c r="T174" s="1039">
        <f t="shared" si="28"/>
        <v>0</v>
      </c>
      <c r="U174" s="311">
        <f t="shared" si="28"/>
        <v>24000</v>
      </c>
      <c r="V174" s="984">
        <f t="shared" si="28"/>
        <v>0</v>
      </c>
      <c r="W174" s="1039">
        <f t="shared" si="28"/>
        <v>0</v>
      </c>
      <c r="X174" s="311">
        <f t="shared" si="28"/>
        <v>0</v>
      </c>
      <c r="Y174" s="984">
        <f t="shared" si="28"/>
        <v>0</v>
      </c>
      <c r="Z174" s="985">
        <f t="shared" si="28"/>
        <v>0</v>
      </c>
      <c r="AA174" s="1038">
        <f t="shared" si="28"/>
        <v>0</v>
      </c>
      <c r="AB174" s="245"/>
      <c r="AC174" s="245"/>
      <c r="AD174" s="245"/>
      <c r="AE174" s="245"/>
      <c r="AF174" s="245"/>
      <c r="AG174" s="245"/>
      <c r="AH174" s="245"/>
      <c r="AI174" s="245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</row>
    <row r="175" spans="2:27" ht="28.5" customHeight="1" thickBot="1">
      <c r="B175" s="297"/>
      <c r="C175" s="298"/>
      <c r="D175" s="299" t="s">
        <v>359</v>
      </c>
      <c r="E175" s="299"/>
      <c r="F175" s="286"/>
      <c r="G175" s="286"/>
      <c r="H175" s="430"/>
      <c r="I175" s="286"/>
      <c r="J175" s="983"/>
      <c r="K175" s="977"/>
      <c r="L175" s="977"/>
      <c r="M175" s="298"/>
      <c r="N175" s="298"/>
      <c r="O175" s="978"/>
      <c r="P175" s="851"/>
      <c r="Q175" s="979"/>
      <c r="R175" s="978"/>
      <c r="S175" s="980"/>
      <c r="T175" s="981"/>
      <c r="U175" s="982"/>
      <c r="V175" s="980"/>
      <c r="W175" s="981"/>
      <c r="X175" s="982"/>
      <c r="Y175" s="980"/>
      <c r="Z175" s="981"/>
      <c r="AA175" s="990"/>
    </row>
    <row r="176" spans="1:121" s="481" customFormat="1" ht="28.5" customHeight="1">
      <c r="A176" s="431">
        <v>230</v>
      </c>
      <c r="B176" s="342">
        <v>3412</v>
      </c>
      <c r="C176" s="343">
        <v>6121</v>
      </c>
      <c r="D176" s="325">
        <v>6325</v>
      </c>
      <c r="E176" s="583" t="s">
        <v>54</v>
      </c>
      <c r="F176" s="34" t="s">
        <v>255</v>
      </c>
      <c r="G176" s="35">
        <v>400</v>
      </c>
      <c r="H176" s="35">
        <v>2018</v>
      </c>
      <c r="I176" s="153">
        <v>2021</v>
      </c>
      <c r="J176" s="37">
        <f aca="true" t="shared" si="29" ref="J176:J182">K176+L176+M176+SUM(R176:AA176)</f>
        <v>75300</v>
      </c>
      <c r="K176" s="38">
        <v>0</v>
      </c>
      <c r="L176" s="128">
        <v>322</v>
      </c>
      <c r="M176" s="97">
        <f aca="true" t="shared" si="30" ref="M176:M189">N176+O176+P176+Q176</f>
        <v>1898</v>
      </c>
      <c r="N176" s="41">
        <v>398</v>
      </c>
      <c r="O176" s="85">
        <v>1500</v>
      </c>
      <c r="P176" s="42">
        <v>0</v>
      </c>
      <c r="Q176" s="39">
        <v>0</v>
      </c>
      <c r="R176" s="114">
        <v>30000</v>
      </c>
      <c r="S176" s="42">
        <v>0</v>
      </c>
      <c r="T176" s="39">
        <v>0</v>
      </c>
      <c r="U176" s="43">
        <v>43080</v>
      </c>
      <c r="V176" s="42">
        <v>0</v>
      </c>
      <c r="W176" s="39">
        <v>0</v>
      </c>
      <c r="X176" s="43">
        <v>0</v>
      </c>
      <c r="Y176" s="42">
        <v>0</v>
      </c>
      <c r="Z176" s="39">
        <v>0</v>
      </c>
      <c r="AA176" s="44">
        <v>0</v>
      </c>
      <c r="AB176" s="245"/>
      <c r="AC176" s="245"/>
      <c r="AD176" s="245"/>
      <c r="AE176" s="245"/>
      <c r="AF176" s="245"/>
      <c r="AG176" s="245"/>
      <c r="AH176" s="245"/>
      <c r="AI176" s="245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</row>
    <row r="177" spans="1:121" s="481" customFormat="1" ht="28.5" customHeight="1">
      <c r="A177" s="431">
        <v>230</v>
      </c>
      <c r="B177" s="342">
        <v>3412</v>
      </c>
      <c r="C177" s="343">
        <v>6121</v>
      </c>
      <c r="D177" s="344">
        <v>8194</v>
      </c>
      <c r="E177" s="584" t="s">
        <v>55</v>
      </c>
      <c r="F177" s="66" t="s">
        <v>286</v>
      </c>
      <c r="G177" s="67">
        <v>400</v>
      </c>
      <c r="H177" s="67">
        <v>2017</v>
      </c>
      <c r="I177" s="155">
        <v>2020</v>
      </c>
      <c r="J177" s="53">
        <f t="shared" si="29"/>
        <v>26947</v>
      </c>
      <c r="K177" s="54">
        <v>187</v>
      </c>
      <c r="L177" s="91">
        <v>660</v>
      </c>
      <c r="M177" s="56">
        <f t="shared" si="30"/>
        <v>3100</v>
      </c>
      <c r="N177" s="57">
        <v>1100</v>
      </c>
      <c r="O177" s="65">
        <f>5000-3000</f>
        <v>2000</v>
      </c>
      <c r="P177" s="58">
        <v>0</v>
      </c>
      <c r="Q177" s="55">
        <v>0</v>
      </c>
      <c r="R177" s="92">
        <f>20000+3000</f>
        <v>23000</v>
      </c>
      <c r="S177" s="58">
        <v>0</v>
      </c>
      <c r="T177" s="55">
        <v>0</v>
      </c>
      <c r="U177" s="59">
        <v>0</v>
      </c>
      <c r="V177" s="58">
        <v>0</v>
      </c>
      <c r="W177" s="55">
        <v>0</v>
      </c>
      <c r="X177" s="59">
        <v>0</v>
      </c>
      <c r="Y177" s="58">
        <v>0</v>
      </c>
      <c r="Z177" s="55">
        <v>0</v>
      </c>
      <c r="AA177" s="60">
        <v>0</v>
      </c>
      <c r="AB177" s="245"/>
      <c r="AC177" s="245"/>
      <c r="AD177" s="245"/>
      <c r="AE177" s="245"/>
      <c r="AF177" s="245"/>
      <c r="AG177" s="245"/>
      <c r="AH177" s="245"/>
      <c r="AI177" s="245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</row>
    <row r="178" spans="1:121" s="481" customFormat="1" ht="28.5" customHeight="1">
      <c r="A178" s="431">
        <v>230</v>
      </c>
      <c r="B178" s="574">
        <v>3412</v>
      </c>
      <c r="C178" s="575">
        <v>6121</v>
      </c>
      <c r="D178" s="1276">
        <v>8200</v>
      </c>
      <c r="E178" s="1277" t="s">
        <v>56</v>
      </c>
      <c r="F178" s="66" t="s">
        <v>255</v>
      </c>
      <c r="G178" s="67">
        <v>400</v>
      </c>
      <c r="H178" s="67">
        <v>2016</v>
      </c>
      <c r="I178" s="155">
        <v>2019</v>
      </c>
      <c r="J178" s="53">
        <f t="shared" si="29"/>
        <v>45469</v>
      </c>
      <c r="K178" s="54">
        <v>869</v>
      </c>
      <c r="L178" s="91">
        <v>3486</v>
      </c>
      <c r="M178" s="56">
        <f t="shared" si="30"/>
        <v>36114</v>
      </c>
      <c r="N178" s="57">
        <v>15114</v>
      </c>
      <c r="O178" s="65">
        <f>26000-5000</f>
        <v>21000</v>
      </c>
      <c r="P178" s="58">
        <v>0</v>
      </c>
      <c r="Q178" s="55">
        <v>0</v>
      </c>
      <c r="R178" s="92">
        <v>5000</v>
      </c>
      <c r="S178" s="58">
        <v>0</v>
      </c>
      <c r="T178" s="55">
        <v>0</v>
      </c>
      <c r="U178" s="59">
        <v>0</v>
      </c>
      <c r="V178" s="58">
        <v>0</v>
      </c>
      <c r="W178" s="55">
        <v>0</v>
      </c>
      <c r="X178" s="59">
        <v>0</v>
      </c>
      <c r="Y178" s="58">
        <v>0</v>
      </c>
      <c r="Z178" s="55">
        <v>0</v>
      </c>
      <c r="AA178" s="60">
        <v>0</v>
      </c>
      <c r="AB178" s="245"/>
      <c r="AC178" s="245"/>
      <c r="AD178" s="245"/>
      <c r="AE178" s="245"/>
      <c r="AF178" s="245"/>
      <c r="AG178" s="245"/>
      <c r="AH178" s="245"/>
      <c r="AI178" s="245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</row>
    <row r="179" spans="1:121" s="481" customFormat="1" ht="28.5" customHeight="1">
      <c r="A179" s="431">
        <v>230</v>
      </c>
      <c r="B179" s="454">
        <v>3412</v>
      </c>
      <c r="C179" s="455">
        <v>6121</v>
      </c>
      <c r="D179" s="746">
        <v>8229</v>
      </c>
      <c r="E179" s="1275" t="s">
        <v>57</v>
      </c>
      <c r="F179" s="66" t="s">
        <v>239</v>
      </c>
      <c r="G179" s="67">
        <v>400</v>
      </c>
      <c r="H179" s="67">
        <v>2019</v>
      </c>
      <c r="I179" s="155">
        <v>2019</v>
      </c>
      <c r="J179" s="53">
        <f t="shared" si="29"/>
        <v>0</v>
      </c>
      <c r="K179" s="54">
        <v>0</v>
      </c>
      <c r="L179" s="91">
        <v>0</v>
      </c>
      <c r="M179" s="56">
        <f t="shared" si="30"/>
        <v>0</v>
      </c>
      <c r="N179" s="57">
        <v>0</v>
      </c>
      <c r="O179" s="65">
        <f>4500-4500</f>
        <v>0</v>
      </c>
      <c r="P179" s="58">
        <v>0</v>
      </c>
      <c r="Q179" s="55">
        <v>0</v>
      </c>
      <c r="R179" s="59">
        <v>0</v>
      </c>
      <c r="S179" s="58">
        <v>0</v>
      </c>
      <c r="T179" s="55">
        <v>0</v>
      </c>
      <c r="U179" s="59">
        <v>0</v>
      </c>
      <c r="V179" s="58">
        <v>0</v>
      </c>
      <c r="W179" s="55">
        <v>0</v>
      </c>
      <c r="X179" s="59">
        <v>0</v>
      </c>
      <c r="Y179" s="58">
        <v>0</v>
      </c>
      <c r="Z179" s="55">
        <v>0</v>
      </c>
      <c r="AA179" s="60">
        <v>0</v>
      </c>
      <c r="AB179" s="245"/>
      <c r="AC179" s="245"/>
      <c r="AD179" s="245"/>
      <c r="AE179" s="245"/>
      <c r="AF179" s="245"/>
      <c r="AG179" s="245"/>
      <c r="AH179" s="245"/>
      <c r="AI179" s="245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</row>
    <row r="180" spans="1:35" s="8" customFormat="1" ht="28.5" customHeight="1">
      <c r="A180" s="449">
        <v>161</v>
      </c>
      <c r="B180" s="585">
        <v>3412</v>
      </c>
      <c r="C180" s="586">
        <v>6121</v>
      </c>
      <c r="D180" s="460">
        <v>4261</v>
      </c>
      <c r="E180" s="587" t="s">
        <v>519</v>
      </c>
      <c r="F180" s="172" t="s">
        <v>254</v>
      </c>
      <c r="G180" s="86">
        <v>455</v>
      </c>
      <c r="H180" s="86">
        <v>2018</v>
      </c>
      <c r="I180" s="87">
        <v>2019</v>
      </c>
      <c r="J180" s="53">
        <f t="shared" si="29"/>
        <v>260445</v>
      </c>
      <c r="K180" s="54">
        <v>0</v>
      </c>
      <c r="L180" s="91">
        <v>50000</v>
      </c>
      <c r="M180" s="56">
        <f t="shared" si="30"/>
        <v>210445</v>
      </c>
      <c r="N180" s="57">
        <v>0</v>
      </c>
      <c r="O180" s="65">
        <f>140445</f>
        <v>140445</v>
      </c>
      <c r="P180" s="58">
        <v>70000</v>
      </c>
      <c r="Q180" s="55">
        <v>0</v>
      </c>
      <c r="R180" s="59">
        <v>0</v>
      </c>
      <c r="S180" s="58">
        <v>0</v>
      </c>
      <c r="T180" s="55">
        <v>0</v>
      </c>
      <c r="U180" s="59">
        <v>0</v>
      </c>
      <c r="V180" s="58">
        <v>0</v>
      </c>
      <c r="W180" s="55">
        <v>0</v>
      </c>
      <c r="X180" s="59">
        <v>0</v>
      </c>
      <c r="Y180" s="58">
        <v>0</v>
      </c>
      <c r="Z180" s="55">
        <v>0</v>
      </c>
      <c r="AA180" s="60">
        <v>0</v>
      </c>
      <c r="AB180" s="245"/>
      <c r="AC180" s="245"/>
      <c r="AD180" s="245"/>
      <c r="AE180" s="245"/>
      <c r="AF180" s="245"/>
      <c r="AG180" s="245"/>
      <c r="AH180" s="245"/>
      <c r="AI180" s="245"/>
    </row>
    <row r="181" spans="1:35" s="8" customFormat="1" ht="28.5" customHeight="1">
      <c r="A181" s="449">
        <v>161</v>
      </c>
      <c r="B181" s="585">
        <v>3412</v>
      </c>
      <c r="C181" s="586">
        <v>6121</v>
      </c>
      <c r="D181" s="460">
        <v>4261</v>
      </c>
      <c r="E181" s="587" t="s">
        <v>520</v>
      </c>
      <c r="F181" s="588" t="s">
        <v>501</v>
      </c>
      <c r="G181" s="86">
        <v>455</v>
      </c>
      <c r="H181" s="567">
        <v>2018</v>
      </c>
      <c r="I181" s="589">
        <v>2019</v>
      </c>
      <c r="J181" s="53">
        <f t="shared" si="29"/>
        <v>19268</v>
      </c>
      <c r="K181" s="54">
        <v>0</v>
      </c>
      <c r="L181" s="91">
        <v>7500</v>
      </c>
      <c r="M181" s="56">
        <f t="shared" si="30"/>
        <v>11768</v>
      </c>
      <c r="N181" s="57">
        <v>0</v>
      </c>
      <c r="O181" s="65">
        <v>11768</v>
      </c>
      <c r="P181" s="58">
        <v>0</v>
      </c>
      <c r="Q181" s="55">
        <v>0</v>
      </c>
      <c r="R181" s="59">
        <v>0</v>
      </c>
      <c r="S181" s="58">
        <v>0</v>
      </c>
      <c r="T181" s="55">
        <v>0</v>
      </c>
      <c r="U181" s="59">
        <v>0</v>
      </c>
      <c r="V181" s="58">
        <v>0</v>
      </c>
      <c r="W181" s="55">
        <v>0</v>
      </c>
      <c r="X181" s="59">
        <v>0</v>
      </c>
      <c r="Y181" s="58">
        <v>0</v>
      </c>
      <c r="Z181" s="55">
        <v>0</v>
      </c>
      <c r="AA181" s="60">
        <v>0</v>
      </c>
      <c r="AB181" s="245"/>
      <c r="AC181" s="245"/>
      <c r="AD181" s="245"/>
      <c r="AE181" s="245"/>
      <c r="AF181" s="245"/>
      <c r="AG181" s="245"/>
      <c r="AH181" s="245"/>
      <c r="AI181" s="245"/>
    </row>
    <row r="182" spans="1:35" s="8" customFormat="1" ht="31.5" customHeight="1">
      <c r="A182" s="449">
        <v>161</v>
      </c>
      <c r="B182" s="585">
        <v>3412</v>
      </c>
      <c r="C182" s="586">
        <v>6121</v>
      </c>
      <c r="D182" s="330">
        <v>4261</v>
      </c>
      <c r="E182" s="206" t="s">
        <v>577</v>
      </c>
      <c r="F182" s="588" t="s">
        <v>266</v>
      </c>
      <c r="G182" s="332">
        <v>455</v>
      </c>
      <c r="H182" s="567">
        <v>2018</v>
      </c>
      <c r="I182" s="589">
        <v>2019</v>
      </c>
      <c r="J182" s="53">
        <f t="shared" si="29"/>
        <v>18000</v>
      </c>
      <c r="K182" s="54">
        <v>0</v>
      </c>
      <c r="L182" s="91">
        <v>16033</v>
      </c>
      <c r="M182" s="56">
        <f t="shared" si="30"/>
        <v>1967</v>
      </c>
      <c r="N182" s="57">
        <v>1967</v>
      </c>
      <c r="O182" s="65">
        <v>0</v>
      </c>
      <c r="P182" s="54">
        <v>0</v>
      </c>
      <c r="Q182" s="173">
        <v>0</v>
      </c>
      <c r="R182" s="140">
        <v>0</v>
      </c>
      <c r="S182" s="58">
        <v>0</v>
      </c>
      <c r="T182" s="47">
        <v>0</v>
      </c>
      <c r="U182" s="221">
        <v>0</v>
      </c>
      <c r="V182" s="50">
        <v>0</v>
      </c>
      <c r="W182" s="141">
        <v>0</v>
      </c>
      <c r="X182" s="51">
        <v>0</v>
      </c>
      <c r="Y182" s="50">
        <v>0</v>
      </c>
      <c r="Z182" s="47">
        <v>0</v>
      </c>
      <c r="AA182" s="52">
        <v>0</v>
      </c>
      <c r="AB182" s="245"/>
      <c r="AC182" s="245"/>
      <c r="AD182" s="245"/>
      <c r="AE182" s="245"/>
      <c r="AF182" s="245"/>
      <c r="AG182" s="245"/>
      <c r="AH182" s="245"/>
      <c r="AI182" s="245"/>
    </row>
    <row r="183" spans="1:121" s="11" customFormat="1" ht="28.5" customHeight="1">
      <c r="A183" s="468">
        <v>161</v>
      </c>
      <c r="B183" s="590">
        <v>3412</v>
      </c>
      <c r="C183" s="470">
        <v>6121</v>
      </c>
      <c r="D183" s="1288">
        <v>4262</v>
      </c>
      <c r="E183" s="206" t="s">
        <v>429</v>
      </c>
      <c r="F183" s="565" t="s">
        <v>286</v>
      </c>
      <c r="G183" s="566">
        <v>412</v>
      </c>
      <c r="H183" s="566">
        <v>2019</v>
      </c>
      <c r="I183" s="592">
        <v>2020</v>
      </c>
      <c r="J183" s="353">
        <f aca="true" t="shared" si="31" ref="J183:J189">K183+L183+M183+SUM(R183:AE183)</f>
        <v>153400</v>
      </c>
      <c r="K183" s="354">
        <v>0</v>
      </c>
      <c r="L183" s="388">
        <v>0</v>
      </c>
      <c r="M183" s="356">
        <f t="shared" si="30"/>
        <v>0</v>
      </c>
      <c r="N183" s="357">
        <v>0</v>
      </c>
      <c r="O183" s="358">
        <f>56700-30000-26700</f>
        <v>0</v>
      </c>
      <c r="P183" s="354">
        <v>0</v>
      </c>
      <c r="Q183" s="593">
        <v>0</v>
      </c>
      <c r="R183" s="594">
        <f>126700-O183</f>
        <v>126700</v>
      </c>
      <c r="S183" s="390">
        <v>0</v>
      </c>
      <c r="T183" s="373">
        <v>0</v>
      </c>
      <c r="U183" s="361">
        <v>26700</v>
      </c>
      <c r="V183" s="377">
        <v>0</v>
      </c>
      <c r="W183" s="413">
        <v>0</v>
      </c>
      <c r="X183" s="378">
        <v>0</v>
      </c>
      <c r="Y183" s="377">
        <v>0</v>
      </c>
      <c r="Z183" s="373">
        <v>0</v>
      </c>
      <c r="AA183" s="379">
        <v>0</v>
      </c>
      <c r="AB183" s="595"/>
      <c r="AC183" s="595"/>
      <c r="AD183" s="595"/>
      <c r="AE183" s="595"/>
      <c r="AF183" s="595"/>
      <c r="AG183" s="595"/>
      <c r="AH183" s="595"/>
      <c r="AI183" s="595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</row>
    <row r="184" spans="1:121" s="481" customFormat="1" ht="43.5" customHeight="1">
      <c r="A184" s="596">
        <v>161</v>
      </c>
      <c r="B184" s="597">
        <v>3412</v>
      </c>
      <c r="C184" s="598">
        <v>6121</v>
      </c>
      <c r="D184" s="460">
        <v>4262</v>
      </c>
      <c r="E184" s="587" t="s">
        <v>186</v>
      </c>
      <c r="F184" s="599" t="s">
        <v>286</v>
      </c>
      <c r="G184" s="561">
        <v>412</v>
      </c>
      <c r="H184" s="561">
        <v>2019</v>
      </c>
      <c r="I184" s="600">
        <v>2019</v>
      </c>
      <c r="J184" s="353">
        <f t="shared" si="31"/>
        <v>43000</v>
      </c>
      <c r="K184" s="354">
        <v>0</v>
      </c>
      <c r="L184" s="91">
        <v>0</v>
      </c>
      <c r="M184" s="374">
        <f t="shared" si="30"/>
        <v>43000</v>
      </c>
      <c r="N184" s="357">
        <v>0</v>
      </c>
      <c r="O184" s="358">
        <f>38000-38000+14304-481</f>
        <v>13823</v>
      </c>
      <c r="P184" s="390">
        <v>9000</v>
      </c>
      <c r="Q184" s="1318">
        <f>34000-14304+481</f>
        <v>20177</v>
      </c>
      <c r="R184" s="601">
        <v>0</v>
      </c>
      <c r="S184" s="390">
        <v>0</v>
      </c>
      <c r="T184" s="373">
        <v>0</v>
      </c>
      <c r="U184" s="361">
        <v>0</v>
      </c>
      <c r="V184" s="377">
        <v>0</v>
      </c>
      <c r="W184" s="413">
        <v>0</v>
      </c>
      <c r="X184" s="378">
        <v>0</v>
      </c>
      <c r="Y184" s="377">
        <v>0</v>
      </c>
      <c r="Z184" s="373">
        <v>0</v>
      </c>
      <c r="AA184" s="379">
        <v>0</v>
      </c>
      <c r="AB184" s="245"/>
      <c r="AC184" s="245"/>
      <c r="AD184" s="245"/>
      <c r="AE184" s="245"/>
      <c r="AF184" s="245"/>
      <c r="AG184" s="245"/>
      <c r="AH184" s="245"/>
      <c r="AI184" s="245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</row>
    <row r="185" spans="1:121" s="481" customFormat="1" ht="40.5" customHeight="1">
      <c r="A185" s="596">
        <v>161</v>
      </c>
      <c r="B185" s="597">
        <v>3412</v>
      </c>
      <c r="C185" s="598">
        <v>6121</v>
      </c>
      <c r="D185" s="460">
        <v>4262</v>
      </c>
      <c r="E185" s="587" t="s">
        <v>187</v>
      </c>
      <c r="F185" s="602" t="s">
        <v>248</v>
      </c>
      <c r="G185" s="603">
        <v>412</v>
      </c>
      <c r="H185" s="603">
        <v>2019</v>
      </c>
      <c r="I185" s="604">
        <v>2019</v>
      </c>
      <c r="J185" s="605">
        <f t="shared" si="31"/>
        <v>16000</v>
      </c>
      <c r="K185" s="606">
        <v>0</v>
      </c>
      <c r="L185" s="189">
        <v>0</v>
      </c>
      <c r="M185" s="1037">
        <f t="shared" si="30"/>
        <v>16000</v>
      </c>
      <c r="N185" s="607">
        <v>0</v>
      </c>
      <c r="O185" s="1354">
        <f>14000-14000</f>
        <v>0</v>
      </c>
      <c r="P185" s="359">
        <v>5000</v>
      </c>
      <c r="Q185" s="1334">
        <v>11000</v>
      </c>
      <c r="R185" s="608">
        <v>0</v>
      </c>
      <c r="S185" s="359">
        <v>0</v>
      </c>
      <c r="T185" s="609">
        <v>0</v>
      </c>
      <c r="U185" s="610">
        <v>0</v>
      </c>
      <c r="V185" s="611">
        <v>0</v>
      </c>
      <c r="W185" s="612">
        <v>0</v>
      </c>
      <c r="X185" s="613">
        <v>0</v>
      </c>
      <c r="Y185" s="611">
        <v>0</v>
      </c>
      <c r="Z185" s="609">
        <v>0</v>
      </c>
      <c r="AA185" s="379">
        <v>0</v>
      </c>
      <c r="AB185" s="245"/>
      <c r="AC185" s="245"/>
      <c r="AD185" s="245"/>
      <c r="AE185" s="245"/>
      <c r="AF185" s="245"/>
      <c r="AG185" s="245"/>
      <c r="AH185" s="245"/>
      <c r="AI185" s="245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</row>
    <row r="186" spans="1:121" s="481" customFormat="1" ht="45" customHeight="1">
      <c r="A186" s="464">
        <v>161</v>
      </c>
      <c r="B186" s="614">
        <v>3412</v>
      </c>
      <c r="C186" s="558">
        <v>6121</v>
      </c>
      <c r="D186" s="1289">
        <v>4262</v>
      </c>
      <c r="E186" s="587" t="s">
        <v>188</v>
      </c>
      <c r="F186" s="599" t="s">
        <v>248</v>
      </c>
      <c r="G186" s="561">
        <v>412</v>
      </c>
      <c r="H186" s="561">
        <v>2020</v>
      </c>
      <c r="I186" s="600">
        <v>2020</v>
      </c>
      <c r="J186" s="353">
        <f t="shared" si="31"/>
        <v>20000</v>
      </c>
      <c r="K186" s="354">
        <v>0</v>
      </c>
      <c r="L186" s="91">
        <v>0</v>
      </c>
      <c r="M186" s="356">
        <f>N186+O186+P186+Q186</f>
        <v>0</v>
      </c>
      <c r="N186" s="357">
        <v>0</v>
      </c>
      <c r="O186" s="358">
        <v>0</v>
      </c>
      <c r="P186" s="354">
        <v>0</v>
      </c>
      <c r="Q186" s="593">
        <v>0</v>
      </c>
      <c r="R186" s="601">
        <v>16000</v>
      </c>
      <c r="S186" s="390">
        <v>4000</v>
      </c>
      <c r="T186" s="355">
        <v>0</v>
      </c>
      <c r="U186" s="392">
        <v>0</v>
      </c>
      <c r="V186" s="390">
        <v>0</v>
      </c>
      <c r="W186" s="388">
        <v>0</v>
      </c>
      <c r="X186" s="391">
        <v>0</v>
      </c>
      <c r="Y186" s="390">
        <v>0</v>
      </c>
      <c r="Z186" s="355">
        <v>0</v>
      </c>
      <c r="AA186" s="353">
        <v>0</v>
      </c>
      <c r="AB186" s="245"/>
      <c r="AC186" s="245"/>
      <c r="AD186" s="245"/>
      <c r="AE186" s="245"/>
      <c r="AF186" s="245"/>
      <c r="AG186" s="245"/>
      <c r="AH186" s="245"/>
      <c r="AI186" s="245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</row>
    <row r="187" spans="1:121" s="481" customFormat="1" ht="28.5" customHeight="1">
      <c r="A187" s="464">
        <v>230</v>
      </c>
      <c r="B187" s="614">
        <v>3412</v>
      </c>
      <c r="C187" s="558">
        <v>6121</v>
      </c>
      <c r="D187" s="591"/>
      <c r="E187" s="206" t="s">
        <v>523</v>
      </c>
      <c r="F187" s="599" t="s">
        <v>275</v>
      </c>
      <c r="G187" s="561">
        <v>400</v>
      </c>
      <c r="H187" s="561">
        <v>2018</v>
      </c>
      <c r="I187" s="615">
        <v>2019</v>
      </c>
      <c r="J187" s="353">
        <f t="shared" si="31"/>
        <v>70000</v>
      </c>
      <c r="K187" s="354">
        <v>0</v>
      </c>
      <c r="L187" s="91">
        <v>0</v>
      </c>
      <c r="M187" s="356">
        <f t="shared" si="30"/>
        <v>2000</v>
      </c>
      <c r="N187" s="357">
        <v>0</v>
      </c>
      <c r="O187" s="358">
        <f>3000-1000</f>
        <v>2000</v>
      </c>
      <c r="P187" s="354">
        <v>0</v>
      </c>
      <c r="Q187" s="593">
        <v>0</v>
      </c>
      <c r="R187" s="601">
        <f>35000-15000</f>
        <v>20000</v>
      </c>
      <c r="S187" s="390">
        <v>0</v>
      </c>
      <c r="T187" s="355">
        <v>0</v>
      </c>
      <c r="U187" s="392">
        <f>32000+1000</f>
        <v>33000</v>
      </c>
      <c r="V187" s="390">
        <v>0</v>
      </c>
      <c r="W187" s="388">
        <v>0</v>
      </c>
      <c r="X187" s="391">
        <v>15000</v>
      </c>
      <c r="Y187" s="390">
        <v>0</v>
      </c>
      <c r="Z187" s="355">
        <v>0</v>
      </c>
      <c r="AA187" s="616">
        <v>0</v>
      </c>
      <c r="AB187" s="245"/>
      <c r="AC187" s="245"/>
      <c r="AD187" s="245"/>
      <c r="AE187" s="245"/>
      <c r="AF187" s="245"/>
      <c r="AG187" s="245"/>
      <c r="AH187" s="245"/>
      <c r="AI187" s="245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</row>
    <row r="188" spans="1:121" s="481" customFormat="1" ht="28.5" customHeight="1">
      <c r="A188" s="464">
        <v>230</v>
      </c>
      <c r="B188" s="614">
        <v>3412</v>
      </c>
      <c r="C188" s="558">
        <v>6121</v>
      </c>
      <c r="D188" s="591"/>
      <c r="E188" s="206" t="s">
        <v>525</v>
      </c>
      <c r="F188" s="599" t="s">
        <v>529</v>
      </c>
      <c r="G188" s="561">
        <v>400</v>
      </c>
      <c r="H188" s="561">
        <v>2018</v>
      </c>
      <c r="I188" s="600">
        <v>2019</v>
      </c>
      <c r="J188" s="353">
        <f t="shared" si="31"/>
        <v>42454</v>
      </c>
      <c r="K188" s="354">
        <v>0</v>
      </c>
      <c r="L188" s="91">
        <v>0</v>
      </c>
      <c r="M188" s="356">
        <f t="shared" si="30"/>
        <v>0</v>
      </c>
      <c r="N188" s="357">
        <v>0</v>
      </c>
      <c r="O188" s="358">
        <f>10000-10000</f>
        <v>0</v>
      </c>
      <c r="P188" s="354">
        <v>0</v>
      </c>
      <c r="Q188" s="593">
        <v>0</v>
      </c>
      <c r="R188" s="601">
        <f>20000+10000</f>
        <v>30000</v>
      </c>
      <c r="S188" s="390">
        <v>0</v>
      </c>
      <c r="T188" s="355">
        <v>2454</v>
      </c>
      <c r="U188" s="392">
        <v>10000</v>
      </c>
      <c r="V188" s="390">
        <v>0</v>
      </c>
      <c r="W188" s="388">
        <v>0</v>
      </c>
      <c r="X188" s="391">
        <v>0</v>
      </c>
      <c r="Y188" s="390">
        <v>0</v>
      </c>
      <c r="Z188" s="355">
        <v>0</v>
      </c>
      <c r="AA188" s="371">
        <v>0</v>
      </c>
      <c r="AB188" s="245"/>
      <c r="AC188" s="245"/>
      <c r="AD188" s="245"/>
      <c r="AE188" s="245"/>
      <c r="AF188" s="245"/>
      <c r="AG188" s="245"/>
      <c r="AH188" s="245"/>
      <c r="AI188" s="245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</row>
    <row r="189" spans="1:121" s="481" customFormat="1" ht="28.5" customHeight="1" thickBot="1">
      <c r="A189" s="464">
        <v>161</v>
      </c>
      <c r="B189" s="614">
        <v>3412</v>
      </c>
      <c r="C189" s="558">
        <v>6121</v>
      </c>
      <c r="D189" s="617"/>
      <c r="E189" s="618" t="s">
        <v>599</v>
      </c>
      <c r="F189" s="619"/>
      <c r="G189" s="620">
        <v>400</v>
      </c>
      <c r="H189" s="620">
        <v>2018</v>
      </c>
      <c r="I189" s="621">
        <v>2022</v>
      </c>
      <c r="J189" s="622">
        <f t="shared" si="31"/>
        <v>250000</v>
      </c>
      <c r="K189" s="623">
        <v>0</v>
      </c>
      <c r="L189" s="230">
        <v>0</v>
      </c>
      <c r="M189" s="356">
        <f t="shared" si="30"/>
        <v>0</v>
      </c>
      <c r="N189" s="624">
        <v>0</v>
      </c>
      <c r="O189" s="625">
        <v>0</v>
      </c>
      <c r="P189" s="623">
        <v>0</v>
      </c>
      <c r="Q189" s="626">
        <v>0</v>
      </c>
      <c r="R189" s="1345">
        <f>100000-96000</f>
        <v>4000</v>
      </c>
      <c r="S189" s="627">
        <v>0</v>
      </c>
      <c r="T189" s="628">
        <v>0</v>
      </c>
      <c r="U189" s="629">
        <v>150000</v>
      </c>
      <c r="V189" s="627">
        <v>0</v>
      </c>
      <c r="W189" s="630">
        <v>0</v>
      </c>
      <c r="X189" s="631">
        <v>96000</v>
      </c>
      <c r="Y189" s="627">
        <v>0</v>
      </c>
      <c r="Z189" s="628">
        <v>0</v>
      </c>
      <c r="AA189" s="632">
        <v>0</v>
      </c>
      <c r="AB189" s="245"/>
      <c r="AC189" s="245"/>
      <c r="AD189" s="245"/>
      <c r="AE189" s="245"/>
      <c r="AF189" s="245"/>
      <c r="AG189" s="245"/>
      <c r="AH189" s="245"/>
      <c r="AI189" s="245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</row>
    <row r="190" spans="1:121" s="481" customFormat="1" ht="28.5" customHeight="1" thickBot="1">
      <c r="A190" s="283"/>
      <c r="B190" s="309"/>
      <c r="C190" s="472"/>
      <c r="D190" s="309"/>
      <c r="E190" s="1509" t="s">
        <v>84</v>
      </c>
      <c r="F190" s="1509"/>
      <c r="G190" s="1509"/>
      <c r="H190" s="1509"/>
      <c r="I190" s="1509"/>
      <c r="J190" s="311">
        <f aca="true" t="shared" si="32" ref="J190:AA190">SUM(J176:J189)</f>
        <v>1040283</v>
      </c>
      <c r="K190" s="311">
        <f t="shared" si="32"/>
        <v>1056</v>
      </c>
      <c r="L190" s="312">
        <f t="shared" si="32"/>
        <v>78001</v>
      </c>
      <c r="M190" s="311">
        <f t="shared" si="32"/>
        <v>326292</v>
      </c>
      <c r="N190" s="313">
        <f t="shared" si="32"/>
        <v>18579</v>
      </c>
      <c r="O190" s="314">
        <f t="shared" si="32"/>
        <v>192536</v>
      </c>
      <c r="P190" s="314">
        <f t="shared" si="32"/>
        <v>84000</v>
      </c>
      <c r="Q190" s="312">
        <f t="shared" si="32"/>
        <v>31177</v>
      </c>
      <c r="R190" s="315">
        <f t="shared" si="32"/>
        <v>254700</v>
      </c>
      <c r="S190" s="314">
        <f t="shared" si="32"/>
        <v>4000</v>
      </c>
      <c r="T190" s="316">
        <f t="shared" si="32"/>
        <v>2454</v>
      </c>
      <c r="U190" s="313">
        <f t="shared" si="32"/>
        <v>262780</v>
      </c>
      <c r="V190" s="314">
        <f t="shared" si="32"/>
        <v>0</v>
      </c>
      <c r="W190" s="312">
        <f t="shared" si="32"/>
        <v>0</v>
      </c>
      <c r="X190" s="315">
        <f t="shared" si="32"/>
        <v>111000</v>
      </c>
      <c r="Y190" s="314">
        <f t="shared" si="32"/>
        <v>0</v>
      </c>
      <c r="Z190" s="316">
        <f t="shared" si="32"/>
        <v>0</v>
      </c>
      <c r="AA190" s="317">
        <f t="shared" si="32"/>
        <v>0</v>
      </c>
      <c r="AB190" s="245"/>
      <c r="AC190" s="245"/>
      <c r="AD190" s="245"/>
      <c r="AE190" s="245"/>
      <c r="AF190" s="245"/>
      <c r="AG190" s="245"/>
      <c r="AH190" s="245"/>
      <c r="AI190" s="245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</row>
    <row r="191" spans="2:27" ht="28.5" customHeight="1" thickBot="1">
      <c r="B191" s="428"/>
      <c r="C191" s="429"/>
      <c r="D191" s="299" t="s">
        <v>574</v>
      </c>
      <c r="E191" s="299"/>
      <c r="F191" s="286"/>
      <c r="G191" s="286"/>
      <c r="H191" s="430"/>
      <c r="I191" s="286"/>
      <c r="J191" s="983"/>
      <c r="K191" s="977"/>
      <c r="L191" s="977"/>
      <c r="M191" s="298"/>
      <c r="N191" s="298"/>
      <c r="O191" s="978"/>
      <c r="P191" s="851"/>
      <c r="Q191" s="979"/>
      <c r="R191" s="978"/>
      <c r="S191" s="980"/>
      <c r="T191" s="981"/>
      <c r="U191" s="982"/>
      <c r="V191" s="980"/>
      <c r="W191" s="981"/>
      <c r="X191" s="982"/>
      <c r="Y191" s="980"/>
      <c r="Z191" s="981"/>
      <c r="AA191" s="979"/>
    </row>
    <row r="192" spans="1:121" s="481" customFormat="1" ht="28.5" customHeight="1" thickBot="1">
      <c r="A192" s="476">
        <v>230</v>
      </c>
      <c r="B192" s="342">
        <v>3419</v>
      </c>
      <c r="C192" s="343">
        <v>6121</v>
      </c>
      <c r="D192" s="306"/>
      <c r="E192" s="572" t="s">
        <v>576</v>
      </c>
      <c r="F192" s="122" t="s">
        <v>286</v>
      </c>
      <c r="G192" s="23"/>
      <c r="H192" s="125">
        <v>2018</v>
      </c>
      <c r="I192" s="24">
        <v>2019</v>
      </c>
      <c r="J192" s="25">
        <f>K192+L192+M192+SUM(R192:AA192)</f>
        <v>14520</v>
      </c>
      <c r="K192" s="26"/>
      <c r="L192" s="27">
        <v>5000</v>
      </c>
      <c r="M192" s="111">
        <f>N192+O192+P192+Q192</f>
        <v>9520</v>
      </c>
      <c r="N192" s="29">
        <v>0</v>
      </c>
      <c r="O192" s="30">
        <v>9520</v>
      </c>
      <c r="P192" s="31">
        <v>0</v>
      </c>
      <c r="Q192" s="27">
        <v>0</v>
      </c>
      <c r="R192" s="32">
        <v>0</v>
      </c>
      <c r="S192" s="31">
        <v>0</v>
      </c>
      <c r="T192" s="27">
        <v>0</v>
      </c>
      <c r="U192" s="32">
        <v>0</v>
      </c>
      <c r="V192" s="31">
        <v>0</v>
      </c>
      <c r="W192" s="27">
        <v>0</v>
      </c>
      <c r="X192" s="32">
        <v>0</v>
      </c>
      <c r="Y192" s="31">
        <v>0</v>
      </c>
      <c r="Z192" s="27">
        <v>0</v>
      </c>
      <c r="AA192" s="33">
        <v>0</v>
      </c>
      <c r="AB192" s="123"/>
      <c r="AC192" s="245"/>
      <c r="AD192" s="245"/>
      <c r="AE192" s="245"/>
      <c r="AF192" s="245"/>
      <c r="AG192" s="245"/>
      <c r="AH192" s="245"/>
      <c r="AI192" s="245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</row>
    <row r="193" spans="1:121" s="481" customFormat="1" ht="28.5" customHeight="1" thickBot="1">
      <c r="A193" s="487"/>
      <c r="B193" s="472"/>
      <c r="C193" s="472"/>
      <c r="D193" s="309"/>
      <c r="E193" s="1509" t="s">
        <v>613</v>
      </c>
      <c r="F193" s="1509"/>
      <c r="G193" s="1509"/>
      <c r="H193" s="1509"/>
      <c r="I193" s="1510"/>
      <c r="J193" s="311">
        <f>SUM(J192:J192)</f>
        <v>14520</v>
      </c>
      <c r="K193" s="311">
        <f>SUM(K192:K192)</f>
        <v>0</v>
      </c>
      <c r="L193" s="312">
        <f>SUM(L192:L192)</f>
        <v>5000</v>
      </c>
      <c r="M193" s="311">
        <f aca="true" t="shared" si="33" ref="M193:AA193">SUM(M192:M192)</f>
        <v>9520</v>
      </c>
      <c r="N193" s="313">
        <f t="shared" si="33"/>
        <v>0</v>
      </c>
      <c r="O193" s="314">
        <f t="shared" si="33"/>
        <v>9520</v>
      </c>
      <c r="P193" s="314">
        <f t="shared" si="33"/>
        <v>0</v>
      </c>
      <c r="Q193" s="312">
        <f t="shared" si="33"/>
        <v>0</v>
      </c>
      <c r="R193" s="315">
        <f t="shared" si="33"/>
        <v>0</v>
      </c>
      <c r="S193" s="314">
        <f t="shared" si="33"/>
        <v>0</v>
      </c>
      <c r="T193" s="316">
        <f t="shared" si="33"/>
        <v>0</v>
      </c>
      <c r="U193" s="313">
        <f t="shared" si="33"/>
        <v>0</v>
      </c>
      <c r="V193" s="314">
        <f t="shared" si="33"/>
        <v>0</v>
      </c>
      <c r="W193" s="312">
        <f t="shared" si="33"/>
        <v>0</v>
      </c>
      <c r="X193" s="315">
        <f t="shared" si="33"/>
        <v>0</v>
      </c>
      <c r="Y193" s="314">
        <f t="shared" si="33"/>
        <v>0</v>
      </c>
      <c r="Z193" s="316">
        <f t="shared" si="33"/>
        <v>0</v>
      </c>
      <c r="AA193" s="317">
        <f t="shared" si="33"/>
        <v>0</v>
      </c>
      <c r="AB193" s="245"/>
      <c r="AC193" s="245"/>
      <c r="AD193" s="245"/>
      <c r="AE193" s="245"/>
      <c r="AF193" s="245"/>
      <c r="AG193" s="245"/>
      <c r="AH193" s="245"/>
      <c r="AI193" s="245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</row>
    <row r="194" spans="2:27" ht="28.5" customHeight="1" thickBot="1">
      <c r="B194" s="428"/>
      <c r="C194" s="429"/>
      <c r="D194" s="299" t="s">
        <v>497</v>
      </c>
      <c r="E194" s="299"/>
      <c r="F194" s="286"/>
      <c r="G194" s="286"/>
      <c r="H194" s="430"/>
      <c r="I194" s="286"/>
      <c r="J194" s="983"/>
      <c r="K194" s="977"/>
      <c r="L194" s="977"/>
      <c r="M194" s="298"/>
      <c r="N194" s="298"/>
      <c r="O194" s="978"/>
      <c r="P194" s="851"/>
      <c r="Q194" s="979"/>
      <c r="R194" s="978"/>
      <c r="S194" s="980"/>
      <c r="T194" s="981"/>
      <c r="U194" s="982"/>
      <c r="V194" s="980"/>
      <c r="W194" s="981"/>
      <c r="X194" s="982"/>
      <c r="Y194" s="980"/>
      <c r="Z194" s="981"/>
      <c r="AA194" s="979"/>
    </row>
    <row r="195" spans="1:121" s="481" customFormat="1" ht="28.5" customHeight="1" thickBot="1">
      <c r="A195" s="476">
        <v>161</v>
      </c>
      <c r="B195" s="342">
        <v>3421</v>
      </c>
      <c r="C195" s="343">
        <v>6322</v>
      </c>
      <c r="D195" s="633">
        <v>3214</v>
      </c>
      <c r="E195" s="634" t="s">
        <v>58</v>
      </c>
      <c r="F195" s="122" t="s">
        <v>248</v>
      </c>
      <c r="G195" s="23">
        <v>400</v>
      </c>
      <c r="H195" s="125">
        <v>2017</v>
      </c>
      <c r="I195" s="24">
        <v>2019</v>
      </c>
      <c r="J195" s="25">
        <f>K195+L195+M195+SUM(R195:AA195)</f>
        <v>17972</v>
      </c>
      <c r="K195" s="26">
        <v>86</v>
      </c>
      <c r="L195" s="27">
        <f>5886+2000</f>
        <v>7886</v>
      </c>
      <c r="M195" s="111">
        <f>N195+O195+P195+Q195</f>
        <v>10000</v>
      </c>
      <c r="N195" s="29">
        <f>8000-2000</f>
        <v>6000</v>
      </c>
      <c r="O195" s="30">
        <v>4000</v>
      </c>
      <c r="P195" s="31">
        <v>0</v>
      </c>
      <c r="Q195" s="27">
        <v>0</v>
      </c>
      <c r="R195" s="32">
        <v>0</v>
      </c>
      <c r="S195" s="31">
        <v>0</v>
      </c>
      <c r="T195" s="27">
        <v>0</v>
      </c>
      <c r="U195" s="32">
        <v>0</v>
      </c>
      <c r="V195" s="31">
        <v>0</v>
      </c>
      <c r="W195" s="27">
        <v>0</v>
      </c>
      <c r="X195" s="32">
        <v>0</v>
      </c>
      <c r="Y195" s="31">
        <v>0</v>
      </c>
      <c r="Z195" s="27">
        <v>0</v>
      </c>
      <c r="AA195" s="33">
        <v>0</v>
      </c>
      <c r="AB195" s="123"/>
      <c r="AC195" s="245"/>
      <c r="AD195" s="245"/>
      <c r="AE195" s="245"/>
      <c r="AF195" s="245"/>
      <c r="AG195" s="245"/>
      <c r="AH195" s="245"/>
      <c r="AI195" s="245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</row>
    <row r="196" spans="1:121" s="481" customFormat="1" ht="28.5" customHeight="1" thickBot="1">
      <c r="A196" s="487"/>
      <c r="B196" s="472"/>
      <c r="C196" s="472"/>
      <c r="D196" s="309"/>
      <c r="E196" s="1509" t="s">
        <v>87</v>
      </c>
      <c r="F196" s="1509"/>
      <c r="G196" s="1509"/>
      <c r="H196" s="1509"/>
      <c r="I196" s="1510"/>
      <c r="J196" s="311">
        <f>SUM(J195:J195)</f>
        <v>17972</v>
      </c>
      <c r="K196" s="311">
        <f>SUM(K195:K195)</f>
        <v>86</v>
      </c>
      <c r="L196" s="312">
        <f>SUM(L195:L195)</f>
        <v>7886</v>
      </c>
      <c r="M196" s="311">
        <f aca="true" t="shared" si="34" ref="M196:AA196">SUM(M195:M195)</f>
        <v>10000</v>
      </c>
      <c r="N196" s="313">
        <f t="shared" si="34"/>
        <v>6000</v>
      </c>
      <c r="O196" s="314">
        <f t="shared" si="34"/>
        <v>4000</v>
      </c>
      <c r="P196" s="314">
        <f t="shared" si="34"/>
        <v>0</v>
      </c>
      <c r="Q196" s="312">
        <f t="shared" si="34"/>
        <v>0</v>
      </c>
      <c r="R196" s="315">
        <f t="shared" si="34"/>
        <v>0</v>
      </c>
      <c r="S196" s="314">
        <f t="shared" si="34"/>
        <v>0</v>
      </c>
      <c r="T196" s="316">
        <f t="shared" si="34"/>
        <v>0</v>
      </c>
      <c r="U196" s="313">
        <f t="shared" si="34"/>
        <v>0</v>
      </c>
      <c r="V196" s="314">
        <f t="shared" si="34"/>
        <v>0</v>
      </c>
      <c r="W196" s="312">
        <f t="shared" si="34"/>
        <v>0</v>
      </c>
      <c r="X196" s="315">
        <f t="shared" si="34"/>
        <v>0</v>
      </c>
      <c r="Y196" s="314">
        <f t="shared" si="34"/>
        <v>0</v>
      </c>
      <c r="Z196" s="316">
        <f t="shared" si="34"/>
        <v>0</v>
      </c>
      <c r="AA196" s="317">
        <f t="shared" si="34"/>
        <v>0</v>
      </c>
      <c r="AB196" s="245"/>
      <c r="AC196" s="245"/>
      <c r="AD196" s="245"/>
      <c r="AE196" s="245"/>
      <c r="AF196" s="245"/>
      <c r="AG196" s="245"/>
      <c r="AH196" s="245"/>
      <c r="AI196" s="245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</row>
    <row r="197" spans="2:27" ht="28.5" customHeight="1" thickBot="1">
      <c r="B197" s="297"/>
      <c r="C197" s="298"/>
      <c r="D197" s="299" t="s">
        <v>59</v>
      </c>
      <c r="E197" s="299"/>
      <c r="F197" s="286"/>
      <c r="G197" s="286"/>
      <c r="H197" s="430"/>
      <c r="I197" s="286"/>
      <c r="J197" s="983"/>
      <c r="K197" s="977"/>
      <c r="L197" s="977"/>
      <c r="M197" s="298"/>
      <c r="N197" s="298"/>
      <c r="O197" s="978"/>
      <c r="P197" s="851"/>
      <c r="Q197" s="979"/>
      <c r="R197" s="978"/>
      <c r="S197" s="980"/>
      <c r="T197" s="981"/>
      <c r="U197" s="982"/>
      <c r="V197" s="980"/>
      <c r="W197" s="981"/>
      <c r="X197" s="982"/>
      <c r="Y197" s="980"/>
      <c r="Z197" s="981"/>
      <c r="AA197" s="990"/>
    </row>
    <row r="198" spans="1:121" s="481" customFormat="1" ht="28.5" customHeight="1">
      <c r="A198" s="431">
        <v>230</v>
      </c>
      <c r="B198" s="342">
        <v>3522</v>
      </c>
      <c r="C198" s="343">
        <v>6121</v>
      </c>
      <c r="D198" s="325">
        <v>6207</v>
      </c>
      <c r="E198" s="635" t="s">
        <v>60</v>
      </c>
      <c r="F198" s="121" t="s">
        <v>248</v>
      </c>
      <c r="G198" s="35">
        <v>400</v>
      </c>
      <c r="H198" s="35">
        <v>2017</v>
      </c>
      <c r="I198" s="36">
        <v>2022</v>
      </c>
      <c r="J198" s="37">
        <f aca="true" t="shared" si="35" ref="J198:J208">K198+L198+M198+SUM(R198:AA198)</f>
        <v>28957</v>
      </c>
      <c r="K198" s="38">
        <v>710</v>
      </c>
      <c r="L198" s="39">
        <v>748</v>
      </c>
      <c r="M198" s="97">
        <f aca="true" t="shared" si="36" ref="M198:M208">N198+O198+P198+Q198</f>
        <v>4999</v>
      </c>
      <c r="N198" s="41">
        <v>61</v>
      </c>
      <c r="O198" s="85">
        <v>0</v>
      </c>
      <c r="P198" s="42">
        <v>0</v>
      </c>
      <c r="Q198" s="42">
        <v>4938</v>
      </c>
      <c r="R198" s="43">
        <v>0</v>
      </c>
      <c r="S198" s="42">
        <v>0</v>
      </c>
      <c r="T198" s="38">
        <v>15000</v>
      </c>
      <c r="U198" s="43">
        <v>0</v>
      </c>
      <c r="V198" s="42">
        <v>0</v>
      </c>
      <c r="W198" s="38">
        <v>2500</v>
      </c>
      <c r="X198" s="43">
        <v>0</v>
      </c>
      <c r="Y198" s="42">
        <v>0</v>
      </c>
      <c r="Z198" s="1337">
        <v>5000</v>
      </c>
      <c r="AA198" s="174">
        <v>0</v>
      </c>
      <c r="AB198" s="245"/>
      <c r="AC198" s="245"/>
      <c r="AD198" s="245"/>
      <c r="AE198" s="245"/>
      <c r="AF198" s="245"/>
      <c r="AG198" s="245"/>
      <c r="AH198" s="245"/>
      <c r="AI198" s="245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</row>
    <row r="199" spans="1:121" s="481" customFormat="1" ht="28.5" customHeight="1">
      <c r="A199" s="431">
        <v>230</v>
      </c>
      <c r="B199" s="342">
        <v>3522</v>
      </c>
      <c r="C199" s="343">
        <v>6121</v>
      </c>
      <c r="D199" s="344">
        <v>6208</v>
      </c>
      <c r="E199" s="587" t="s">
        <v>445</v>
      </c>
      <c r="F199" s="81" t="s">
        <v>248</v>
      </c>
      <c r="G199" s="62">
        <v>400</v>
      </c>
      <c r="H199" s="62">
        <v>2017</v>
      </c>
      <c r="I199" s="63">
        <v>2020</v>
      </c>
      <c r="J199" s="53">
        <f t="shared" si="35"/>
        <v>276000</v>
      </c>
      <c r="K199" s="46">
        <v>0</v>
      </c>
      <c r="L199" s="47">
        <f>4000+4186</f>
        <v>8186</v>
      </c>
      <c r="M199" s="56">
        <f t="shared" si="36"/>
        <v>8634</v>
      </c>
      <c r="N199" s="49">
        <f>12820-4186</f>
        <v>8634</v>
      </c>
      <c r="O199" s="64">
        <v>0</v>
      </c>
      <c r="P199" s="50">
        <v>0</v>
      </c>
      <c r="Q199" s="50">
        <v>0</v>
      </c>
      <c r="R199" s="51">
        <v>0</v>
      </c>
      <c r="S199" s="50">
        <v>0</v>
      </c>
      <c r="T199" s="46">
        <v>150000</v>
      </c>
      <c r="U199" s="51">
        <v>0</v>
      </c>
      <c r="V199" s="50">
        <v>0</v>
      </c>
      <c r="W199" s="46">
        <v>109180</v>
      </c>
      <c r="X199" s="51">
        <v>0</v>
      </c>
      <c r="Y199" s="50">
        <v>0</v>
      </c>
      <c r="Z199" s="139">
        <v>0</v>
      </c>
      <c r="AA199" s="176">
        <v>0</v>
      </c>
      <c r="AB199" s="245"/>
      <c r="AC199" s="245"/>
      <c r="AD199" s="245"/>
      <c r="AE199" s="245"/>
      <c r="AF199" s="245"/>
      <c r="AG199" s="245"/>
      <c r="AH199" s="245"/>
      <c r="AI199" s="245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</row>
    <row r="200" spans="1:121" s="481" customFormat="1" ht="28.5" customHeight="1">
      <c r="A200" s="431">
        <v>230</v>
      </c>
      <c r="B200" s="342">
        <v>3522</v>
      </c>
      <c r="C200" s="343">
        <v>6121</v>
      </c>
      <c r="D200" s="345">
        <v>6209</v>
      </c>
      <c r="E200" s="636" t="s">
        <v>448</v>
      </c>
      <c r="F200" s="81" t="s">
        <v>248</v>
      </c>
      <c r="G200" s="62">
        <v>400</v>
      </c>
      <c r="H200" s="62">
        <v>2018</v>
      </c>
      <c r="I200" s="63">
        <v>2018</v>
      </c>
      <c r="J200" s="53">
        <f t="shared" si="35"/>
        <v>26580</v>
      </c>
      <c r="K200" s="46">
        <v>0</v>
      </c>
      <c r="L200" s="47">
        <f>11000+3618</f>
        <v>14618</v>
      </c>
      <c r="M200" s="56">
        <f t="shared" si="36"/>
        <v>11962</v>
      </c>
      <c r="N200" s="49">
        <f>12500-3618</f>
        <v>8882</v>
      </c>
      <c r="O200" s="64">
        <v>0</v>
      </c>
      <c r="P200" s="50">
        <v>0</v>
      </c>
      <c r="Q200" s="50">
        <v>3080</v>
      </c>
      <c r="R200" s="51">
        <v>0</v>
      </c>
      <c r="S200" s="50">
        <v>0</v>
      </c>
      <c r="T200" s="46">
        <v>0</v>
      </c>
      <c r="U200" s="51">
        <v>0</v>
      </c>
      <c r="V200" s="50">
        <v>0</v>
      </c>
      <c r="W200" s="46">
        <v>0</v>
      </c>
      <c r="X200" s="51">
        <v>0</v>
      </c>
      <c r="Y200" s="50">
        <v>0</v>
      </c>
      <c r="Z200" s="139">
        <v>0</v>
      </c>
      <c r="AA200" s="176">
        <v>0</v>
      </c>
      <c r="AB200" s="245"/>
      <c r="AC200" s="245"/>
      <c r="AD200" s="245"/>
      <c r="AE200" s="245"/>
      <c r="AF200" s="245"/>
      <c r="AG200" s="245"/>
      <c r="AH200" s="245"/>
      <c r="AI200" s="245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</row>
    <row r="201" spans="1:121" s="481" customFormat="1" ht="28.5" customHeight="1">
      <c r="A201" s="431">
        <v>230</v>
      </c>
      <c r="B201" s="342">
        <v>3522</v>
      </c>
      <c r="C201" s="343">
        <v>6121</v>
      </c>
      <c r="D201" s="345">
        <v>6210</v>
      </c>
      <c r="E201" s="636" t="s">
        <v>447</v>
      </c>
      <c r="F201" s="81" t="s">
        <v>248</v>
      </c>
      <c r="G201" s="62">
        <v>400</v>
      </c>
      <c r="H201" s="62">
        <v>2018</v>
      </c>
      <c r="I201" s="63">
        <v>2018</v>
      </c>
      <c r="J201" s="53">
        <f t="shared" si="35"/>
        <v>51270</v>
      </c>
      <c r="K201" s="46">
        <v>944</v>
      </c>
      <c r="L201" s="47">
        <f>22000+8022</f>
        <v>30022</v>
      </c>
      <c r="M201" s="56">
        <f t="shared" si="36"/>
        <v>20304</v>
      </c>
      <c r="N201" s="49">
        <f>26000-8022</f>
        <v>17978</v>
      </c>
      <c r="O201" s="64">
        <v>0</v>
      </c>
      <c r="P201" s="50">
        <v>0</v>
      </c>
      <c r="Q201" s="50">
        <v>2326</v>
      </c>
      <c r="R201" s="51">
        <v>0</v>
      </c>
      <c r="S201" s="50">
        <v>0</v>
      </c>
      <c r="T201" s="46">
        <v>0</v>
      </c>
      <c r="U201" s="51">
        <v>0</v>
      </c>
      <c r="V201" s="50">
        <v>0</v>
      </c>
      <c r="W201" s="46">
        <v>0</v>
      </c>
      <c r="X201" s="51">
        <v>0</v>
      </c>
      <c r="Y201" s="50">
        <v>0</v>
      </c>
      <c r="Z201" s="139">
        <v>0</v>
      </c>
      <c r="AA201" s="176">
        <v>0</v>
      </c>
      <c r="AB201" s="245"/>
      <c r="AC201" s="245"/>
      <c r="AD201" s="245"/>
      <c r="AE201" s="245"/>
      <c r="AF201" s="245"/>
      <c r="AG201" s="245"/>
      <c r="AH201" s="245"/>
      <c r="AI201" s="245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</row>
    <row r="202" spans="1:121" s="481" customFormat="1" ht="28.5" customHeight="1">
      <c r="A202" s="431">
        <v>230</v>
      </c>
      <c r="B202" s="342">
        <v>3522</v>
      </c>
      <c r="C202" s="343">
        <v>6121</v>
      </c>
      <c r="D202" s="345">
        <v>6211</v>
      </c>
      <c r="E202" s="636" t="s">
        <v>446</v>
      </c>
      <c r="F202" s="81" t="s">
        <v>248</v>
      </c>
      <c r="G202" s="62">
        <v>400</v>
      </c>
      <c r="H202" s="62">
        <v>2017</v>
      </c>
      <c r="I202" s="63">
        <v>2018</v>
      </c>
      <c r="J202" s="53">
        <f t="shared" si="35"/>
        <v>20079</v>
      </c>
      <c r="K202" s="46">
        <v>0</v>
      </c>
      <c r="L202" s="47">
        <v>19971</v>
      </c>
      <c r="M202" s="56">
        <f t="shared" si="36"/>
        <v>108</v>
      </c>
      <c r="N202" s="49">
        <v>108</v>
      </c>
      <c r="O202" s="64">
        <v>0</v>
      </c>
      <c r="P202" s="50">
        <v>0</v>
      </c>
      <c r="Q202" s="50">
        <v>0</v>
      </c>
      <c r="R202" s="51">
        <v>0</v>
      </c>
      <c r="S202" s="50">
        <v>0</v>
      </c>
      <c r="T202" s="46">
        <v>0</v>
      </c>
      <c r="U202" s="51">
        <v>0</v>
      </c>
      <c r="V202" s="50">
        <v>0</v>
      </c>
      <c r="W202" s="46">
        <v>0</v>
      </c>
      <c r="X202" s="51">
        <v>0</v>
      </c>
      <c r="Y202" s="50">
        <v>0</v>
      </c>
      <c r="Z202" s="139">
        <v>0</v>
      </c>
      <c r="AA202" s="176">
        <v>0</v>
      </c>
      <c r="AB202" s="245"/>
      <c r="AC202" s="245"/>
      <c r="AD202" s="245"/>
      <c r="AE202" s="245"/>
      <c r="AF202" s="245"/>
      <c r="AG202" s="245"/>
      <c r="AH202" s="245"/>
      <c r="AI202" s="245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</row>
    <row r="203" spans="1:121" s="481" customFormat="1" ht="28.5" customHeight="1">
      <c r="A203" s="431">
        <v>230</v>
      </c>
      <c r="B203" s="342">
        <v>3522</v>
      </c>
      <c r="C203" s="343">
        <v>6121</v>
      </c>
      <c r="D203" s="344">
        <v>6212</v>
      </c>
      <c r="E203" s="587" t="s">
        <v>451</v>
      </c>
      <c r="F203" s="81" t="s">
        <v>248</v>
      </c>
      <c r="G203" s="62">
        <v>400</v>
      </c>
      <c r="H203" s="62">
        <v>2018</v>
      </c>
      <c r="I203" s="63">
        <v>2022</v>
      </c>
      <c r="J203" s="53">
        <f t="shared" si="35"/>
        <v>13194</v>
      </c>
      <c r="K203" s="46">
        <v>0</v>
      </c>
      <c r="L203" s="47">
        <f>1157+1156</f>
        <v>2313</v>
      </c>
      <c r="M203" s="56">
        <f t="shared" si="36"/>
        <v>10881</v>
      </c>
      <c r="N203" s="49">
        <f>4038-1156-1</f>
        <v>2881</v>
      </c>
      <c r="O203" s="64">
        <v>0</v>
      </c>
      <c r="P203" s="50">
        <v>0</v>
      </c>
      <c r="Q203" s="50">
        <v>8000</v>
      </c>
      <c r="R203" s="51">
        <v>0</v>
      </c>
      <c r="S203" s="50">
        <v>0</v>
      </c>
      <c r="T203" s="46">
        <v>0</v>
      </c>
      <c r="U203" s="51">
        <v>0</v>
      </c>
      <c r="V203" s="50">
        <v>0</v>
      </c>
      <c r="W203" s="46">
        <v>0</v>
      </c>
      <c r="X203" s="51">
        <v>0</v>
      </c>
      <c r="Y203" s="50">
        <v>0</v>
      </c>
      <c r="Z203" s="139">
        <v>0</v>
      </c>
      <c r="AA203" s="176">
        <v>0</v>
      </c>
      <c r="AB203" s="245"/>
      <c r="AC203" s="245"/>
      <c r="AD203" s="245"/>
      <c r="AE203" s="245"/>
      <c r="AF203" s="245"/>
      <c r="AG203" s="245"/>
      <c r="AH203" s="245"/>
      <c r="AI203" s="245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</row>
    <row r="204" spans="1:121" s="481" customFormat="1" ht="28.5" customHeight="1">
      <c r="A204" s="431">
        <v>230</v>
      </c>
      <c r="B204" s="342">
        <v>3522</v>
      </c>
      <c r="C204" s="343">
        <v>6121</v>
      </c>
      <c r="D204" s="344">
        <v>6213</v>
      </c>
      <c r="E204" s="587" t="s">
        <v>449</v>
      </c>
      <c r="F204" s="81" t="s">
        <v>248</v>
      </c>
      <c r="G204" s="62">
        <v>400</v>
      </c>
      <c r="H204" s="62">
        <v>2018</v>
      </c>
      <c r="I204" s="63">
        <v>2021</v>
      </c>
      <c r="J204" s="53">
        <f t="shared" si="35"/>
        <v>15800</v>
      </c>
      <c r="K204" s="46">
        <v>0</v>
      </c>
      <c r="L204" s="47">
        <v>800</v>
      </c>
      <c r="M204" s="56">
        <f t="shared" si="36"/>
        <v>800</v>
      </c>
      <c r="N204" s="49">
        <v>0</v>
      </c>
      <c r="O204" s="64">
        <v>0</v>
      </c>
      <c r="P204" s="50">
        <v>0</v>
      </c>
      <c r="Q204" s="50">
        <v>800</v>
      </c>
      <c r="R204" s="51">
        <v>0</v>
      </c>
      <c r="S204" s="50">
        <v>0</v>
      </c>
      <c r="T204" s="46">
        <v>1000</v>
      </c>
      <c r="U204" s="51">
        <v>0</v>
      </c>
      <c r="V204" s="50">
        <v>0</v>
      </c>
      <c r="W204" s="46">
        <v>6600</v>
      </c>
      <c r="X204" s="51">
        <v>0</v>
      </c>
      <c r="Y204" s="50">
        <v>0</v>
      </c>
      <c r="Z204" s="139">
        <v>6600</v>
      </c>
      <c r="AA204" s="176">
        <v>0</v>
      </c>
      <c r="AB204" s="245"/>
      <c r="AC204" s="245"/>
      <c r="AD204" s="245"/>
      <c r="AE204" s="245"/>
      <c r="AF204" s="245"/>
      <c r="AG204" s="245"/>
      <c r="AH204" s="245"/>
      <c r="AI204" s="245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</row>
    <row r="205" spans="1:121" s="481" customFormat="1" ht="28.5" customHeight="1">
      <c r="A205" s="431">
        <v>230</v>
      </c>
      <c r="B205" s="342">
        <v>3522</v>
      </c>
      <c r="C205" s="343">
        <v>6121</v>
      </c>
      <c r="D205" s="344">
        <v>6214</v>
      </c>
      <c r="E205" s="587" t="s">
        <v>450</v>
      </c>
      <c r="F205" s="81" t="s">
        <v>248</v>
      </c>
      <c r="G205" s="62">
        <v>400</v>
      </c>
      <c r="H205" s="62">
        <v>2017</v>
      </c>
      <c r="I205" s="63">
        <v>2022</v>
      </c>
      <c r="J205" s="53">
        <f t="shared" si="35"/>
        <v>15800</v>
      </c>
      <c r="K205" s="46">
        <v>0</v>
      </c>
      <c r="L205" s="47">
        <v>800</v>
      </c>
      <c r="M205" s="56">
        <f t="shared" si="36"/>
        <v>800</v>
      </c>
      <c r="N205" s="49">
        <v>0</v>
      </c>
      <c r="O205" s="64">
        <v>0</v>
      </c>
      <c r="P205" s="50">
        <v>0</v>
      </c>
      <c r="Q205" s="50">
        <v>800</v>
      </c>
      <c r="R205" s="51">
        <v>0</v>
      </c>
      <c r="S205" s="50">
        <v>0</v>
      </c>
      <c r="T205" s="46">
        <v>1000</v>
      </c>
      <c r="U205" s="51">
        <v>0</v>
      </c>
      <c r="V205" s="50">
        <v>0</v>
      </c>
      <c r="W205" s="46">
        <v>6600</v>
      </c>
      <c r="X205" s="51">
        <v>0</v>
      </c>
      <c r="Y205" s="50">
        <v>0</v>
      </c>
      <c r="Z205" s="139">
        <v>6600</v>
      </c>
      <c r="AA205" s="176">
        <v>0</v>
      </c>
      <c r="AB205" s="245"/>
      <c r="AC205" s="245"/>
      <c r="AD205" s="245"/>
      <c r="AE205" s="245"/>
      <c r="AF205" s="245"/>
      <c r="AG205" s="245"/>
      <c r="AH205" s="245"/>
      <c r="AI205" s="245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</row>
    <row r="206" spans="1:121" s="481" customFormat="1" ht="28.5" customHeight="1">
      <c r="A206" s="431">
        <v>230</v>
      </c>
      <c r="B206" s="342">
        <v>3522</v>
      </c>
      <c r="C206" s="343">
        <v>6121</v>
      </c>
      <c r="D206" s="344">
        <v>6218</v>
      </c>
      <c r="E206" s="587" t="s">
        <v>61</v>
      </c>
      <c r="F206" s="81" t="s">
        <v>248</v>
      </c>
      <c r="G206" s="62">
        <v>400</v>
      </c>
      <c r="H206" s="62">
        <v>2018</v>
      </c>
      <c r="I206" s="63">
        <v>2020</v>
      </c>
      <c r="J206" s="53">
        <f t="shared" si="35"/>
        <v>58314</v>
      </c>
      <c r="K206" s="46"/>
      <c r="L206" s="47">
        <v>314</v>
      </c>
      <c r="M206" s="56">
        <f t="shared" si="36"/>
        <v>2000</v>
      </c>
      <c r="N206" s="49">
        <v>0</v>
      </c>
      <c r="O206" s="64">
        <v>0</v>
      </c>
      <c r="P206" s="50">
        <v>0</v>
      </c>
      <c r="Q206" s="50">
        <v>2000</v>
      </c>
      <c r="R206" s="51">
        <v>0</v>
      </c>
      <c r="S206" s="50">
        <v>0</v>
      </c>
      <c r="T206" s="46">
        <v>56000</v>
      </c>
      <c r="U206" s="51">
        <v>0</v>
      </c>
      <c r="V206" s="50">
        <v>0</v>
      </c>
      <c r="W206" s="46">
        <v>0</v>
      </c>
      <c r="X206" s="51">
        <v>0</v>
      </c>
      <c r="Y206" s="50">
        <v>0</v>
      </c>
      <c r="Z206" s="139">
        <v>0</v>
      </c>
      <c r="AA206" s="176">
        <v>0</v>
      </c>
      <c r="AB206" s="245"/>
      <c r="AC206" s="245"/>
      <c r="AD206" s="245"/>
      <c r="AE206" s="245"/>
      <c r="AF206" s="245"/>
      <c r="AG206" s="245"/>
      <c r="AH206" s="245"/>
      <c r="AI206" s="245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</row>
    <row r="207" spans="1:121" s="481" customFormat="1" ht="28.5" customHeight="1">
      <c r="A207" s="431">
        <v>230</v>
      </c>
      <c r="B207" s="342">
        <v>3522</v>
      </c>
      <c r="C207" s="343">
        <v>6121</v>
      </c>
      <c r="D207" s="345">
        <v>6220</v>
      </c>
      <c r="E207" s="636" t="s">
        <v>62</v>
      </c>
      <c r="F207" s="83" t="s">
        <v>248</v>
      </c>
      <c r="G207" s="67">
        <v>400</v>
      </c>
      <c r="H207" s="67">
        <v>2018</v>
      </c>
      <c r="I207" s="68">
        <v>2019</v>
      </c>
      <c r="J207" s="53">
        <f t="shared" si="35"/>
        <v>11000</v>
      </c>
      <c r="K207" s="54">
        <v>0</v>
      </c>
      <c r="L207" s="55">
        <f>6755+120</f>
        <v>6875</v>
      </c>
      <c r="M207" s="56">
        <f t="shared" si="36"/>
        <v>4125</v>
      </c>
      <c r="N207" s="57">
        <v>4125</v>
      </c>
      <c r="O207" s="65">
        <v>0</v>
      </c>
      <c r="P207" s="58">
        <v>0</v>
      </c>
      <c r="Q207" s="58">
        <v>0</v>
      </c>
      <c r="R207" s="59">
        <v>0</v>
      </c>
      <c r="S207" s="58">
        <v>0</v>
      </c>
      <c r="T207" s="54">
        <v>0</v>
      </c>
      <c r="U207" s="59">
        <v>0</v>
      </c>
      <c r="V207" s="58">
        <v>0</v>
      </c>
      <c r="W207" s="54">
        <v>0</v>
      </c>
      <c r="X207" s="59">
        <v>0</v>
      </c>
      <c r="Y207" s="58">
        <v>0</v>
      </c>
      <c r="Z207" s="173">
        <v>0</v>
      </c>
      <c r="AA207" s="175">
        <v>0</v>
      </c>
      <c r="AB207" s="245"/>
      <c r="AC207" s="245"/>
      <c r="AD207" s="245"/>
      <c r="AE207" s="245"/>
      <c r="AF207" s="245"/>
      <c r="AG207" s="245"/>
      <c r="AH207" s="245"/>
      <c r="AI207" s="245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</row>
    <row r="208" spans="1:121" s="481" customFormat="1" ht="28.5" customHeight="1">
      <c r="A208" s="431">
        <v>230</v>
      </c>
      <c r="B208" s="342">
        <v>3522</v>
      </c>
      <c r="C208" s="343">
        <v>6121</v>
      </c>
      <c r="D208" s="344">
        <v>6221</v>
      </c>
      <c r="E208" s="587" t="s">
        <v>63</v>
      </c>
      <c r="F208" s="83" t="s">
        <v>248</v>
      </c>
      <c r="G208" s="67">
        <v>400</v>
      </c>
      <c r="H208" s="67">
        <v>2018</v>
      </c>
      <c r="I208" s="68">
        <v>2022</v>
      </c>
      <c r="J208" s="53">
        <f t="shared" si="35"/>
        <v>30000</v>
      </c>
      <c r="K208" s="54">
        <v>0</v>
      </c>
      <c r="L208" s="55">
        <v>0</v>
      </c>
      <c r="M208" s="56">
        <f t="shared" si="36"/>
        <v>15000</v>
      </c>
      <c r="N208" s="57">
        <v>15000</v>
      </c>
      <c r="O208" s="65">
        <v>0</v>
      </c>
      <c r="P208" s="58">
        <v>0</v>
      </c>
      <c r="Q208" s="58">
        <v>0</v>
      </c>
      <c r="R208" s="59">
        <v>0</v>
      </c>
      <c r="S208" s="58">
        <v>0</v>
      </c>
      <c r="T208" s="54">
        <v>12000</v>
      </c>
      <c r="U208" s="59">
        <v>0</v>
      </c>
      <c r="V208" s="58">
        <v>0</v>
      </c>
      <c r="W208" s="54">
        <v>2000</v>
      </c>
      <c r="X208" s="59">
        <v>0</v>
      </c>
      <c r="Y208" s="58">
        <v>0</v>
      </c>
      <c r="Z208" s="173">
        <v>1000</v>
      </c>
      <c r="AA208" s="175">
        <v>0</v>
      </c>
      <c r="AB208" s="245"/>
      <c r="AC208" s="245"/>
      <c r="AD208" s="245"/>
      <c r="AE208" s="245"/>
      <c r="AF208" s="245"/>
      <c r="AG208" s="245"/>
      <c r="AH208" s="245"/>
      <c r="AI208" s="245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</row>
    <row r="209" spans="1:121" s="481" customFormat="1" ht="28.5" customHeight="1" thickBot="1">
      <c r="A209" s="431">
        <v>230</v>
      </c>
      <c r="B209" s="574">
        <v>3522</v>
      </c>
      <c r="C209" s="575">
        <v>6121</v>
      </c>
      <c r="D209" s="516">
        <v>6223</v>
      </c>
      <c r="E209" s="637" t="s">
        <v>64</v>
      </c>
      <c r="F209" s="96" t="s">
        <v>248</v>
      </c>
      <c r="G209" s="70">
        <v>400</v>
      </c>
      <c r="H209" s="70">
        <v>2019</v>
      </c>
      <c r="I209" s="71">
        <v>2020</v>
      </c>
      <c r="J209" s="72">
        <f>K209+L209+M209+SUM(R209:AA209)</f>
        <v>7000</v>
      </c>
      <c r="K209" s="73">
        <v>0</v>
      </c>
      <c r="L209" s="74">
        <v>0</v>
      </c>
      <c r="M209" s="75">
        <f>N209+O209+P209+Q209</f>
        <v>5000</v>
      </c>
      <c r="N209" s="76">
        <v>0</v>
      </c>
      <c r="O209" s="77">
        <v>0</v>
      </c>
      <c r="P209" s="78">
        <v>0</v>
      </c>
      <c r="Q209" s="78">
        <v>5000</v>
      </c>
      <c r="R209" s="79">
        <v>0</v>
      </c>
      <c r="S209" s="78">
        <v>0</v>
      </c>
      <c r="T209" s="73">
        <v>2000</v>
      </c>
      <c r="U209" s="79">
        <v>0</v>
      </c>
      <c r="V209" s="78">
        <v>0</v>
      </c>
      <c r="W209" s="73">
        <v>0</v>
      </c>
      <c r="X209" s="79">
        <v>0</v>
      </c>
      <c r="Y209" s="78">
        <v>0</v>
      </c>
      <c r="Z209" s="1338">
        <v>0</v>
      </c>
      <c r="AA209" s="243">
        <v>0</v>
      </c>
      <c r="AB209" s="245"/>
      <c r="AC209" s="245"/>
      <c r="AD209" s="245"/>
      <c r="AE209" s="245"/>
      <c r="AF209" s="245"/>
      <c r="AG209" s="245"/>
      <c r="AH209" s="245"/>
      <c r="AI209" s="245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</row>
    <row r="210" spans="1:121" s="481" customFormat="1" ht="28.5" customHeight="1" thickBot="1">
      <c r="A210" s="283"/>
      <c r="B210" s="309"/>
      <c r="C210" s="472"/>
      <c r="D210" s="309"/>
      <c r="E210" s="1509" t="s">
        <v>88</v>
      </c>
      <c r="F210" s="1509"/>
      <c r="G210" s="1509"/>
      <c r="H210" s="1509"/>
      <c r="I210" s="1509"/>
      <c r="J210" s="311">
        <f aca="true" t="shared" si="37" ref="J210:AA210">SUM(J198:J209)</f>
        <v>553994</v>
      </c>
      <c r="K210" s="311">
        <f t="shared" si="37"/>
        <v>1654</v>
      </c>
      <c r="L210" s="312">
        <f t="shared" si="37"/>
        <v>84647</v>
      </c>
      <c r="M210" s="311">
        <f t="shared" si="37"/>
        <v>84613</v>
      </c>
      <c r="N210" s="313">
        <f t="shared" si="37"/>
        <v>57669</v>
      </c>
      <c r="O210" s="314">
        <f t="shared" si="37"/>
        <v>0</v>
      </c>
      <c r="P210" s="314">
        <f t="shared" si="37"/>
        <v>0</v>
      </c>
      <c r="Q210" s="312">
        <f t="shared" si="37"/>
        <v>26944</v>
      </c>
      <c r="R210" s="315">
        <f t="shared" si="37"/>
        <v>0</v>
      </c>
      <c r="S210" s="314">
        <f t="shared" si="37"/>
        <v>0</v>
      </c>
      <c r="T210" s="316">
        <f t="shared" si="37"/>
        <v>237000</v>
      </c>
      <c r="U210" s="313">
        <f t="shared" si="37"/>
        <v>0</v>
      </c>
      <c r="V210" s="314">
        <f t="shared" si="37"/>
        <v>0</v>
      </c>
      <c r="W210" s="312">
        <f t="shared" si="37"/>
        <v>126880</v>
      </c>
      <c r="X210" s="315">
        <f t="shared" si="37"/>
        <v>0</v>
      </c>
      <c r="Y210" s="314">
        <f t="shared" si="37"/>
        <v>0</v>
      </c>
      <c r="Z210" s="316">
        <f t="shared" si="37"/>
        <v>19200</v>
      </c>
      <c r="AA210" s="317">
        <f t="shared" si="37"/>
        <v>0</v>
      </c>
      <c r="AB210" s="245"/>
      <c r="AC210" s="245"/>
      <c r="AD210" s="245"/>
      <c r="AE210" s="245"/>
      <c r="AF210" s="245"/>
      <c r="AG210" s="245"/>
      <c r="AH210" s="245"/>
      <c r="AI210" s="245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</row>
    <row r="211" spans="2:27" ht="28.5" customHeight="1" thickBot="1">
      <c r="B211" s="428"/>
      <c r="C211" s="429"/>
      <c r="D211" s="299" t="s">
        <v>65</v>
      </c>
      <c r="E211" s="299"/>
      <c r="F211" s="286"/>
      <c r="G211" s="286"/>
      <c r="H211" s="430"/>
      <c r="I211" s="286"/>
      <c r="J211" s="983"/>
      <c r="K211" s="977"/>
      <c r="L211" s="977"/>
      <c r="M211" s="298"/>
      <c r="N211" s="851"/>
      <c r="O211" s="978"/>
      <c r="P211" s="851"/>
      <c r="Q211" s="979"/>
      <c r="R211" s="978"/>
      <c r="S211" s="980"/>
      <c r="T211" s="981"/>
      <c r="U211" s="982"/>
      <c r="V211" s="980"/>
      <c r="W211" s="981"/>
      <c r="X211" s="982"/>
      <c r="Y211" s="980"/>
      <c r="Z211" s="981"/>
      <c r="AA211" s="979"/>
    </row>
    <row r="212" spans="1:121" s="481" customFormat="1" ht="28.5" customHeight="1">
      <c r="A212" s="431">
        <v>230</v>
      </c>
      <c r="B212" s="342">
        <v>3524</v>
      </c>
      <c r="C212" s="343">
        <v>6121</v>
      </c>
      <c r="D212" s="542">
        <v>6215</v>
      </c>
      <c r="E212" s="638" t="s">
        <v>452</v>
      </c>
      <c r="F212" s="121" t="s">
        <v>241</v>
      </c>
      <c r="G212" s="35">
        <v>400</v>
      </c>
      <c r="H212" s="35">
        <v>2018</v>
      </c>
      <c r="I212" s="36">
        <v>2021</v>
      </c>
      <c r="J212" s="37">
        <f>K212+L212+M212+SUM(R212:AA212)</f>
        <v>13106</v>
      </c>
      <c r="K212" s="38">
        <v>107</v>
      </c>
      <c r="L212" s="39">
        <v>107</v>
      </c>
      <c r="M212" s="97">
        <f>N212+O212+P212+Q212</f>
        <v>10892</v>
      </c>
      <c r="N212" s="41">
        <v>10892</v>
      </c>
      <c r="O212" s="85">
        <v>0</v>
      </c>
      <c r="P212" s="42">
        <v>0</v>
      </c>
      <c r="Q212" s="39">
        <v>0</v>
      </c>
      <c r="R212" s="43">
        <v>0</v>
      </c>
      <c r="S212" s="42">
        <v>0</v>
      </c>
      <c r="T212" s="39">
        <v>1500</v>
      </c>
      <c r="U212" s="43">
        <v>0</v>
      </c>
      <c r="V212" s="42">
        <v>0</v>
      </c>
      <c r="W212" s="39">
        <v>500</v>
      </c>
      <c r="X212" s="43">
        <v>0</v>
      </c>
      <c r="Y212" s="42">
        <v>0</v>
      </c>
      <c r="Z212" s="39">
        <v>0</v>
      </c>
      <c r="AA212" s="44">
        <v>0</v>
      </c>
      <c r="AB212" s="245"/>
      <c r="AC212" s="245"/>
      <c r="AD212" s="245"/>
      <c r="AE212" s="245"/>
      <c r="AF212" s="245"/>
      <c r="AG212" s="245"/>
      <c r="AH212" s="245"/>
      <c r="AI212" s="245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</row>
    <row r="213" spans="1:121" s="481" customFormat="1" ht="28.5" customHeight="1" thickBot="1">
      <c r="A213" s="476">
        <v>230</v>
      </c>
      <c r="B213" s="342">
        <v>3524</v>
      </c>
      <c r="C213" s="343">
        <v>6121</v>
      </c>
      <c r="D213" s="483">
        <v>6219</v>
      </c>
      <c r="E213" s="209" t="s">
        <v>66</v>
      </c>
      <c r="F213" s="210" t="s">
        <v>241</v>
      </c>
      <c r="G213" s="99">
        <v>400</v>
      </c>
      <c r="H213" s="99">
        <v>2016</v>
      </c>
      <c r="I213" s="100">
        <v>2019</v>
      </c>
      <c r="J213" s="101">
        <f>K213+L213+M213+SUM(R213:AA213)</f>
        <v>79845</v>
      </c>
      <c r="K213" s="102">
        <v>0</v>
      </c>
      <c r="L213" s="103">
        <v>845</v>
      </c>
      <c r="M213" s="104">
        <f>N213+O213+P213+Q213</f>
        <v>61500</v>
      </c>
      <c r="N213" s="105">
        <v>61500</v>
      </c>
      <c r="O213" s="106">
        <v>0</v>
      </c>
      <c r="P213" s="107">
        <v>0</v>
      </c>
      <c r="Q213" s="103">
        <v>0</v>
      </c>
      <c r="R213" s="108">
        <v>0</v>
      </c>
      <c r="S213" s="107">
        <v>0</v>
      </c>
      <c r="T213" s="103">
        <v>17500</v>
      </c>
      <c r="U213" s="108">
        <v>0</v>
      </c>
      <c r="V213" s="107">
        <v>0</v>
      </c>
      <c r="W213" s="103">
        <v>0</v>
      </c>
      <c r="X213" s="108">
        <v>0</v>
      </c>
      <c r="Y213" s="107">
        <v>0</v>
      </c>
      <c r="Z213" s="103">
        <v>0</v>
      </c>
      <c r="AA213" s="109">
        <v>0</v>
      </c>
      <c r="AB213" s="14"/>
      <c r="AC213" s="14"/>
      <c r="AD213" s="14"/>
      <c r="AE213" s="14"/>
      <c r="AF213" s="245"/>
      <c r="AG213" s="245"/>
      <c r="AH213" s="245"/>
      <c r="AI213" s="245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</row>
    <row r="214" spans="1:121" s="481" customFormat="1" ht="28.5" customHeight="1" thickBot="1">
      <c r="A214" s="487"/>
      <c r="B214" s="472"/>
      <c r="C214" s="472"/>
      <c r="D214" s="309"/>
      <c r="E214" s="1509" t="s">
        <v>537</v>
      </c>
      <c r="F214" s="1509"/>
      <c r="G214" s="1509"/>
      <c r="H214" s="1509"/>
      <c r="I214" s="1510"/>
      <c r="J214" s="311">
        <f aca="true" t="shared" si="38" ref="J214:AA214">SUM(J212:J213)</f>
        <v>92951</v>
      </c>
      <c r="K214" s="311">
        <f t="shared" si="38"/>
        <v>107</v>
      </c>
      <c r="L214" s="312">
        <f t="shared" si="38"/>
        <v>952</v>
      </c>
      <c r="M214" s="311">
        <f t="shared" si="38"/>
        <v>72392</v>
      </c>
      <c r="N214" s="313">
        <f>SUM(N212:N213)</f>
        <v>72392</v>
      </c>
      <c r="O214" s="314">
        <f t="shared" si="38"/>
        <v>0</v>
      </c>
      <c r="P214" s="314">
        <f t="shared" si="38"/>
        <v>0</v>
      </c>
      <c r="Q214" s="312">
        <f t="shared" si="38"/>
        <v>0</v>
      </c>
      <c r="R214" s="315">
        <f t="shared" si="38"/>
        <v>0</v>
      </c>
      <c r="S214" s="314">
        <f t="shared" si="38"/>
        <v>0</v>
      </c>
      <c r="T214" s="316">
        <f t="shared" si="38"/>
        <v>19000</v>
      </c>
      <c r="U214" s="313">
        <f t="shared" si="38"/>
        <v>0</v>
      </c>
      <c r="V214" s="314">
        <f t="shared" si="38"/>
        <v>0</v>
      </c>
      <c r="W214" s="312">
        <f t="shared" si="38"/>
        <v>500</v>
      </c>
      <c r="X214" s="315">
        <f t="shared" si="38"/>
        <v>0</v>
      </c>
      <c r="Y214" s="314">
        <f t="shared" si="38"/>
        <v>0</v>
      </c>
      <c r="Z214" s="316">
        <f t="shared" si="38"/>
        <v>0</v>
      </c>
      <c r="AA214" s="317">
        <f t="shared" si="38"/>
        <v>0</v>
      </c>
      <c r="AB214" s="245"/>
      <c r="AC214" s="245"/>
      <c r="AD214" s="245"/>
      <c r="AE214" s="245"/>
      <c r="AF214" s="245"/>
      <c r="AG214" s="245"/>
      <c r="AH214" s="245"/>
      <c r="AI214" s="245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</row>
    <row r="215" spans="2:27" ht="28.5" customHeight="1" thickBot="1">
      <c r="B215" s="428"/>
      <c r="C215" s="429"/>
      <c r="D215" s="299" t="s">
        <v>360</v>
      </c>
      <c r="E215" s="299"/>
      <c r="F215" s="286"/>
      <c r="G215" s="286"/>
      <c r="H215" s="430"/>
      <c r="I215" s="286"/>
      <c r="J215" s="983"/>
      <c r="K215" s="977"/>
      <c r="L215" s="977"/>
      <c r="M215" s="298"/>
      <c r="N215" s="851"/>
      <c r="O215" s="978"/>
      <c r="P215" s="851"/>
      <c r="Q215" s="979"/>
      <c r="R215" s="978"/>
      <c r="S215" s="980"/>
      <c r="T215" s="981"/>
      <c r="U215" s="982"/>
      <c r="V215" s="980"/>
      <c r="W215" s="981"/>
      <c r="X215" s="982"/>
      <c r="Y215" s="980"/>
      <c r="Z215" s="981"/>
      <c r="AA215" s="979"/>
    </row>
    <row r="216" spans="1:121" s="481" customFormat="1" ht="28.5" customHeight="1">
      <c r="A216" s="476">
        <v>230</v>
      </c>
      <c r="B216" s="342">
        <v>3529</v>
      </c>
      <c r="C216" s="343">
        <v>6121</v>
      </c>
      <c r="D216" s="477">
        <v>6043</v>
      </c>
      <c r="E216" s="639" t="s">
        <v>67</v>
      </c>
      <c r="F216" s="121" t="s">
        <v>266</v>
      </c>
      <c r="G216" s="35">
        <v>400</v>
      </c>
      <c r="H216" s="35">
        <v>2012</v>
      </c>
      <c r="I216" s="36">
        <v>2019</v>
      </c>
      <c r="J216" s="37">
        <f>K216+L216+M216+SUM(R216:AA216)</f>
        <v>2907</v>
      </c>
      <c r="K216" s="38">
        <v>1907</v>
      </c>
      <c r="L216" s="39">
        <v>0</v>
      </c>
      <c r="M216" s="97">
        <f>N216+O216+P216+Q216</f>
        <v>0</v>
      </c>
      <c r="N216" s="41">
        <v>0</v>
      </c>
      <c r="O216" s="85">
        <f>1000-1000</f>
        <v>0</v>
      </c>
      <c r="P216" s="42">
        <v>0</v>
      </c>
      <c r="Q216" s="39">
        <v>0</v>
      </c>
      <c r="R216" s="43">
        <v>1000</v>
      </c>
      <c r="S216" s="42">
        <v>0</v>
      </c>
      <c r="T216" s="39">
        <v>0</v>
      </c>
      <c r="U216" s="43">
        <v>0</v>
      </c>
      <c r="V216" s="42">
        <v>0</v>
      </c>
      <c r="W216" s="39">
        <v>0</v>
      </c>
      <c r="X216" s="43">
        <v>0</v>
      </c>
      <c r="Y216" s="42">
        <v>0</v>
      </c>
      <c r="Z216" s="39">
        <v>0</v>
      </c>
      <c r="AA216" s="44">
        <v>0</v>
      </c>
      <c r="AB216" s="640"/>
      <c r="AC216" s="640"/>
      <c r="AD216" s="640"/>
      <c r="AE216" s="14"/>
      <c r="AF216" s="245"/>
      <c r="AG216" s="245"/>
      <c r="AH216" s="245"/>
      <c r="AI216" s="245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</row>
    <row r="217" spans="1:121" s="481" customFormat="1" ht="28.5" customHeight="1" thickBot="1">
      <c r="A217" s="476">
        <v>230</v>
      </c>
      <c r="B217" s="342">
        <v>3529</v>
      </c>
      <c r="C217" s="343">
        <v>6121</v>
      </c>
      <c r="D217" s="516">
        <v>6048</v>
      </c>
      <c r="E217" s="517" t="s">
        <v>68</v>
      </c>
      <c r="F217" s="96" t="s">
        <v>266</v>
      </c>
      <c r="G217" s="70">
        <v>400</v>
      </c>
      <c r="H217" s="70">
        <v>2016</v>
      </c>
      <c r="I217" s="71">
        <v>2020</v>
      </c>
      <c r="J217" s="72">
        <f>K217+L217+M217+SUM(R217:AA217)</f>
        <v>4984</v>
      </c>
      <c r="K217" s="73">
        <v>284</v>
      </c>
      <c r="L217" s="74">
        <v>0</v>
      </c>
      <c r="M217" s="75">
        <f>N217+O217+P217+Q217</f>
        <v>2700</v>
      </c>
      <c r="N217" s="76">
        <f>1000+1700</f>
        <v>2700</v>
      </c>
      <c r="O217" s="77">
        <v>0</v>
      </c>
      <c r="P217" s="78">
        <v>0</v>
      </c>
      <c r="Q217" s="74">
        <v>0</v>
      </c>
      <c r="R217" s="79">
        <v>2000</v>
      </c>
      <c r="S217" s="78">
        <v>0</v>
      </c>
      <c r="T217" s="74">
        <v>0</v>
      </c>
      <c r="U217" s="79">
        <v>0</v>
      </c>
      <c r="V217" s="78">
        <v>0</v>
      </c>
      <c r="W217" s="74">
        <v>0</v>
      </c>
      <c r="X217" s="79">
        <v>0</v>
      </c>
      <c r="Y217" s="78">
        <v>0</v>
      </c>
      <c r="Z217" s="74">
        <v>0</v>
      </c>
      <c r="AA217" s="80">
        <v>0</v>
      </c>
      <c r="AB217" s="640"/>
      <c r="AC217" s="640"/>
      <c r="AD217" s="640"/>
      <c r="AE217" s="14"/>
      <c r="AF217" s="245"/>
      <c r="AG217" s="245"/>
      <c r="AH217" s="245"/>
      <c r="AI217" s="245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</row>
    <row r="218" spans="1:121" s="481" customFormat="1" ht="28.5" customHeight="1" thickBot="1">
      <c r="A218" s="487"/>
      <c r="B218" s="472"/>
      <c r="C218" s="472"/>
      <c r="D218" s="309"/>
      <c r="E218" s="1509" t="s">
        <v>89</v>
      </c>
      <c r="F218" s="1509"/>
      <c r="G218" s="1509"/>
      <c r="H218" s="1509"/>
      <c r="I218" s="1510"/>
      <c r="J218" s="311">
        <f aca="true" t="shared" si="39" ref="J218:AA218">SUM(J216:J217)</f>
        <v>7891</v>
      </c>
      <c r="K218" s="311">
        <f t="shared" si="39"/>
        <v>2191</v>
      </c>
      <c r="L218" s="312">
        <f t="shared" si="39"/>
        <v>0</v>
      </c>
      <c r="M218" s="311">
        <f t="shared" si="39"/>
        <v>2700</v>
      </c>
      <c r="N218" s="313">
        <f t="shared" si="39"/>
        <v>2700</v>
      </c>
      <c r="O218" s="314">
        <f t="shared" si="39"/>
        <v>0</v>
      </c>
      <c r="P218" s="314">
        <f t="shared" si="39"/>
        <v>0</v>
      </c>
      <c r="Q218" s="312">
        <f t="shared" si="39"/>
        <v>0</v>
      </c>
      <c r="R218" s="315">
        <f t="shared" si="39"/>
        <v>3000</v>
      </c>
      <c r="S218" s="314">
        <f t="shared" si="39"/>
        <v>0</v>
      </c>
      <c r="T218" s="316">
        <f t="shared" si="39"/>
        <v>0</v>
      </c>
      <c r="U218" s="313">
        <f t="shared" si="39"/>
        <v>0</v>
      </c>
      <c r="V218" s="314">
        <f t="shared" si="39"/>
        <v>0</v>
      </c>
      <c r="W218" s="312">
        <f t="shared" si="39"/>
        <v>0</v>
      </c>
      <c r="X218" s="315">
        <f t="shared" si="39"/>
        <v>0</v>
      </c>
      <c r="Y218" s="314">
        <f t="shared" si="39"/>
        <v>0</v>
      </c>
      <c r="Z218" s="316">
        <f t="shared" si="39"/>
        <v>0</v>
      </c>
      <c r="AA218" s="317">
        <f t="shared" si="39"/>
        <v>0</v>
      </c>
      <c r="AB218" s="245"/>
      <c r="AC218" s="245"/>
      <c r="AD218" s="245"/>
      <c r="AE218" s="245"/>
      <c r="AF218" s="245"/>
      <c r="AG218" s="245"/>
      <c r="AH218" s="245"/>
      <c r="AI218" s="245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</row>
    <row r="219" spans="1:35" s="8" customFormat="1" ht="28.5" customHeight="1" thickBot="1">
      <c r="A219" s="170"/>
      <c r="B219" s="428"/>
      <c r="C219" s="429"/>
      <c r="D219" s="299" t="s">
        <v>538</v>
      </c>
      <c r="E219" s="299"/>
      <c r="F219" s="286"/>
      <c r="G219" s="286"/>
      <c r="H219" s="430"/>
      <c r="I219" s="286"/>
      <c r="J219" s="983"/>
      <c r="K219" s="977"/>
      <c r="L219" s="977"/>
      <c r="M219" s="298"/>
      <c r="N219" s="851"/>
      <c r="O219" s="978"/>
      <c r="P219" s="851"/>
      <c r="Q219" s="979"/>
      <c r="R219" s="978"/>
      <c r="S219" s="980"/>
      <c r="T219" s="981"/>
      <c r="U219" s="982"/>
      <c r="V219" s="980"/>
      <c r="W219" s="981"/>
      <c r="X219" s="982"/>
      <c r="Y219" s="980"/>
      <c r="Z219" s="981"/>
      <c r="AA219" s="979"/>
      <c r="AB219" s="245"/>
      <c r="AC219" s="245"/>
      <c r="AD219" s="245"/>
      <c r="AE219" s="245"/>
      <c r="AF219" s="245"/>
      <c r="AG219" s="245"/>
      <c r="AH219" s="245"/>
      <c r="AI219" s="245"/>
    </row>
    <row r="220" spans="1:35" s="8" customFormat="1" ht="28.5" customHeight="1" thickBot="1">
      <c r="A220" s="476">
        <v>170</v>
      </c>
      <c r="B220" s="342">
        <v>3599</v>
      </c>
      <c r="C220" s="343">
        <v>6121</v>
      </c>
      <c r="D220" s="306"/>
      <c r="E220" s="572" t="s">
        <v>604</v>
      </c>
      <c r="F220" s="122" t="s">
        <v>248</v>
      </c>
      <c r="G220" s="23">
        <v>400</v>
      </c>
      <c r="H220" s="23">
        <v>2019</v>
      </c>
      <c r="I220" s="24">
        <v>2020</v>
      </c>
      <c r="J220" s="25">
        <f>K220+L220+M220+SUM(R220:AA220)</f>
        <v>519782</v>
      </c>
      <c r="K220" s="26">
        <v>1907</v>
      </c>
      <c r="L220" s="27">
        <v>0</v>
      </c>
      <c r="M220" s="111">
        <f>N220+O220+P220+Q220</f>
        <v>517875</v>
      </c>
      <c r="N220" s="29">
        <f>417875+50000</f>
        <v>467875</v>
      </c>
      <c r="O220" s="30">
        <f>100000-50000</f>
        <v>50000</v>
      </c>
      <c r="P220" s="31">
        <v>0</v>
      </c>
      <c r="Q220" s="27">
        <v>0</v>
      </c>
      <c r="R220" s="32">
        <v>0</v>
      </c>
      <c r="S220" s="31">
        <v>0</v>
      </c>
      <c r="T220" s="27">
        <v>0</v>
      </c>
      <c r="U220" s="32">
        <v>0</v>
      </c>
      <c r="V220" s="31">
        <v>0</v>
      </c>
      <c r="W220" s="27">
        <v>0</v>
      </c>
      <c r="X220" s="32">
        <v>0</v>
      </c>
      <c r="Y220" s="31">
        <v>0</v>
      </c>
      <c r="Z220" s="27">
        <v>0</v>
      </c>
      <c r="AA220" s="33">
        <v>0</v>
      </c>
      <c r="AB220" s="245"/>
      <c r="AC220" s="245"/>
      <c r="AD220" s="245"/>
      <c r="AE220" s="245"/>
      <c r="AF220" s="245"/>
      <c r="AG220" s="245"/>
      <c r="AH220" s="245"/>
      <c r="AI220" s="245"/>
    </row>
    <row r="221" spans="1:35" s="8" customFormat="1" ht="28.5" customHeight="1" thickBot="1">
      <c r="A221" s="487"/>
      <c r="B221" s="472"/>
      <c r="C221" s="472"/>
      <c r="D221" s="309"/>
      <c r="E221" s="1509" t="s">
        <v>539</v>
      </c>
      <c r="F221" s="1509"/>
      <c r="G221" s="1509"/>
      <c r="H221" s="1509"/>
      <c r="I221" s="1510"/>
      <c r="J221" s="1007">
        <f aca="true" t="shared" si="40" ref="J221:AA221">SUM(J220:J220)</f>
        <v>519782</v>
      </c>
      <c r="K221" s="1007">
        <f t="shared" si="40"/>
        <v>1907</v>
      </c>
      <c r="L221" s="986">
        <f t="shared" si="40"/>
        <v>0</v>
      </c>
      <c r="M221" s="1008">
        <f t="shared" si="40"/>
        <v>517875</v>
      </c>
      <c r="N221" s="984">
        <f t="shared" si="40"/>
        <v>467875</v>
      </c>
      <c r="O221" s="985">
        <f t="shared" si="40"/>
        <v>50000</v>
      </c>
      <c r="P221" s="985">
        <f t="shared" si="40"/>
        <v>0</v>
      </c>
      <c r="Q221" s="986">
        <f t="shared" si="40"/>
        <v>0</v>
      </c>
      <c r="R221" s="1048">
        <f t="shared" si="40"/>
        <v>0</v>
      </c>
      <c r="S221" s="985">
        <f t="shared" si="40"/>
        <v>0</v>
      </c>
      <c r="T221" s="1049">
        <f t="shared" si="40"/>
        <v>0</v>
      </c>
      <c r="U221" s="984">
        <f t="shared" si="40"/>
        <v>0</v>
      </c>
      <c r="V221" s="985">
        <f t="shared" si="40"/>
        <v>0</v>
      </c>
      <c r="W221" s="986">
        <f t="shared" si="40"/>
        <v>0</v>
      </c>
      <c r="X221" s="1048">
        <f t="shared" si="40"/>
        <v>0</v>
      </c>
      <c r="Y221" s="985">
        <f t="shared" si="40"/>
        <v>0</v>
      </c>
      <c r="Z221" s="1049">
        <f t="shared" si="40"/>
        <v>0</v>
      </c>
      <c r="AA221" s="1008">
        <f t="shared" si="40"/>
        <v>0</v>
      </c>
      <c r="AB221" s="245"/>
      <c r="AC221" s="245"/>
      <c r="AD221" s="245"/>
      <c r="AE221" s="245"/>
      <c r="AF221" s="245"/>
      <c r="AG221" s="245"/>
      <c r="AH221" s="245"/>
      <c r="AI221" s="245"/>
    </row>
    <row r="222" spans="2:27" ht="28.5" customHeight="1" thickBot="1">
      <c r="B222" s="428"/>
      <c r="C222" s="429"/>
      <c r="D222" s="299" t="s">
        <v>91</v>
      </c>
      <c r="E222" s="299"/>
      <c r="F222" s="286"/>
      <c r="G222" s="286"/>
      <c r="H222" s="430"/>
      <c r="I222" s="286"/>
      <c r="J222" s="983"/>
      <c r="K222" s="977"/>
      <c r="L222" s="977"/>
      <c r="M222" s="298"/>
      <c r="N222" s="298"/>
      <c r="O222" s="978"/>
      <c r="P222" s="851"/>
      <c r="Q222" s="979"/>
      <c r="R222" s="978"/>
      <c r="S222" s="980"/>
      <c r="T222" s="981"/>
      <c r="U222" s="982"/>
      <c r="V222" s="980"/>
      <c r="W222" s="981"/>
      <c r="X222" s="982"/>
      <c r="Y222" s="980"/>
      <c r="Z222" s="981"/>
      <c r="AA222" s="979"/>
    </row>
    <row r="223" spans="1:27" ht="28.5" customHeight="1">
      <c r="A223" s="476">
        <v>230</v>
      </c>
      <c r="B223" s="342">
        <v>3612</v>
      </c>
      <c r="C223" s="343">
        <v>6121</v>
      </c>
      <c r="D223" s="542">
        <v>2010</v>
      </c>
      <c r="E223" s="638" t="s">
        <v>69</v>
      </c>
      <c r="F223" s="34" t="s">
        <v>248</v>
      </c>
      <c r="G223" s="35">
        <v>400</v>
      </c>
      <c r="H223" s="35">
        <v>2016</v>
      </c>
      <c r="I223" s="36">
        <v>2019</v>
      </c>
      <c r="J223" s="37">
        <f>K223+L223+M223+SUM(R223:AA223)</f>
        <v>30995</v>
      </c>
      <c r="K223" s="38">
        <v>894</v>
      </c>
      <c r="L223" s="39">
        <v>2855</v>
      </c>
      <c r="M223" s="97">
        <f>N223+O223+P223+Q223</f>
        <v>27246</v>
      </c>
      <c r="N223" s="41">
        <v>9657</v>
      </c>
      <c r="O223" s="85">
        <v>17589</v>
      </c>
      <c r="P223" s="42">
        <v>0</v>
      </c>
      <c r="Q223" s="39">
        <v>0</v>
      </c>
      <c r="R223" s="43">
        <v>0</v>
      </c>
      <c r="S223" s="42">
        <v>0</v>
      </c>
      <c r="T223" s="39">
        <v>0</v>
      </c>
      <c r="U223" s="43">
        <v>0</v>
      </c>
      <c r="V223" s="42">
        <v>0</v>
      </c>
      <c r="W223" s="39">
        <v>0</v>
      </c>
      <c r="X223" s="43">
        <v>0</v>
      </c>
      <c r="Y223" s="42">
        <v>0</v>
      </c>
      <c r="Z223" s="39">
        <v>0</v>
      </c>
      <c r="AA223" s="44">
        <v>0</v>
      </c>
    </row>
    <row r="224" spans="1:121" s="481" customFormat="1" ht="28.5" customHeight="1" thickBot="1">
      <c r="A224" s="573">
        <v>230</v>
      </c>
      <c r="B224" s="342">
        <v>3612</v>
      </c>
      <c r="C224" s="343">
        <v>6121</v>
      </c>
      <c r="D224" s="516">
        <v>8189</v>
      </c>
      <c r="E224" s="517" t="s">
        <v>482</v>
      </c>
      <c r="F224" s="178" t="s">
        <v>248</v>
      </c>
      <c r="G224" s="70">
        <v>400</v>
      </c>
      <c r="H224" s="70">
        <v>2018</v>
      </c>
      <c r="I224" s="71">
        <v>2020</v>
      </c>
      <c r="J224" s="72">
        <f>K224+L224+M224+SUM(R224:AA224)</f>
        <v>42527</v>
      </c>
      <c r="K224" s="73">
        <v>1476</v>
      </c>
      <c r="L224" s="74">
        <v>160</v>
      </c>
      <c r="M224" s="75">
        <f>N224+O224+P224+Q224</f>
        <v>10891</v>
      </c>
      <c r="N224" s="76">
        <v>1853</v>
      </c>
      <c r="O224" s="77">
        <f>29038-20000</f>
        <v>9038</v>
      </c>
      <c r="P224" s="78">
        <v>0</v>
      </c>
      <c r="Q224" s="74">
        <v>0</v>
      </c>
      <c r="R224" s="79">
        <f>10000+20000</f>
        <v>30000</v>
      </c>
      <c r="S224" s="78">
        <v>0</v>
      </c>
      <c r="T224" s="74">
        <v>0</v>
      </c>
      <c r="U224" s="79">
        <v>0</v>
      </c>
      <c r="V224" s="78">
        <v>0</v>
      </c>
      <c r="W224" s="74">
        <v>0</v>
      </c>
      <c r="X224" s="79">
        <v>0</v>
      </c>
      <c r="Y224" s="78">
        <v>0</v>
      </c>
      <c r="Z224" s="74">
        <v>0</v>
      </c>
      <c r="AA224" s="80">
        <v>0</v>
      </c>
      <c r="AB224" s="245"/>
      <c r="AC224" s="245"/>
      <c r="AD224" s="245"/>
      <c r="AE224" s="245"/>
      <c r="AF224" s="245"/>
      <c r="AG224" s="245"/>
      <c r="AH224" s="245"/>
      <c r="AI224" s="245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</row>
    <row r="225" spans="1:121" s="481" customFormat="1" ht="28.5" customHeight="1" thickBot="1">
      <c r="A225" s="487"/>
      <c r="B225" s="472"/>
      <c r="C225" s="472"/>
      <c r="D225" s="309"/>
      <c r="E225" s="1509" t="s">
        <v>90</v>
      </c>
      <c r="F225" s="1509"/>
      <c r="G225" s="1509"/>
      <c r="H225" s="1509"/>
      <c r="I225" s="1509"/>
      <c r="J225" s="317">
        <f aca="true" t="shared" si="41" ref="J225:AA225">SUM(J223:J224)</f>
        <v>73522</v>
      </c>
      <c r="K225" s="311">
        <f t="shared" si="41"/>
        <v>2370</v>
      </c>
      <c r="L225" s="312">
        <f t="shared" si="41"/>
        <v>3015</v>
      </c>
      <c r="M225" s="317">
        <f t="shared" si="41"/>
        <v>38137</v>
      </c>
      <c r="N225" s="313">
        <f t="shared" si="41"/>
        <v>11510</v>
      </c>
      <c r="O225" s="314">
        <f t="shared" si="41"/>
        <v>26627</v>
      </c>
      <c r="P225" s="314">
        <f t="shared" si="41"/>
        <v>0</v>
      </c>
      <c r="Q225" s="312">
        <f t="shared" si="41"/>
        <v>0</v>
      </c>
      <c r="R225" s="313">
        <f t="shared" si="41"/>
        <v>30000</v>
      </c>
      <c r="S225" s="314">
        <f t="shared" si="41"/>
        <v>0</v>
      </c>
      <c r="T225" s="312">
        <f t="shared" si="41"/>
        <v>0</v>
      </c>
      <c r="U225" s="313">
        <f t="shared" si="41"/>
        <v>0</v>
      </c>
      <c r="V225" s="314">
        <f t="shared" si="41"/>
        <v>0</v>
      </c>
      <c r="W225" s="312">
        <f t="shared" si="41"/>
        <v>0</v>
      </c>
      <c r="X225" s="313">
        <f t="shared" si="41"/>
        <v>0</v>
      </c>
      <c r="Y225" s="314">
        <f t="shared" si="41"/>
        <v>0</v>
      </c>
      <c r="Z225" s="312">
        <f t="shared" si="41"/>
        <v>0</v>
      </c>
      <c r="AA225" s="988">
        <f t="shared" si="41"/>
        <v>0</v>
      </c>
      <c r="AB225" s="245"/>
      <c r="AC225" s="245"/>
      <c r="AD225" s="245"/>
      <c r="AE225" s="245"/>
      <c r="AF225" s="245"/>
      <c r="AG225" s="245"/>
      <c r="AH225" s="245"/>
      <c r="AI225" s="245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</row>
    <row r="226" spans="2:27" ht="28.5" customHeight="1" thickBot="1">
      <c r="B226" s="428"/>
      <c r="C226" s="429"/>
      <c r="D226" s="299" t="s">
        <v>92</v>
      </c>
      <c r="E226" s="299"/>
      <c r="F226" s="286"/>
      <c r="G226" s="286"/>
      <c r="H226" s="430"/>
      <c r="I226" s="286"/>
      <c r="J226" s="983"/>
      <c r="K226" s="977"/>
      <c r="L226" s="977"/>
      <c r="M226" s="298"/>
      <c r="N226" s="298"/>
      <c r="O226" s="978"/>
      <c r="P226" s="851"/>
      <c r="Q226" s="979"/>
      <c r="R226" s="978"/>
      <c r="S226" s="980"/>
      <c r="T226" s="981"/>
      <c r="U226" s="982"/>
      <c r="V226" s="980"/>
      <c r="W226" s="981"/>
      <c r="X226" s="982"/>
      <c r="Y226" s="980"/>
      <c r="Z226" s="981"/>
      <c r="AA226" s="979"/>
    </row>
    <row r="227" spans="1:121" s="481" customFormat="1" ht="28.5" customHeight="1" thickBot="1">
      <c r="A227" s="642">
        <v>230</v>
      </c>
      <c r="B227" s="342">
        <v>3613</v>
      </c>
      <c r="C227" s="343">
        <v>6121</v>
      </c>
      <c r="D227" s="319">
        <v>8235</v>
      </c>
      <c r="E227" s="110" t="s">
        <v>70</v>
      </c>
      <c r="F227" s="22" t="s">
        <v>248</v>
      </c>
      <c r="G227" s="23">
        <v>400</v>
      </c>
      <c r="H227" s="643">
        <v>2018</v>
      </c>
      <c r="I227" s="644">
        <v>2020</v>
      </c>
      <c r="J227" s="25">
        <f>K227+L227+M227+SUM(R227:AA227)</f>
        <v>16240</v>
      </c>
      <c r="K227" s="26">
        <v>0</v>
      </c>
      <c r="L227" s="27">
        <v>240</v>
      </c>
      <c r="M227" s="111">
        <f>N227+O227+P227+Q227</f>
        <v>0</v>
      </c>
      <c r="N227" s="29">
        <v>0</v>
      </c>
      <c r="O227" s="30">
        <f>1000-1000</f>
        <v>0</v>
      </c>
      <c r="P227" s="31">
        <v>0</v>
      </c>
      <c r="Q227" s="27">
        <v>0</v>
      </c>
      <c r="R227" s="32">
        <f>15000+1000</f>
        <v>16000</v>
      </c>
      <c r="S227" s="31">
        <v>0</v>
      </c>
      <c r="T227" s="27">
        <v>0</v>
      </c>
      <c r="U227" s="32">
        <v>0</v>
      </c>
      <c r="V227" s="31">
        <v>0</v>
      </c>
      <c r="W227" s="27">
        <v>0</v>
      </c>
      <c r="X227" s="32">
        <v>0</v>
      </c>
      <c r="Y227" s="31">
        <v>0</v>
      </c>
      <c r="Z227" s="27">
        <v>0</v>
      </c>
      <c r="AA227" s="33">
        <v>0</v>
      </c>
      <c r="AB227" s="640"/>
      <c r="AC227" s="14"/>
      <c r="AD227" s="14"/>
      <c r="AE227" s="14"/>
      <c r="AF227" s="245"/>
      <c r="AG227" s="245"/>
      <c r="AH227" s="245"/>
      <c r="AI227" s="245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</row>
    <row r="228" spans="1:121" s="481" customFormat="1" ht="28.5" customHeight="1" thickBot="1">
      <c r="A228" s="487"/>
      <c r="B228" s="309"/>
      <c r="C228" s="472"/>
      <c r="D228" s="309"/>
      <c r="E228" s="1509" t="s">
        <v>93</v>
      </c>
      <c r="F228" s="1509"/>
      <c r="G228" s="1509"/>
      <c r="H228" s="1509"/>
      <c r="I228" s="1510"/>
      <c r="J228" s="311">
        <f>SUM(J227:J227)</f>
        <v>16240</v>
      </c>
      <c r="K228" s="311">
        <f>SUM(K227:K227)</f>
        <v>0</v>
      </c>
      <c r="L228" s="312">
        <f>SUM(L227:L227)</f>
        <v>240</v>
      </c>
      <c r="M228" s="311">
        <f aca="true" t="shared" si="42" ref="M228:AA228">SUM(M227:M227)</f>
        <v>0</v>
      </c>
      <c r="N228" s="984">
        <f t="shared" si="42"/>
        <v>0</v>
      </c>
      <c r="O228" s="985">
        <f t="shared" si="42"/>
        <v>0</v>
      </c>
      <c r="P228" s="1048">
        <f t="shared" si="42"/>
        <v>0</v>
      </c>
      <c r="Q228" s="1039">
        <f t="shared" si="42"/>
        <v>0</v>
      </c>
      <c r="R228" s="311">
        <f t="shared" si="42"/>
        <v>16000</v>
      </c>
      <c r="S228" s="984">
        <f t="shared" si="42"/>
        <v>0</v>
      </c>
      <c r="T228" s="1039">
        <f t="shared" si="42"/>
        <v>0</v>
      </c>
      <c r="U228" s="984">
        <f t="shared" si="42"/>
        <v>0</v>
      </c>
      <c r="V228" s="1048">
        <f t="shared" si="42"/>
        <v>0</v>
      </c>
      <c r="W228" s="1039">
        <f t="shared" si="42"/>
        <v>0</v>
      </c>
      <c r="X228" s="984">
        <f t="shared" si="42"/>
        <v>0</v>
      </c>
      <c r="Y228" s="1048">
        <f t="shared" si="42"/>
        <v>0</v>
      </c>
      <c r="Z228" s="1039">
        <f t="shared" si="42"/>
        <v>0</v>
      </c>
      <c r="AA228" s="311">
        <f t="shared" si="42"/>
        <v>0</v>
      </c>
      <c r="AB228" s="245"/>
      <c r="AC228" s="245"/>
      <c r="AD228" s="245"/>
      <c r="AE228" s="245"/>
      <c r="AF228" s="245"/>
      <c r="AG228" s="245"/>
      <c r="AH228" s="245"/>
      <c r="AI228" s="245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</row>
    <row r="229" spans="2:27" ht="28.5" customHeight="1" thickBot="1">
      <c r="B229" s="428"/>
      <c r="C229" s="429"/>
      <c r="D229" s="299" t="s">
        <v>94</v>
      </c>
      <c r="E229" s="299"/>
      <c r="F229" s="286"/>
      <c r="G229" s="286"/>
      <c r="H229" s="430"/>
      <c r="I229" s="286"/>
      <c r="J229" s="983"/>
      <c r="K229" s="977"/>
      <c r="L229" s="977"/>
      <c r="M229" s="298"/>
      <c r="N229" s="298"/>
      <c r="O229" s="978"/>
      <c r="P229" s="851"/>
      <c r="Q229" s="979"/>
      <c r="R229" s="978"/>
      <c r="S229" s="980"/>
      <c r="T229" s="981"/>
      <c r="U229" s="982"/>
      <c r="V229" s="980"/>
      <c r="W229" s="981"/>
      <c r="X229" s="982"/>
      <c r="Y229" s="980"/>
      <c r="Z229" s="981"/>
      <c r="AA229" s="979"/>
    </row>
    <row r="230" spans="1:35" ht="28.5" customHeight="1">
      <c r="A230" s="303">
        <v>230</v>
      </c>
      <c r="B230" s="342">
        <v>3631</v>
      </c>
      <c r="C230" s="343">
        <v>6121</v>
      </c>
      <c r="D230" s="477">
        <v>4042</v>
      </c>
      <c r="E230" s="1261" t="s">
        <v>71</v>
      </c>
      <c r="F230" s="121"/>
      <c r="G230" s="35">
        <v>400</v>
      </c>
      <c r="H230" s="35">
        <v>2019</v>
      </c>
      <c r="I230" s="36">
        <v>2019</v>
      </c>
      <c r="J230" s="37">
        <f aca="true" t="shared" si="43" ref="J230:J259">K230+L230+M230+SUM(R230:AA230)</f>
        <v>1250</v>
      </c>
      <c r="K230" s="38">
        <v>0</v>
      </c>
      <c r="L230" s="39">
        <v>0</v>
      </c>
      <c r="M230" s="97">
        <f aca="true" t="shared" si="44" ref="M230:M259">N230+O230+P230+Q230</f>
        <v>1250</v>
      </c>
      <c r="N230" s="41">
        <v>250</v>
      </c>
      <c r="O230" s="85">
        <f>3000-2000</f>
        <v>1000</v>
      </c>
      <c r="P230" s="42">
        <v>0</v>
      </c>
      <c r="Q230" s="39">
        <v>0</v>
      </c>
      <c r="R230" s="43">
        <v>0</v>
      </c>
      <c r="S230" s="42">
        <v>0</v>
      </c>
      <c r="T230" s="39">
        <v>0</v>
      </c>
      <c r="U230" s="43">
        <v>0</v>
      </c>
      <c r="V230" s="42">
        <v>0</v>
      </c>
      <c r="W230" s="39">
        <v>0</v>
      </c>
      <c r="X230" s="43">
        <v>0</v>
      </c>
      <c r="Y230" s="42">
        <v>0</v>
      </c>
      <c r="Z230" s="39">
        <v>0</v>
      </c>
      <c r="AA230" s="44">
        <v>0</v>
      </c>
      <c r="AB230" s="8"/>
      <c r="AC230" s="8"/>
      <c r="AD230" s="8"/>
      <c r="AE230" s="8"/>
      <c r="AF230" s="8"/>
      <c r="AG230" s="8"/>
      <c r="AH230" s="8"/>
      <c r="AI230" s="8"/>
    </row>
    <row r="231" spans="1:35" ht="28.5" customHeight="1">
      <c r="A231" s="303">
        <v>230</v>
      </c>
      <c r="B231" s="342">
        <v>3631</v>
      </c>
      <c r="C231" s="343">
        <v>6121</v>
      </c>
      <c r="D231" s="330">
        <v>4098</v>
      </c>
      <c r="E231" s="1262" t="s">
        <v>472</v>
      </c>
      <c r="F231" s="83"/>
      <c r="G231" s="67">
        <v>400</v>
      </c>
      <c r="H231" s="67">
        <v>2019</v>
      </c>
      <c r="I231" s="68">
        <v>2019</v>
      </c>
      <c r="J231" s="53">
        <f t="shared" si="43"/>
        <v>3255</v>
      </c>
      <c r="K231" s="54">
        <v>0</v>
      </c>
      <c r="L231" s="55">
        <v>0</v>
      </c>
      <c r="M231" s="56">
        <f t="shared" si="44"/>
        <v>3255</v>
      </c>
      <c r="N231" s="57">
        <v>2755</v>
      </c>
      <c r="O231" s="65">
        <v>500</v>
      </c>
      <c r="P231" s="58">
        <v>0</v>
      </c>
      <c r="Q231" s="55">
        <v>0</v>
      </c>
      <c r="R231" s="59">
        <v>0</v>
      </c>
      <c r="S231" s="58">
        <v>0</v>
      </c>
      <c r="T231" s="55">
        <v>0</v>
      </c>
      <c r="U231" s="59">
        <v>0</v>
      </c>
      <c r="V231" s="58">
        <v>0</v>
      </c>
      <c r="W231" s="55">
        <v>0</v>
      </c>
      <c r="X231" s="59">
        <v>0</v>
      </c>
      <c r="Y231" s="58">
        <v>0</v>
      </c>
      <c r="Z231" s="55">
        <v>0</v>
      </c>
      <c r="AA231" s="60">
        <v>0</v>
      </c>
      <c r="AB231" s="8"/>
      <c r="AC231" s="8"/>
      <c r="AD231" s="8"/>
      <c r="AE231" s="8"/>
      <c r="AF231" s="8"/>
      <c r="AG231" s="8"/>
      <c r="AH231" s="8"/>
      <c r="AI231" s="8"/>
    </row>
    <row r="232" spans="1:35" ht="28.5" customHeight="1">
      <c r="A232" s="303">
        <v>230</v>
      </c>
      <c r="B232" s="342">
        <v>3631</v>
      </c>
      <c r="C232" s="343">
        <v>6121</v>
      </c>
      <c r="D232" s="345">
        <v>4320</v>
      </c>
      <c r="E232" s="636" t="s">
        <v>543</v>
      </c>
      <c r="F232" s="244" t="s">
        <v>286</v>
      </c>
      <c r="G232" s="67">
        <v>400</v>
      </c>
      <c r="H232" s="67">
        <v>2018</v>
      </c>
      <c r="I232" s="68">
        <v>2019</v>
      </c>
      <c r="J232" s="53">
        <f t="shared" si="43"/>
        <v>4335</v>
      </c>
      <c r="K232" s="54">
        <v>0</v>
      </c>
      <c r="L232" s="55">
        <v>4294</v>
      </c>
      <c r="M232" s="56">
        <f t="shared" si="44"/>
        <v>41</v>
      </c>
      <c r="N232" s="57">
        <v>41</v>
      </c>
      <c r="O232" s="192">
        <v>0</v>
      </c>
      <c r="P232" s="58">
        <v>0</v>
      </c>
      <c r="Q232" s="55">
        <v>0</v>
      </c>
      <c r="R232" s="59">
        <v>0</v>
      </c>
      <c r="S232" s="58">
        <v>0</v>
      </c>
      <c r="T232" s="55">
        <v>0</v>
      </c>
      <c r="U232" s="59">
        <v>0</v>
      </c>
      <c r="V232" s="58">
        <v>0</v>
      </c>
      <c r="W232" s="55">
        <v>0</v>
      </c>
      <c r="X232" s="59">
        <v>0</v>
      </c>
      <c r="Y232" s="58">
        <v>0</v>
      </c>
      <c r="Z232" s="55">
        <v>0</v>
      </c>
      <c r="AA232" s="60">
        <v>0</v>
      </c>
      <c r="AB232" s="8"/>
      <c r="AC232" s="8"/>
      <c r="AD232" s="8"/>
      <c r="AE232" s="8"/>
      <c r="AF232" s="8"/>
      <c r="AG232" s="8"/>
      <c r="AH232" s="8"/>
      <c r="AI232" s="8"/>
    </row>
    <row r="233" spans="1:35" ht="28.5" customHeight="1">
      <c r="A233" s="303">
        <v>230</v>
      </c>
      <c r="B233" s="342">
        <v>3631</v>
      </c>
      <c r="C233" s="343">
        <v>6121</v>
      </c>
      <c r="D233" s="345">
        <v>4329</v>
      </c>
      <c r="E233" s="636" t="s">
        <v>544</v>
      </c>
      <c r="F233" s="244" t="s">
        <v>273</v>
      </c>
      <c r="G233" s="67">
        <v>400</v>
      </c>
      <c r="H233" s="67">
        <v>2018</v>
      </c>
      <c r="I233" s="68">
        <v>2019</v>
      </c>
      <c r="J233" s="53">
        <f t="shared" si="43"/>
        <v>6329</v>
      </c>
      <c r="K233" s="54">
        <v>0</v>
      </c>
      <c r="L233" s="55">
        <f>4599+350</f>
        <v>4949</v>
      </c>
      <c r="M233" s="56">
        <f t="shared" si="44"/>
        <v>1380</v>
      </c>
      <c r="N233" s="57">
        <v>1380</v>
      </c>
      <c r="O233" s="192">
        <v>0</v>
      </c>
      <c r="P233" s="58">
        <v>0</v>
      </c>
      <c r="Q233" s="55">
        <v>0</v>
      </c>
      <c r="R233" s="59">
        <v>0</v>
      </c>
      <c r="S233" s="58">
        <v>0</v>
      </c>
      <c r="T233" s="55">
        <v>0</v>
      </c>
      <c r="U233" s="59">
        <v>0</v>
      </c>
      <c r="V233" s="58">
        <v>0</v>
      </c>
      <c r="W233" s="55">
        <v>0</v>
      </c>
      <c r="X233" s="59">
        <v>0</v>
      </c>
      <c r="Y233" s="58">
        <v>0</v>
      </c>
      <c r="Z233" s="55">
        <v>0</v>
      </c>
      <c r="AA233" s="60">
        <v>0</v>
      </c>
      <c r="AB233" s="8"/>
      <c r="AC233" s="8"/>
      <c r="AD233" s="8"/>
      <c r="AE233" s="8"/>
      <c r="AF233" s="8"/>
      <c r="AG233" s="8"/>
      <c r="AH233" s="8"/>
      <c r="AI233" s="8"/>
    </row>
    <row r="234" spans="1:35" ht="28.5" customHeight="1">
      <c r="A234" s="303">
        <v>230</v>
      </c>
      <c r="B234" s="342">
        <v>3631</v>
      </c>
      <c r="C234" s="343">
        <v>6121</v>
      </c>
      <c r="D234" s="345">
        <v>4331</v>
      </c>
      <c r="E234" s="636" t="s">
        <v>545</v>
      </c>
      <c r="F234" s="244" t="s">
        <v>273</v>
      </c>
      <c r="G234" s="67">
        <v>400</v>
      </c>
      <c r="H234" s="67">
        <v>2018</v>
      </c>
      <c r="I234" s="68">
        <v>2019</v>
      </c>
      <c r="J234" s="53">
        <f t="shared" si="43"/>
        <v>5883</v>
      </c>
      <c r="K234" s="54">
        <v>0</v>
      </c>
      <c r="L234" s="55">
        <v>4983</v>
      </c>
      <c r="M234" s="56">
        <f t="shared" si="44"/>
        <v>900</v>
      </c>
      <c r="N234" s="57">
        <v>900</v>
      </c>
      <c r="O234" s="192">
        <v>0</v>
      </c>
      <c r="P234" s="58">
        <v>0</v>
      </c>
      <c r="Q234" s="55">
        <v>0</v>
      </c>
      <c r="R234" s="59">
        <v>0</v>
      </c>
      <c r="S234" s="58">
        <v>0</v>
      </c>
      <c r="T234" s="55">
        <v>0</v>
      </c>
      <c r="U234" s="59">
        <v>0</v>
      </c>
      <c r="V234" s="58">
        <v>0</v>
      </c>
      <c r="W234" s="55">
        <v>0</v>
      </c>
      <c r="X234" s="59">
        <v>0</v>
      </c>
      <c r="Y234" s="58">
        <v>0</v>
      </c>
      <c r="Z234" s="55">
        <v>0</v>
      </c>
      <c r="AA234" s="60">
        <v>0</v>
      </c>
      <c r="AB234" s="8"/>
      <c r="AC234" s="8"/>
      <c r="AD234" s="8"/>
      <c r="AE234" s="8"/>
      <c r="AF234" s="8"/>
      <c r="AG234" s="8"/>
      <c r="AH234" s="8"/>
      <c r="AI234" s="8"/>
    </row>
    <row r="235" spans="1:35" ht="28.5" customHeight="1">
      <c r="A235" s="303">
        <v>230</v>
      </c>
      <c r="B235" s="342">
        <v>3631</v>
      </c>
      <c r="C235" s="343">
        <v>6121</v>
      </c>
      <c r="D235" s="345">
        <v>4337</v>
      </c>
      <c r="E235" s="636" t="s">
        <v>546</v>
      </c>
      <c r="F235" s="244" t="s">
        <v>72</v>
      </c>
      <c r="G235" s="67">
        <v>400</v>
      </c>
      <c r="H235" s="67">
        <v>2018</v>
      </c>
      <c r="I235" s="68">
        <v>2019</v>
      </c>
      <c r="J235" s="53">
        <f t="shared" si="43"/>
        <v>476</v>
      </c>
      <c r="K235" s="54">
        <v>0</v>
      </c>
      <c r="L235" s="55">
        <v>231</v>
      </c>
      <c r="M235" s="56">
        <f t="shared" si="44"/>
        <v>245</v>
      </c>
      <c r="N235" s="57">
        <v>245</v>
      </c>
      <c r="O235" s="192">
        <v>0</v>
      </c>
      <c r="P235" s="58">
        <v>0</v>
      </c>
      <c r="Q235" s="55">
        <v>0</v>
      </c>
      <c r="R235" s="59">
        <v>0</v>
      </c>
      <c r="S235" s="58">
        <v>0</v>
      </c>
      <c r="T235" s="55">
        <v>0</v>
      </c>
      <c r="U235" s="59">
        <v>0</v>
      </c>
      <c r="V235" s="58">
        <v>0</v>
      </c>
      <c r="W235" s="55">
        <v>0</v>
      </c>
      <c r="X235" s="59">
        <v>0</v>
      </c>
      <c r="Y235" s="58">
        <v>0</v>
      </c>
      <c r="Z235" s="55">
        <v>0</v>
      </c>
      <c r="AA235" s="60">
        <v>0</v>
      </c>
      <c r="AB235" s="8"/>
      <c r="AC235" s="8"/>
      <c r="AD235" s="8"/>
      <c r="AE235" s="8"/>
      <c r="AF235" s="8"/>
      <c r="AG235" s="8"/>
      <c r="AH235" s="8"/>
      <c r="AI235" s="8"/>
    </row>
    <row r="236" spans="1:35" ht="28.5" customHeight="1">
      <c r="A236" s="303">
        <v>230</v>
      </c>
      <c r="B236" s="342">
        <v>3631</v>
      </c>
      <c r="C236" s="343">
        <v>6121</v>
      </c>
      <c r="D236" s="345">
        <v>4340</v>
      </c>
      <c r="E236" s="636" t="s">
        <v>547</v>
      </c>
      <c r="F236" s="244" t="s">
        <v>248</v>
      </c>
      <c r="G236" s="67">
        <v>400</v>
      </c>
      <c r="H236" s="67">
        <v>2018</v>
      </c>
      <c r="I236" s="68">
        <v>2019</v>
      </c>
      <c r="J236" s="53">
        <f t="shared" si="43"/>
        <v>2181</v>
      </c>
      <c r="K236" s="54">
        <v>0</v>
      </c>
      <c r="L236" s="55">
        <v>577</v>
      </c>
      <c r="M236" s="56">
        <f t="shared" si="44"/>
        <v>1604</v>
      </c>
      <c r="N236" s="57">
        <v>1604</v>
      </c>
      <c r="O236" s="192">
        <v>0</v>
      </c>
      <c r="P236" s="58">
        <v>0</v>
      </c>
      <c r="Q236" s="55">
        <v>0</v>
      </c>
      <c r="R236" s="59">
        <v>0</v>
      </c>
      <c r="S236" s="58">
        <v>0</v>
      </c>
      <c r="T236" s="55">
        <v>0</v>
      </c>
      <c r="U236" s="59">
        <v>0</v>
      </c>
      <c r="V236" s="58">
        <v>0</v>
      </c>
      <c r="W236" s="55">
        <v>0</v>
      </c>
      <c r="X236" s="59">
        <v>0</v>
      </c>
      <c r="Y236" s="58">
        <v>0</v>
      </c>
      <c r="Z236" s="55">
        <v>0</v>
      </c>
      <c r="AA236" s="60">
        <v>0</v>
      </c>
      <c r="AB236" s="8"/>
      <c r="AC236" s="8"/>
      <c r="AD236" s="8"/>
      <c r="AE236" s="8"/>
      <c r="AF236" s="8"/>
      <c r="AG236" s="8"/>
      <c r="AH236" s="8"/>
      <c r="AI236" s="8"/>
    </row>
    <row r="237" spans="1:35" ht="28.5" customHeight="1">
      <c r="A237" s="303">
        <v>230</v>
      </c>
      <c r="B237" s="342">
        <v>3631</v>
      </c>
      <c r="C237" s="343">
        <v>6121</v>
      </c>
      <c r="D237" s="345">
        <v>4342</v>
      </c>
      <c r="E237" s="636" t="s">
        <v>548</v>
      </c>
      <c r="F237" s="244" t="s">
        <v>248</v>
      </c>
      <c r="G237" s="67">
        <v>400</v>
      </c>
      <c r="H237" s="67">
        <v>2018</v>
      </c>
      <c r="I237" s="68">
        <v>2019</v>
      </c>
      <c r="J237" s="53">
        <f t="shared" si="43"/>
        <v>3162</v>
      </c>
      <c r="K237" s="54">
        <v>0</v>
      </c>
      <c r="L237" s="55">
        <v>1330</v>
      </c>
      <c r="M237" s="56">
        <f t="shared" si="44"/>
        <v>1832</v>
      </c>
      <c r="N237" s="57">
        <v>1832</v>
      </c>
      <c r="O237" s="192">
        <v>0</v>
      </c>
      <c r="P237" s="58">
        <v>0</v>
      </c>
      <c r="Q237" s="55">
        <v>0</v>
      </c>
      <c r="R237" s="59">
        <v>0</v>
      </c>
      <c r="S237" s="58">
        <v>0</v>
      </c>
      <c r="T237" s="55">
        <v>0</v>
      </c>
      <c r="U237" s="59">
        <v>0</v>
      </c>
      <c r="V237" s="58">
        <v>0</v>
      </c>
      <c r="W237" s="55">
        <v>0</v>
      </c>
      <c r="X237" s="59">
        <v>0</v>
      </c>
      <c r="Y237" s="58">
        <v>0</v>
      </c>
      <c r="Z237" s="55">
        <v>0</v>
      </c>
      <c r="AA237" s="60">
        <v>0</v>
      </c>
      <c r="AB237" s="8"/>
      <c r="AC237" s="8"/>
      <c r="AD237" s="8"/>
      <c r="AE237" s="8"/>
      <c r="AF237" s="8"/>
      <c r="AG237" s="8"/>
      <c r="AH237" s="8"/>
      <c r="AI237" s="8"/>
    </row>
    <row r="238" spans="1:35" ht="28.5" customHeight="1">
      <c r="A238" s="303">
        <v>230</v>
      </c>
      <c r="B238" s="342">
        <v>3631</v>
      </c>
      <c r="C238" s="343">
        <v>6121</v>
      </c>
      <c r="D238" s="345">
        <v>4343</v>
      </c>
      <c r="E238" s="1263" t="s">
        <v>549</v>
      </c>
      <c r="F238" s="244" t="s">
        <v>241</v>
      </c>
      <c r="G238" s="67">
        <v>400</v>
      </c>
      <c r="H238" s="67">
        <v>2018</v>
      </c>
      <c r="I238" s="68">
        <v>2019</v>
      </c>
      <c r="J238" s="53">
        <f t="shared" si="43"/>
        <v>808</v>
      </c>
      <c r="K238" s="54">
        <v>0</v>
      </c>
      <c r="L238" s="55">
        <v>104</v>
      </c>
      <c r="M238" s="56">
        <f t="shared" si="44"/>
        <v>704</v>
      </c>
      <c r="N238" s="57">
        <v>704</v>
      </c>
      <c r="O238" s="192">
        <v>0</v>
      </c>
      <c r="P238" s="58">
        <v>0</v>
      </c>
      <c r="Q238" s="55">
        <v>0</v>
      </c>
      <c r="R238" s="59">
        <v>0</v>
      </c>
      <c r="S238" s="58">
        <v>0</v>
      </c>
      <c r="T238" s="55">
        <v>0</v>
      </c>
      <c r="U238" s="59">
        <v>0</v>
      </c>
      <c r="V238" s="58">
        <v>0</v>
      </c>
      <c r="W238" s="55">
        <v>0</v>
      </c>
      <c r="X238" s="59">
        <v>0</v>
      </c>
      <c r="Y238" s="58">
        <v>0</v>
      </c>
      <c r="Z238" s="55">
        <v>0</v>
      </c>
      <c r="AA238" s="60">
        <v>0</v>
      </c>
      <c r="AB238" s="8"/>
      <c r="AC238" s="8"/>
      <c r="AD238" s="8"/>
      <c r="AE238" s="8"/>
      <c r="AF238" s="8"/>
      <c r="AG238" s="8"/>
      <c r="AH238" s="8"/>
      <c r="AI238" s="8"/>
    </row>
    <row r="239" spans="1:35" ht="28.5" customHeight="1">
      <c r="A239" s="303">
        <v>230</v>
      </c>
      <c r="B239" s="342">
        <v>3631</v>
      </c>
      <c r="C239" s="343">
        <v>6121</v>
      </c>
      <c r="D239" s="344">
        <v>4344</v>
      </c>
      <c r="E239" s="587" t="s">
        <v>550</v>
      </c>
      <c r="F239" s="244" t="s">
        <v>241</v>
      </c>
      <c r="G239" s="67">
        <v>400</v>
      </c>
      <c r="H239" s="67">
        <v>2018</v>
      </c>
      <c r="I239" s="68">
        <v>2019</v>
      </c>
      <c r="J239" s="53">
        <f t="shared" si="43"/>
        <v>254</v>
      </c>
      <c r="K239" s="54">
        <v>0</v>
      </c>
      <c r="L239" s="55">
        <v>51</v>
      </c>
      <c r="M239" s="56">
        <f t="shared" si="44"/>
        <v>203</v>
      </c>
      <c r="N239" s="57">
        <v>203</v>
      </c>
      <c r="O239" s="192">
        <v>0</v>
      </c>
      <c r="P239" s="58">
        <v>0</v>
      </c>
      <c r="Q239" s="55">
        <v>0</v>
      </c>
      <c r="R239" s="59">
        <v>0</v>
      </c>
      <c r="S239" s="58">
        <v>0</v>
      </c>
      <c r="T239" s="55">
        <v>0</v>
      </c>
      <c r="U239" s="59">
        <v>0</v>
      </c>
      <c r="V239" s="58">
        <v>0</v>
      </c>
      <c r="W239" s="55">
        <v>0</v>
      </c>
      <c r="X239" s="59">
        <v>0</v>
      </c>
      <c r="Y239" s="58">
        <v>0</v>
      </c>
      <c r="Z239" s="55">
        <v>0</v>
      </c>
      <c r="AA239" s="60">
        <v>0</v>
      </c>
      <c r="AB239" s="8"/>
      <c r="AC239" s="8"/>
      <c r="AD239" s="8"/>
      <c r="AE239" s="8"/>
      <c r="AF239" s="8"/>
      <c r="AG239" s="8"/>
      <c r="AH239" s="8"/>
      <c r="AI239" s="8"/>
    </row>
    <row r="240" spans="1:35" ht="28.5" customHeight="1">
      <c r="A240" s="303">
        <v>230</v>
      </c>
      <c r="B240" s="342">
        <v>3631</v>
      </c>
      <c r="C240" s="343">
        <v>6121</v>
      </c>
      <c r="D240" s="344">
        <v>4345</v>
      </c>
      <c r="E240" s="587" t="s">
        <v>473</v>
      </c>
      <c r="F240" s="244" t="s">
        <v>286</v>
      </c>
      <c r="G240" s="67">
        <v>400</v>
      </c>
      <c r="H240" s="67">
        <v>2018</v>
      </c>
      <c r="I240" s="68">
        <v>2019</v>
      </c>
      <c r="J240" s="53">
        <f t="shared" si="43"/>
        <v>7500</v>
      </c>
      <c r="K240" s="54">
        <v>0</v>
      </c>
      <c r="L240" s="55">
        <v>0</v>
      </c>
      <c r="M240" s="56">
        <f t="shared" si="44"/>
        <v>7500</v>
      </c>
      <c r="N240" s="57">
        <v>0</v>
      </c>
      <c r="O240" s="192">
        <v>7500</v>
      </c>
      <c r="P240" s="58">
        <v>0</v>
      </c>
      <c r="Q240" s="55">
        <v>0</v>
      </c>
      <c r="R240" s="59">
        <v>0</v>
      </c>
      <c r="S240" s="58">
        <v>0</v>
      </c>
      <c r="T240" s="55">
        <v>0</v>
      </c>
      <c r="U240" s="59">
        <v>0</v>
      </c>
      <c r="V240" s="58">
        <v>0</v>
      </c>
      <c r="W240" s="55">
        <v>0</v>
      </c>
      <c r="X240" s="59">
        <v>0</v>
      </c>
      <c r="Y240" s="58">
        <v>0</v>
      </c>
      <c r="Z240" s="55">
        <v>0</v>
      </c>
      <c r="AA240" s="60">
        <v>0</v>
      </c>
      <c r="AB240" s="8"/>
      <c r="AC240" s="8"/>
      <c r="AD240" s="8"/>
      <c r="AE240" s="8"/>
      <c r="AF240" s="8"/>
      <c r="AG240" s="8"/>
      <c r="AH240" s="8"/>
      <c r="AI240" s="8"/>
    </row>
    <row r="241" spans="1:35" ht="28.5" customHeight="1">
      <c r="A241" s="303">
        <v>230</v>
      </c>
      <c r="B241" s="342">
        <v>3631</v>
      </c>
      <c r="C241" s="343">
        <v>6121</v>
      </c>
      <c r="D241" s="344">
        <v>4346</v>
      </c>
      <c r="E241" s="587" t="s">
        <v>474</v>
      </c>
      <c r="F241" s="244" t="s">
        <v>286</v>
      </c>
      <c r="G241" s="67">
        <v>400</v>
      </c>
      <c r="H241" s="67">
        <v>2018</v>
      </c>
      <c r="I241" s="68">
        <v>2019</v>
      </c>
      <c r="J241" s="53">
        <f t="shared" si="43"/>
        <v>7500</v>
      </c>
      <c r="K241" s="54">
        <v>0</v>
      </c>
      <c r="L241" s="55">
        <v>0</v>
      </c>
      <c r="M241" s="56">
        <f t="shared" si="44"/>
        <v>7500</v>
      </c>
      <c r="N241" s="57">
        <v>0</v>
      </c>
      <c r="O241" s="192">
        <v>7500</v>
      </c>
      <c r="P241" s="58">
        <v>0</v>
      </c>
      <c r="Q241" s="55">
        <v>0</v>
      </c>
      <c r="R241" s="59">
        <v>0</v>
      </c>
      <c r="S241" s="58">
        <v>0</v>
      </c>
      <c r="T241" s="55">
        <v>0</v>
      </c>
      <c r="U241" s="59">
        <v>0</v>
      </c>
      <c r="V241" s="58">
        <v>0</v>
      </c>
      <c r="W241" s="55">
        <v>0</v>
      </c>
      <c r="X241" s="59">
        <v>0</v>
      </c>
      <c r="Y241" s="58">
        <v>0</v>
      </c>
      <c r="Z241" s="55">
        <v>0</v>
      </c>
      <c r="AA241" s="60">
        <v>0</v>
      </c>
      <c r="AB241" s="8"/>
      <c r="AC241" s="8"/>
      <c r="AD241" s="8"/>
      <c r="AE241" s="8"/>
      <c r="AF241" s="8"/>
      <c r="AG241" s="8"/>
      <c r="AH241" s="8"/>
      <c r="AI241" s="8"/>
    </row>
    <row r="242" spans="1:121" s="646" customFormat="1" ht="28.5" customHeight="1">
      <c r="A242" s="303">
        <v>230</v>
      </c>
      <c r="B242" s="342">
        <v>3631</v>
      </c>
      <c r="C242" s="343">
        <v>6121</v>
      </c>
      <c r="D242" s="344">
        <v>4347</v>
      </c>
      <c r="E242" s="587" t="s">
        <v>475</v>
      </c>
      <c r="F242" s="244" t="s">
        <v>248</v>
      </c>
      <c r="G242" s="67">
        <v>400</v>
      </c>
      <c r="H242" s="67">
        <v>2018</v>
      </c>
      <c r="I242" s="68">
        <v>2019</v>
      </c>
      <c r="J242" s="53">
        <f t="shared" si="43"/>
        <v>6000</v>
      </c>
      <c r="K242" s="54">
        <v>0</v>
      </c>
      <c r="L242" s="55">
        <v>0</v>
      </c>
      <c r="M242" s="56">
        <f t="shared" si="44"/>
        <v>6000</v>
      </c>
      <c r="N242" s="57">
        <v>0</v>
      </c>
      <c r="O242" s="192">
        <v>6000</v>
      </c>
      <c r="P242" s="58">
        <v>0</v>
      </c>
      <c r="Q242" s="55">
        <v>0</v>
      </c>
      <c r="R242" s="59">
        <v>0</v>
      </c>
      <c r="S242" s="58">
        <v>0</v>
      </c>
      <c r="T242" s="55">
        <v>0</v>
      </c>
      <c r="U242" s="59">
        <v>0</v>
      </c>
      <c r="V242" s="58">
        <v>0</v>
      </c>
      <c r="W242" s="55">
        <v>0</v>
      </c>
      <c r="X242" s="59">
        <v>0</v>
      </c>
      <c r="Y242" s="58">
        <v>0</v>
      </c>
      <c r="Z242" s="55">
        <v>0</v>
      </c>
      <c r="AA242" s="60">
        <v>0</v>
      </c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645"/>
      <c r="AX242" s="645"/>
      <c r="AY242" s="645"/>
      <c r="AZ242" s="645"/>
      <c r="BA242" s="645"/>
      <c r="BB242" s="645"/>
      <c r="BC242" s="645"/>
      <c r="BD242" s="645"/>
      <c r="BE242" s="645"/>
      <c r="BF242" s="645"/>
      <c r="BG242" s="645"/>
      <c r="BH242" s="645"/>
      <c r="BI242" s="645"/>
      <c r="BJ242" s="645"/>
      <c r="BK242" s="645"/>
      <c r="BL242" s="645"/>
      <c r="BM242" s="645"/>
      <c r="BN242" s="645"/>
      <c r="BO242" s="645"/>
      <c r="BP242" s="645"/>
      <c r="BQ242" s="645"/>
      <c r="BR242" s="645"/>
      <c r="BS242" s="645"/>
      <c r="BT242" s="645"/>
      <c r="BU242" s="645"/>
      <c r="BV242" s="645"/>
      <c r="BW242" s="645"/>
      <c r="BX242" s="645"/>
      <c r="BY242" s="645"/>
      <c r="BZ242" s="645"/>
      <c r="CA242" s="645"/>
      <c r="CB242" s="645"/>
      <c r="CC242" s="645"/>
      <c r="CD242" s="645"/>
      <c r="CE242" s="645"/>
      <c r="CF242" s="645"/>
      <c r="CG242" s="645"/>
      <c r="CH242" s="645"/>
      <c r="CI242" s="645"/>
      <c r="CJ242" s="645"/>
      <c r="CK242" s="645"/>
      <c r="CL242" s="645"/>
      <c r="CM242" s="645"/>
      <c r="CN242" s="645"/>
      <c r="CO242" s="645"/>
      <c r="CP242" s="645"/>
      <c r="CQ242" s="645"/>
      <c r="CR242" s="645"/>
      <c r="CS242" s="645"/>
      <c r="CT242" s="645"/>
      <c r="CU242" s="645"/>
      <c r="CV242" s="645"/>
      <c r="CW242" s="645"/>
      <c r="CX242" s="645"/>
      <c r="CY242" s="645"/>
      <c r="CZ242" s="645"/>
      <c r="DA242" s="645"/>
      <c r="DB242" s="645"/>
      <c r="DC242" s="645"/>
      <c r="DD242" s="645"/>
      <c r="DE242" s="645"/>
      <c r="DF242" s="645"/>
      <c r="DG242" s="645"/>
      <c r="DH242" s="645"/>
      <c r="DI242" s="645"/>
      <c r="DJ242" s="645"/>
      <c r="DK242" s="645"/>
      <c r="DL242" s="645"/>
      <c r="DM242" s="645"/>
      <c r="DN242" s="645"/>
      <c r="DO242" s="645"/>
      <c r="DP242" s="645"/>
      <c r="DQ242" s="645"/>
    </row>
    <row r="243" spans="1:121" s="646" customFormat="1" ht="28.5" customHeight="1">
      <c r="A243" s="303">
        <v>230</v>
      </c>
      <c r="B243" s="342">
        <v>3631</v>
      </c>
      <c r="C243" s="343">
        <v>6121</v>
      </c>
      <c r="D243" s="344">
        <v>4348</v>
      </c>
      <c r="E243" s="587" t="s">
        <v>528</v>
      </c>
      <c r="F243" s="244" t="s">
        <v>243</v>
      </c>
      <c r="G243" s="67">
        <v>400</v>
      </c>
      <c r="H243" s="67">
        <v>2018</v>
      </c>
      <c r="I243" s="68">
        <v>2019</v>
      </c>
      <c r="J243" s="53">
        <f t="shared" si="43"/>
        <v>500</v>
      </c>
      <c r="K243" s="54">
        <v>0</v>
      </c>
      <c r="L243" s="55">
        <v>0</v>
      </c>
      <c r="M243" s="56">
        <f t="shared" si="44"/>
        <v>500</v>
      </c>
      <c r="N243" s="57">
        <v>0</v>
      </c>
      <c r="O243" s="192">
        <v>500</v>
      </c>
      <c r="P243" s="58">
        <v>0</v>
      </c>
      <c r="Q243" s="55">
        <v>0</v>
      </c>
      <c r="R243" s="59">
        <v>0</v>
      </c>
      <c r="S243" s="58">
        <v>0</v>
      </c>
      <c r="T243" s="55">
        <v>0</v>
      </c>
      <c r="U243" s="59">
        <v>0</v>
      </c>
      <c r="V243" s="58">
        <v>0</v>
      </c>
      <c r="W243" s="55">
        <v>0</v>
      </c>
      <c r="X243" s="59">
        <v>0</v>
      </c>
      <c r="Y243" s="58">
        <v>0</v>
      </c>
      <c r="Z243" s="55">
        <v>0</v>
      </c>
      <c r="AA243" s="60">
        <v>0</v>
      </c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645"/>
      <c r="AX243" s="645"/>
      <c r="AY243" s="645"/>
      <c r="AZ243" s="645"/>
      <c r="BA243" s="645"/>
      <c r="BB243" s="645"/>
      <c r="BC243" s="645"/>
      <c r="BD243" s="645"/>
      <c r="BE243" s="645"/>
      <c r="BF243" s="645"/>
      <c r="BG243" s="645"/>
      <c r="BH243" s="645"/>
      <c r="BI243" s="645"/>
      <c r="BJ243" s="645"/>
      <c r="BK243" s="645"/>
      <c r="BL243" s="645"/>
      <c r="BM243" s="645"/>
      <c r="BN243" s="645"/>
      <c r="BO243" s="645"/>
      <c r="BP243" s="645"/>
      <c r="BQ243" s="645"/>
      <c r="BR243" s="645"/>
      <c r="BS243" s="645"/>
      <c r="BT243" s="645"/>
      <c r="BU243" s="645"/>
      <c r="BV243" s="645"/>
      <c r="BW243" s="645"/>
      <c r="BX243" s="645"/>
      <c r="BY243" s="645"/>
      <c r="BZ243" s="645"/>
      <c r="CA243" s="645"/>
      <c r="CB243" s="645"/>
      <c r="CC243" s="645"/>
      <c r="CD243" s="645"/>
      <c r="CE243" s="645"/>
      <c r="CF243" s="645"/>
      <c r="CG243" s="645"/>
      <c r="CH243" s="645"/>
      <c r="CI243" s="645"/>
      <c r="CJ243" s="645"/>
      <c r="CK243" s="645"/>
      <c r="CL243" s="645"/>
      <c r="CM243" s="645"/>
      <c r="CN243" s="645"/>
      <c r="CO243" s="645"/>
      <c r="CP243" s="645"/>
      <c r="CQ243" s="645"/>
      <c r="CR243" s="645"/>
      <c r="CS243" s="645"/>
      <c r="CT243" s="645"/>
      <c r="CU243" s="645"/>
      <c r="CV243" s="645"/>
      <c r="CW243" s="645"/>
      <c r="CX243" s="645"/>
      <c r="CY243" s="645"/>
      <c r="CZ243" s="645"/>
      <c r="DA243" s="645"/>
      <c r="DB243" s="645"/>
      <c r="DC243" s="645"/>
      <c r="DD243" s="645"/>
      <c r="DE243" s="645"/>
      <c r="DF243" s="645"/>
      <c r="DG243" s="645"/>
      <c r="DH243" s="645"/>
      <c r="DI243" s="645"/>
      <c r="DJ243" s="645"/>
      <c r="DK243" s="645"/>
      <c r="DL243" s="645"/>
      <c r="DM243" s="645"/>
      <c r="DN243" s="645"/>
      <c r="DO243" s="645"/>
      <c r="DP243" s="645"/>
      <c r="DQ243" s="645"/>
    </row>
    <row r="244" spans="1:121" s="647" customFormat="1" ht="28.5" customHeight="1">
      <c r="A244" s="303">
        <v>230</v>
      </c>
      <c r="B244" s="342">
        <v>3631</v>
      </c>
      <c r="C244" s="343">
        <v>6121</v>
      </c>
      <c r="D244" s="344">
        <v>4349</v>
      </c>
      <c r="E244" s="587" t="s">
        <v>476</v>
      </c>
      <c r="F244" s="244" t="s">
        <v>72</v>
      </c>
      <c r="G244" s="67">
        <v>400</v>
      </c>
      <c r="H244" s="67">
        <v>2018</v>
      </c>
      <c r="I244" s="68">
        <v>2019</v>
      </c>
      <c r="J244" s="53">
        <f t="shared" si="43"/>
        <v>4420</v>
      </c>
      <c r="K244" s="54">
        <v>0</v>
      </c>
      <c r="L244" s="55">
        <v>0</v>
      </c>
      <c r="M244" s="56">
        <f t="shared" si="44"/>
        <v>2240</v>
      </c>
      <c r="N244" s="57">
        <v>1740</v>
      </c>
      <c r="O244" s="192">
        <v>500</v>
      </c>
      <c r="P244" s="58">
        <v>0</v>
      </c>
      <c r="Q244" s="55">
        <v>0</v>
      </c>
      <c r="R244" s="59">
        <v>2180</v>
      </c>
      <c r="S244" s="58">
        <v>0</v>
      </c>
      <c r="T244" s="55">
        <v>0</v>
      </c>
      <c r="U244" s="59">
        <v>0</v>
      </c>
      <c r="V244" s="58">
        <v>0</v>
      </c>
      <c r="W244" s="55">
        <v>0</v>
      </c>
      <c r="X244" s="59">
        <v>0</v>
      </c>
      <c r="Y244" s="58">
        <v>0</v>
      </c>
      <c r="Z244" s="55">
        <v>0</v>
      </c>
      <c r="AA244" s="60">
        <v>0</v>
      </c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</row>
    <row r="245" spans="1:121" s="647" customFormat="1" ht="28.5" customHeight="1">
      <c r="A245" s="303">
        <v>230</v>
      </c>
      <c r="B245" s="342">
        <v>3631</v>
      </c>
      <c r="C245" s="343">
        <v>6121</v>
      </c>
      <c r="D245" s="344"/>
      <c r="E245" s="587" t="s">
        <v>480</v>
      </c>
      <c r="F245" s="244" t="s">
        <v>273</v>
      </c>
      <c r="G245" s="67">
        <v>400</v>
      </c>
      <c r="H245" s="67">
        <v>2018</v>
      </c>
      <c r="I245" s="68">
        <v>2019</v>
      </c>
      <c r="J245" s="53">
        <f t="shared" si="43"/>
        <v>220</v>
      </c>
      <c r="K245" s="54">
        <v>0</v>
      </c>
      <c r="L245" s="55">
        <v>0</v>
      </c>
      <c r="M245" s="56">
        <f t="shared" si="44"/>
        <v>0</v>
      </c>
      <c r="N245" s="57">
        <v>0</v>
      </c>
      <c r="O245" s="192">
        <v>0</v>
      </c>
      <c r="P245" s="58">
        <v>0</v>
      </c>
      <c r="Q245" s="55">
        <v>0</v>
      </c>
      <c r="R245" s="59">
        <v>220</v>
      </c>
      <c r="S245" s="58">
        <v>0</v>
      </c>
      <c r="T245" s="55">
        <v>0</v>
      </c>
      <c r="U245" s="59">
        <v>0</v>
      </c>
      <c r="V245" s="58">
        <v>0</v>
      </c>
      <c r="W245" s="55">
        <v>0</v>
      </c>
      <c r="X245" s="59">
        <v>0</v>
      </c>
      <c r="Y245" s="58">
        <v>0</v>
      </c>
      <c r="Z245" s="55">
        <v>0</v>
      </c>
      <c r="AA245" s="60">
        <v>0</v>
      </c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</row>
    <row r="246" spans="1:121" s="647" customFormat="1" ht="28.5" customHeight="1">
      <c r="A246" s="303">
        <v>230</v>
      </c>
      <c r="B246" s="342">
        <v>3631</v>
      </c>
      <c r="C246" s="343">
        <v>6121</v>
      </c>
      <c r="D246" s="344"/>
      <c r="E246" s="587" t="s">
        <v>481</v>
      </c>
      <c r="F246" s="244" t="s">
        <v>273</v>
      </c>
      <c r="G246" s="67">
        <v>400</v>
      </c>
      <c r="H246" s="67">
        <v>2018</v>
      </c>
      <c r="I246" s="68">
        <v>2019</v>
      </c>
      <c r="J246" s="53">
        <f t="shared" si="43"/>
        <v>700</v>
      </c>
      <c r="K246" s="54">
        <v>0</v>
      </c>
      <c r="L246" s="55">
        <v>0</v>
      </c>
      <c r="M246" s="56">
        <f t="shared" si="44"/>
        <v>0</v>
      </c>
      <c r="N246" s="57">
        <v>0</v>
      </c>
      <c r="O246" s="192">
        <v>0</v>
      </c>
      <c r="P246" s="58">
        <v>0</v>
      </c>
      <c r="Q246" s="55">
        <v>0</v>
      </c>
      <c r="R246" s="59">
        <v>700</v>
      </c>
      <c r="S246" s="58">
        <v>0</v>
      </c>
      <c r="T246" s="55">
        <v>0</v>
      </c>
      <c r="U246" s="59">
        <v>0</v>
      </c>
      <c r="V246" s="58">
        <v>0</v>
      </c>
      <c r="W246" s="55">
        <v>0</v>
      </c>
      <c r="X246" s="59">
        <v>0</v>
      </c>
      <c r="Y246" s="58">
        <v>0</v>
      </c>
      <c r="Z246" s="55">
        <v>0</v>
      </c>
      <c r="AA246" s="60">
        <v>0</v>
      </c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</row>
    <row r="247" spans="1:121" s="647" customFormat="1" ht="28.5" customHeight="1">
      <c r="A247" s="303">
        <v>230</v>
      </c>
      <c r="B247" s="342">
        <v>3631</v>
      </c>
      <c r="C247" s="343">
        <v>6121</v>
      </c>
      <c r="D247" s="344"/>
      <c r="E247" s="587" t="s">
        <v>73</v>
      </c>
      <c r="F247" s="648" t="s">
        <v>254</v>
      </c>
      <c r="G247" s="67">
        <v>400</v>
      </c>
      <c r="H247" s="67">
        <v>2018</v>
      </c>
      <c r="I247" s="68">
        <v>2019</v>
      </c>
      <c r="J247" s="53">
        <f t="shared" si="43"/>
        <v>2670</v>
      </c>
      <c r="K247" s="54">
        <v>0</v>
      </c>
      <c r="L247" s="55">
        <v>0</v>
      </c>
      <c r="M247" s="56">
        <f t="shared" si="44"/>
        <v>0</v>
      </c>
      <c r="N247" s="57">
        <v>0</v>
      </c>
      <c r="O247" s="192">
        <v>0</v>
      </c>
      <c r="P247" s="58">
        <v>0</v>
      </c>
      <c r="Q247" s="55">
        <v>0</v>
      </c>
      <c r="R247" s="59">
        <v>2670</v>
      </c>
      <c r="S247" s="58">
        <v>0</v>
      </c>
      <c r="T247" s="55">
        <v>0</v>
      </c>
      <c r="U247" s="59">
        <v>0</v>
      </c>
      <c r="V247" s="58">
        <v>0</v>
      </c>
      <c r="W247" s="55">
        <v>0</v>
      </c>
      <c r="X247" s="59">
        <v>0</v>
      </c>
      <c r="Y247" s="58">
        <v>0</v>
      </c>
      <c r="Z247" s="55">
        <v>0</v>
      </c>
      <c r="AA247" s="60">
        <v>0</v>
      </c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</row>
    <row r="248" spans="1:121" s="647" customFormat="1" ht="28.5" customHeight="1">
      <c r="A248" s="303">
        <v>230</v>
      </c>
      <c r="B248" s="342">
        <v>3631</v>
      </c>
      <c r="C248" s="343">
        <v>6121</v>
      </c>
      <c r="D248" s="344"/>
      <c r="E248" s="587" t="s">
        <v>74</v>
      </c>
      <c r="F248" s="649" t="s">
        <v>254</v>
      </c>
      <c r="G248" s="67">
        <v>400</v>
      </c>
      <c r="H248" s="67">
        <v>2018</v>
      </c>
      <c r="I248" s="68">
        <v>2019</v>
      </c>
      <c r="J248" s="53">
        <f t="shared" si="43"/>
        <v>6530</v>
      </c>
      <c r="K248" s="54">
        <v>0</v>
      </c>
      <c r="L248" s="55">
        <v>0</v>
      </c>
      <c r="M248" s="56">
        <f t="shared" si="44"/>
        <v>0</v>
      </c>
      <c r="N248" s="57">
        <v>0</v>
      </c>
      <c r="O248" s="192">
        <v>0</v>
      </c>
      <c r="P248" s="58">
        <v>0</v>
      </c>
      <c r="Q248" s="55">
        <v>0</v>
      </c>
      <c r="R248" s="59">
        <v>6530</v>
      </c>
      <c r="S248" s="58">
        <v>0</v>
      </c>
      <c r="T248" s="55">
        <v>0</v>
      </c>
      <c r="U248" s="59">
        <v>0</v>
      </c>
      <c r="V248" s="58">
        <v>0</v>
      </c>
      <c r="W248" s="55">
        <v>0</v>
      </c>
      <c r="X248" s="59">
        <v>0</v>
      </c>
      <c r="Y248" s="58">
        <v>0</v>
      </c>
      <c r="Z248" s="55">
        <v>0</v>
      </c>
      <c r="AA248" s="60">
        <v>0</v>
      </c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</row>
    <row r="249" spans="1:121" s="647" customFormat="1" ht="28.5" customHeight="1">
      <c r="A249" s="303">
        <v>230</v>
      </c>
      <c r="B249" s="342">
        <v>3631</v>
      </c>
      <c r="C249" s="343">
        <v>6121</v>
      </c>
      <c r="D249" s="344"/>
      <c r="E249" s="587" t="s">
        <v>75</v>
      </c>
      <c r="F249" s="207" t="s">
        <v>273</v>
      </c>
      <c r="G249" s="67">
        <v>400</v>
      </c>
      <c r="H249" s="67">
        <v>2019</v>
      </c>
      <c r="I249" s="68">
        <v>2019</v>
      </c>
      <c r="J249" s="53">
        <f t="shared" si="43"/>
        <v>2400</v>
      </c>
      <c r="K249" s="54">
        <v>0</v>
      </c>
      <c r="L249" s="55">
        <v>0</v>
      </c>
      <c r="M249" s="56">
        <f t="shared" si="44"/>
        <v>0</v>
      </c>
      <c r="N249" s="57">
        <v>0</v>
      </c>
      <c r="O249" s="192">
        <v>0</v>
      </c>
      <c r="P249" s="58">
        <v>0</v>
      </c>
      <c r="Q249" s="55">
        <v>0</v>
      </c>
      <c r="R249" s="59">
        <v>2400</v>
      </c>
      <c r="S249" s="58">
        <v>0</v>
      </c>
      <c r="T249" s="55">
        <v>0</v>
      </c>
      <c r="U249" s="59">
        <v>0</v>
      </c>
      <c r="V249" s="58">
        <v>0</v>
      </c>
      <c r="W249" s="55">
        <v>0</v>
      </c>
      <c r="X249" s="59">
        <v>0</v>
      </c>
      <c r="Y249" s="58">
        <v>0</v>
      </c>
      <c r="Z249" s="55">
        <v>0</v>
      </c>
      <c r="AA249" s="60">
        <v>0</v>
      </c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</row>
    <row r="250" spans="1:121" s="647" customFormat="1" ht="28.5" customHeight="1">
      <c r="A250" s="303">
        <v>230</v>
      </c>
      <c r="B250" s="342">
        <v>3631</v>
      </c>
      <c r="C250" s="343">
        <v>6121</v>
      </c>
      <c r="D250" s="344"/>
      <c r="E250" s="587" t="s">
        <v>76</v>
      </c>
      <c r="F250" s="207" t="s">
        <v>273</v>
      </c>
      <c r="G250" s="67">
        <v>400</v>
      </c>
      <c r="H250" s="67">
        <v>2019</v>
      </c>
      <c r="I250" s="68">
        <v>2019</v>
      </c>
      <c r="J250" s="53">
        <f t="shared" si="43"/>
        <v>1350</v>
      </c>
      <c r="K250" s="54">
        <v>0</v>
      </c>
      <c r="L250" s="55">
        <v>0</v>
      </c>
      <c r="M250" s="56">
        <f t="shared" si="44"/>
        <v>0</v>
      </c>
      <c r="N250" s="57">
        <v>0</v>
      </c>
      <c r="O250" s="192">
        <v>0</v>
      </c>
      <c r="P250" s="58">
        <v>0</v>
      </c>
      <c r="Q250" s="55">
        <v>0</v>
      </c>
      <c r="R250" s="59">
        <v>1350</v>
      </c>
      <c r="S250" s="58">
        <v>0</v>
      </c>
      <c r="T250" s="55">
        <v>0</v>
      </c>
      <c r="U250" s="59">
        <v>0</v>
      </c>
      <c r="V250" s="58">
        <v>0</v>
      </c>
      <c r="W250" s="55">
        <v>0</v>
      </c>
      <c r="X250" s="59">
        <v>0</v>
      </c>
      <c r="Y250" s="58">
        <v>0</v>
      </c>
      <c r="Z250" s="55">
        <v>0</v>
      </c>
      <c r="AA250" s="60">
        <v>0</v>
      </c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</row>
    <row r="251" spans="1:121" s="647" customFormat="1" ht="28.5" customHeight="1">
      <c r="A251" s="303">
        <v>230</v>
      </c>
      <c r="B251" s="342">
        <v>3631</v>
      </c>
      <c r="C251" s="343">
        <v>6121</v>
      </c>
      <c r="D251" s="344"/>
      <c r="E251" s="587" t="s">
        <v>77</v>
      </c>
      <c r="F251" s="126" t="s">
        <v>273</v>
      </c>
      <c r="G251" s="67">
        <v>400</v>
      </c>
      <c r="H251" s="67">
        <v>2019</v>
      </c>
      <c r="I251" s="68">
        <v>2019</v>
      </c>
      <c r="J251" s="53">
        <f t="shared" si="43"/>
        <v>1870</v>
      </c>
      <c r="K251" s="54">
        <v>0</v>
      </c>
      <c r="L251" s="55">
        <v>0</v>
      </c>
      <c r="M251" s="56">
        <f t="shared" si="44"/>
        <v>0</v>
      </c>
      <c r="N251" s="57">
        <v>0</v>
      </c>
      <c r="O251" s="192">
        <v>0</v>
      </c>
      <c r="P251" s="58">
        <v>0</v>
      </c>
      <c r="Q251" s="55">
        <v>0</v>
      </c>
      <c r="R251" s="59">
        <v>1870</v>
      </c>
      <c r="S251" s="58">
        <v>0</v>
      </c>
      <c r="T251" s="55">
        <v>0</v>
      </c>
      <c r="U251" s="59">
        <v>0</v>
      </c>
      <c r="V251" s="58">
        <v>0</v>
      </c>
      <c r="W251" s="55">
        <v>0</v>
      </c>
      <c r="X251" s="59">
        <v>0</v>
      </c>
      <c r="Y251" s="58">
        <v>0</v>
      </c>
      <c r="Z251" s="55">
        <v>0</v>
      </c>
      <c r="AA251" s="60">
        <v>0</v>
      </c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</row>
    <row r="252" spans="1:121" s="647" customFormat="1" ht="28.5" customHeight="1">
      <c r="A252" s="303">
        <v>230</v>
      </c>
      <c r="B252" s="342">
        <v>3631</v>
      </c>
      <c r="C252" s="343">
        <v>6121</v>
      </c>
      <c r="D252" s="344"/>
      <c r="E252" s="587" t="s">
        <v>78</v>
      </c>
      <c r="F252" s="126" t="s">
        <v>242</v>
      </c>
      <c r="G252" s="67">
        <v>400</v>
      </c>
      <c r="H252" s="67">
        <v>2019</v>
      </c>
      <c r="I252" s="68">
        <v>2019</v>
      </c>
      <c r="J252" s="53">
        <f t="shared" si="43"/>
        <v>1330</v>
      </c>
      <c r="K252" s="54">
        <v>0</v>
      </c>
      <c r="L252" s="55">
        <v>0</v>
      </c>
      <c r="M252" s="56">
        <f t="shared" si="44"/>
        <v>0</v>
      </c>
      <c r="N252" s="57">
        <v>0</v>
      </c>
      <c r="O252" s="192">
        <v>0</v>
      </c>
      <c r="P252" s="58">
        <v>0</v>
      </c>
      <c r="Q252" s="55">
        <v>0</v>
      </c>
      <c r="R252" s="59">
        <v>1330</v>
      </c>
      <c r="S252" s="58">
        <v>0</v>
      </c>
      <c r="T252" s="55">
        <v>0</v>
      </c>
      <c r="U252" s="59">
        <v>0</v>
      </c>
      <c r="V252" s="58">
        <v>0</v>
      </c>
      <c r="W252" s="55">
        <v>0</v>
      </c>
      <c r="X252" s="59">
        <v>0</v>
      </c>
      <c r="Y252" s="58">
        <v>0</v>
      </c>
      <c r="Z252" s="55">
        <v>0</v>
      </c>
      <c r="AA252" s="60">
        <v>0</v>
      </c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</row>
    <row r="253" spans="1:121" s="647" customFormat="1" ht="28.5" customHeight="1">
      <c r="A253" s="303">
        <v>230</v>
      </c>
      <c r="B253" s="342">
        <v>3631</v>
      </c>
      <c r="C253" s="343">
        <v>6121</v>
      </c>
      <c r="D253" s="344"/>
      <c r="E253" s="587" t="s">
        <v>79</v>
      </c>
      <c r="F253" s="126" t="s">
        <v>254</v>
      </c>
      <c r="G253" s="67">
        <v>400</v>
      </c>
      <c r="H253" s="67">
        <v>2019</v>
      </c>
      <c r="I253" s="68">
        <v>2019</v>
      </c>
      <c r="J253" s="53">
        <f t="shared" si="43"/>
        <v>2420</v>
      </c>
      <c r="K253" s="54">
        <v>0</v>
      </c>
      <c r="L253" s="55">
        <v>0</v>
      </c>
      <c r="M253" s="56">
        <f t="shared" si="44"/>
        <v>0</v>
      </c>
      <c r="N253" s="57">
        <v>0</v>
      </c>
      <c r="O253" s="192">
        <v>0</v>
      </c>
      <c r="P253" s="58">
        <v>0</v>
      </c>
      <c r="Q253" s="55">
        <v>0</v>
      </c>
      <c r="R253" s="59">
        <v>2420</v>
      </c>
      <c r="S253" s="58">
        <v>0</v>
      </c>
      <c r="T253" s="55">
        <v>0</v>
      </c>
      <c r="U253" s="59">
        <v>0</v>
      </c>
      <c r="V253" s="58">
        <v>0</v>
      </c>
      <c r="W253" s="55">
        <v>0</v>
      </c>
      <c r="X253" s="59">
        <v>0</v>
      </c>
      <c r="Y253" s="58">
        <v>0</v>
      </c>
      <c r="Z253" s="55">
        <v>0</v>
      </c>
      <c r="AA253" s="60">
        <v>0</v>
      </c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</row>
    <row r="254" spans="1:121" s="647" customFormat="1" ht="28.5" customHeight="1">
      <c r="A254" s="303">
        <v>230</v>
      </c>
      <c r="B254" s="342">
        <v>3631</v>
      </c>
      <c r="C254" s="343">
        <v>6121</v>
      </c>
      <c r="D254" s="344"/>
      <c r="E254" s="587" t="s">
        <v>80</v>
      </c>
      <c r="F254" s="126" t="s">
        <v>247</v>
      </c>
      <c r="G254" s="67">
        <v>400</v>
      </c>
      <c r="H254" s="67">
        <v>2019</v>
      </c>
      <c r="I254" s="68">
        <v>2019</v>
      </c>
      <c r="J254" s="53">
        <f t="shared" si="43"/>
        <v>1580</v>
      </c>
      <c r="K254" s="54">
        <v>0</v>
      </c>
      <c r="L254" s="55">
        <v>0</v>
      </c>
      <c r="M254" s="56">
        <f t="shared" si="44"/>
        <v>0</v>
      </c>
      <c r="N254" s="57">
        <v>0</v>
      </c>
      <c r="O254" s="192">
        <v>0</v>
      </c>
      <c r="P254" s="58">
        <v>0</v>
      </c>
      <c r="Q254" s="55">
        <v>0</v>
      </c>
      <c r="R254" s="59">
        <v>1580</v>
      </c>
      <c r="S254" s="58">
        <v>0</v>
      </c>
      <c r="T254" s="55">
        <v>0</v>
      </c>
      <c r="U254" s="59">
        <v>0</v>
      </c>
      <c r="V254" s="58">
        <v>0</v>
      </c>
      <c r="W254" s="55">
        <v>0</v>
      </c>
      <c r="X254" s="59">
        <v>0</v>
      </c>
      <c r="Y254" s="58">
        <v>0</v>
      </c>
      <c r="Z254" s="55">
        <v>0</v>
      </c>
      <c r="AA254" s="60">
        <v>0</v>
      </c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</row>
    <row r="255" spans="1:121" s="647" customFormat="1" ht="28.5" customHeight="1">
      <c r="A255" s="303">
        <v>230</v>
      </c>
      <c r="B255" s="342">
        <v>3631</v>
      </c>
      <c r="C255" s="343">
        <v>6121</v>
      </c>
      <c r="D255" s="344"/>
      <c r="E255" s="587" t="s">
        <v>125</v>
      </c>
      <c r="F255" s="126" t="s">
        <v>286</v>
      </c>
      <c r="G255" s="67">
        <v>400</v>
      </c>
      <c r="H255" s="67">
        <v>2019</v>
      </c>
      <c r="I255" s="68">
        <v>2019</v>
      </c>
      <c r="J255" s="53">
        <f t="shared" si="43"/>
        <v>1640</v>
      </c>
      <c r="K255" s="54">
        <v>0</v>
      </c>
      <c r="L255" s="55">
        <v>0</v>
      </c>
      <c r="M255" s="56">
        <f t="shared" si="44"/>
        <v>0</v>
      </c>
      <c r="N255" s="57">
        <v>0</v>
      </c>
      <c r="O255" s="192">
        <v>0</v>
      </c>
      <c r="P255" s="58">
        <v>0</v>
      </c>
      <c r="Q255" s="55">
        <v>0</v>
      </c>
      <c r="R255" s="59">
        <v>1640</v>
      </c>
      <c r="S255" s="58">
        <v>0</v>
      </c>
      <c r="T255" s="55">
        <v>0</v>
      </c>
      <c r="U255" s="59">
        <v>0</v>
      </c>
      <c r="V255" s="58">
        <v>0</v>
      </c>
      <c r="W255" s="55">
        <v>0</v>
      </c>
      <c r="X255" s="59">
        <v>0</v>
      </c>
      <c r="Y255" s="58">
        <v>0</v>
      </c>
      <c r="Z255" s="55">
        <v>0</v>
      </c>
      <c r="AA255" s="60">
        <v>0</v>
      </c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</row>
    <row r="256" spans="1:121" s="647" customFormat="1" ht="28.5" customHeight="1">
      <c r="A256" s="303">
        <v>230</v>
      </c>
      <c r="B256" s="342">
        <v>3631</v>
      </c>
      <c r="C256" s="343">
        <v>6121</v>
      </c>
      <c r="D256" s="344"/>
      <c r="E256" s="587" t="s">
        <v>126</v>
      </c>
      <c r="F256" s="207" t="s">
        <v>254</v>
      </c>
      <c r="G256" s="67">
        <v>400</v>
      </c>
      <c r="H256" s="67">
        <v>2019</v>
      </c>
      <c r="I256" s="68">
        <v>2019</v>
      </c>
      <c r="J256" s="53">
        <f t="shared" si="43"/>
        <v>2660</v>
      </c>
      <c r="K256" s="54">
        <v>0</v>
      </c>
      <c r="L256" s="55">
        <v>0</v>
      </c>
      <c r="M256" s="56">
        <f t="shared" si="44"/>
        <v>0</v>
      </c>
      <c r="N256" s="57">
        <v>0</v>
      </c>
      <c r="O256" s="192">
        <v>0</v>
      </c>
      <c r="P256" s="58">
        <v>0</v>
      </c>
      <c r="Q256" s="55">
        <v>0</v>
      </c>
      <c r="R256" s="59">
        <f>2660-2660</f>
        <v>0</v>
      </c>
      <c r="S256" s="58">
        <v>0</v>
      </c>
      <c r="T256" s="55">
        <v>0</v>
      </c>
      <c r="U256" s="59">
        <v>2660</v>
      </c>
      <c r="V256" s="58">
        <v>0</v>
      </c>
      <c r="W256" s="55">
        <v>0</v>
      </c>
      <c r="X256" s="59">
        <v>0</v>
      </c>
      <c r="Y256" s="58">
        <v>0</v>
      </c>
      <c r="Z256" s="55">
        <v>0</v>
      </c>
      <c r="AA256" s="60">
        <v>0</v>
      </c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</row>
    <row r="257" spans="1:121" s="647" customFormat="1" ht="28.5" customHeight="1">
      <c r="A257" s="303">
        <v>230</v>
      </c>
      <c r="B257" s="342">
        <v>3631</v>
      </c>
      <c r="C257" s="343">
        <v>6121</v>
      </c>
      <c r="D257" s="344"/>
      <c r="E257" s="1260" t="s">
        <v>127</v>
      </c>
      <c r="F257" s="650" t="s">
        <v>250</v>
      </c>
      <c r="G257" s="67">
        <v>400</v>
      </c>
      <c r="H257" s="67">
        <v>2019</v>
      </c>
      <c r="I257" s="68">
        <v>2019</v>
      </c>
      <c r="J257" s="53">
        <f t="shared" si="43"/>
        <v>330</v>
      </c>
      <c r="K257" s="54">
        <v>0</v>
      </c>
      <c r="L257" s="55">
        <v>0</v>
      </c>
      <c r="M257" s="56">
        <f t="shared" si="44"/>
        <v>0</v>
      </c>
      <c r="N257" s="57">
        <v>0</v>
      </c>
      <c r="O257" s="192">
        <v>0</v>
      </c>
      <c r="P257" s="58">
        <v>0</v>
      </c>
      <c r="Q257" s="55">
        <v>0</v>
      </c>
      <c r="R257" s="59">
        <f>330-330</f>
        <v>0</v>
      </c>
      <c r="S257" s="58">
        <v>0</v>
      </c>
      <c r="T257" s="55">
        <v>0</v>
      </c>
      <c r="U257" s="59">
        <v>330</v>
      </c>
      <c r="V257" s="58">
        <v>0</v>
      </c>
      <c r="W257" s="55">
        <v>0</v>
      </c>
      <c r="X257" s="59">
        <v>0</v>
      </c>
      <c r="Y257" s="58">
        <v>0</v>
      </c>
      <c r="Z257" s="55">
        <v>0</v>
      </c>
      <c r="AA257" s="60">
        <v>0</v>
      </c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</row>
    <row r="258" spans="1:121" s="647" customFormat="1" ht="28.5" customHeight="1">
      <c r="A258" s="303">
        <v>230</v>
      </c>
      <c r="B258" s="342">
        <v>3631</v>
      </c>
      <c r="C258" s="343">
        <v>6121</v>
      </c>
      <c r="D258" s="344"/>
      <c r="E258" s="1260" t="s">
        <v>477</v>
      </c>
      <c r="F258" s="244" t="s">
        <v>72</v>
      </c>
      <c r="G258" s="67">
        <v>400</v>
      </c>
      <c r="H258" s="67">
        <v>2019</v>
      </c>
      <c r="I258" s="68">
        <v>2019</v>
      </c>
      <c r="J258" s="53">
        <f t="shared" si="43"/>
        <v>5000</v>
      </c>
      <c r="K258" s="54">
        <v>0</v>
      </c>
      <c r="L258" s="55">
        <v>0</v>
      </c>
      <c r="M258" s="56">
        <f t="shared" si="44"/>
        <v>0</v>
      </c>
      <c r="N258" s="57">
        <v>0</v>
      </c>
      <c r="O258" s="192">
        <v>0</v>
      </c>
      <c r="P258" s="58">
        <v>0</v>
      </c>
      <c r="Q258" s="55">
        <v>0</v>
      </c>
      <c r="R258" s="59">
        <f>5000-5000</f>
        <v>0</v>
      </c>
      <c r="S258" s="58">
        <v>0</v>
      </c>
      <c r="T258" s="55">
        <v>0</v>
      </c>
      <c r="U258" s="59">
        <v>5000</v>
      </c>
      <c r="V258" s="58">
        <v>0</v>
      </c>
      <c r="W258" s="55">
        <v>0</v>
      </c>
      <c r="X258" s="59">
        <v>0</v>
      </c>
      <c r="Y258" s="58">
        <v>0</v>
      </c>
      <c r="Z258" s="55">
        <v>0</v>
      </c>
      <c r="AA258" s="60">
        <v>0</v>
      </c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</row>
    <row r="259" spans="1:121" s="16" customFormat="1" ht="28.5" customHeight="1">
      <c r="A259" s="303">
        <v>230</v>
      </c>
      <c r="B259" s="342">
        <v>3631</v>
      </c>
      <c r="C259" s="343">
        <v>6121</v>
      </c>
      <c r="D259" s="344"/>
      <c r="E259" s="1264" t="s">
        <v>478</v>
      </c>
      <c r="F259" s="244" t="s">
        <v>273</v>
      </c>
      <c r="G259" s="67">
        <v>400</v>
      </c>
      <c r="H259" s="67">
        <v>2019</v>
      </c>
      <c r="I259" s="68">
        <v>2019</v>
      </c>
      <c r="J259" s="53">
        <f t="shared" si="43"/>
        <v>7300</v>
      </c>
      <c r="K259" s="54">
        <v>0</v>
      </c>
      <c r="L259" s="55">
        <v>0</v>
      </c>
      <c r="M259" s="56">
        <f t="shared" si="44"/>
        <v>0</v>
      </c>
      <c r="N259" s="57">
        <v>0</v>
      </c>
      <c r="O259" s="192">
        <v>0</v>
      </c>
      <c r="P259" s="58">
        <v>0</v>
      </c>
      <c r="Q259" s="55">
        <v>0</v>
      </c>
      <c r="R259" s="59">
        <f>7300-7300</f>
        <v>0</v>
      </c>
      <c r="S259" s="58">
        <v>0</v>
      </c>
      <c r="T259" s="55">
        <v>0</v>
      </c>
      <c r="U259" s="59">
        <v>7300</v>
      </c>
      <c r="V259" s="58">
        <v>0</v>
      </c>
      <c r="W259" s="55">
        <v>0</v>
      </c>
      <c r="X259" s="59">
        <v>0</v>
      </c>
      <c r="Y259" s="58">
        <v>0</v>
      </c>
      <c r="Z259" s="55">
        <v>0</v>
      </c>
      <c r="AA259" s="60">
        <v>0</v>
      </c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</row>
    <row r="260" spans="1:121" s="16" customFormat="1" ht="28.5" customHeight="1" thickBot="1">
      <c r="A260" s="303">
        <v>230</v>
      </c>
      <c r="B260" s="342">
        <v>3631</v>
      </c>
      <c r="C260" s="343">
        <v>6121</v>
      </c>
      <c r="D260" s="516"/>
      <c r="E260" s="637" t="s">
        <v>479</v>
      </c>
      <c r="F260" s="96" t="s">
        <v>273</v>
      </c>
      <c r="G260" s="70">
        <v>400</v>
      </c>
      <c r="H260" s="70">
        <v>2019</v>
      </c>
      <c r="I260" s="71">
        <v>2019</v>
      </c>
      <c r="J260" s="72">
        <f>K260+L260+M260+SUM(R260:AA260)</f>
        <v>3800</v>
      </c>
      <c r="K260" s="73">
        <v>0</v>
      </c>
      <c r="L260" s="74">
        <v>0</v>
      </c>
      <c r="M260" s="75">
        <f>N260+O260+P260+Q260</f>
        <v>0</v>
      </c>
      <c r="N260" s="76">
        <v>0</v>
      </c>
      <c r="O260" s="77">
        <v>0</v>
      </c>
      <c r="P260" s="78">
        <v>0</v>
      </c>
      <c r="Q260" s="74">
        <v>0</v>
      </c>
      <c r="R260" s="79">
        <f>3800-3800</f>
        <v>0</v>
      </c>
      <c r="S260" s="78">
        <v>0</v>
      </c>
      <c r="T260" s="74">
        <v>0</v>
      </c>
      <c r="U260" s="79">
        <v>3800</v>
      </c>
      <c r="V260" s="78">
        <v>0</v>
      </c>
      <c r="W260" s="74">
        <v>0</v>
      </c>
      <c r="X260" s="79">
        <v>0</v>
      </c>
      <c r="Y260" s="78">
        <v>0</v>
      </c>
      <c r="Z260" s="74">
        <v>0</v>
      </c>
      <c r="AA260" s="60">
        <v>0</v>
      </c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</row>
    <row r="261" spans="1:121" s="481" customFormat="1" ht="28.5" customHeight="1" thickBot="1">
      <c r="A261" s="283"/>
      <c r="B261" s="472"/>
      <c r="C261" s="472"/>
      <c r="D261" s="309"/>
      <c r="E261" s="1509" t="s">
        <v>95</v>
      </c>
      <c r="F261" s="1509"/>
      <c r="G261" s="1509"/>
      <c r="H261" s="1509"/>
      <c r="I261" s="1510"/>
      <c r="J261" s="311">
        <f aca="true" t="shared" si="45" ref="J261:AA261">SUM(J230:J260)</f>
        <v>95653</v>
      </c>
      <c r="K261" s="311">
        <f t="shared" si="45"/>
        <v>0</v>
      </c>
      <c r="L261" s="312">
        <f t="shared" si="45"/>
        <v>16519</v>
      </c>
      <c r="M261" s="311">
        <f t="shared" si="45"/>
        <v>35154</v>
      </c>
      <c r="N261" s="313">
        <f t="shared" si="45"/>
        <v>11654</v>
      </c>
      <c r="O261" s="314">
        <f t="shared" si="45"/>
        <v>23500</v>
      </c>
      <c r="P261" s="314">
        <f t="shared" si="45"/>
        <v>0</v>
      </c>
      <c r="Q261" s="312">
        <f t="shared" si="45"/>
        <v>0</v>
      </c>
      <c r="R261" s="315">
        <f t="shared" si="45"/>
        <v>24890</v>
      </c>
      <c r="S261" s="314">
        <f t="shared" si="45"/>
        <v>0</v>
      </c>
      <c r="T261" s="316">
        <f t="shared" si="45"/>
        <v>0</v>
      </c>
      <c r="U261" s="313">
        <f t="shared" si="45"/>
        <v>19090</v>
      </c>
      <c r="V261" s="314">
        <f t="shared" si="45"/>
        <v>0</v>
      </c>
      <c r="W261" s="312">
        <f t="shared" si="45"/>
        <v>0</v>
      </c>
      <c r="X261" s="315">
        <f t="shared" si="45"/>
        <v>0</v>
      </c>
      <c r="Y261" s="314">
        <f t="shared" si="45"/>
        <v>0</v>
      </c>
      <c r="Z261" s="316">
        <f t="shared" si="45"/>
        <v>0</v>
      </c>
      <c r="AA261" s="317">
        <f t="shared" si="45"/>
        <v>0</v>
      </c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</row>
    <row r="262" spans="1:27" ht="28.5" customHeight="1" thickBot="1">
      <c r="A262" s="168"/>
      <c r="B262" s="428"/>
      <c r="C262" s="429"/>
      <c r="D262" s="299" t="s">
        <v>96</v>
      </c>
      <c r="E262" s="570"/>
      <c r="F262" s="286"/>
      <c r="G262" s="286"/>
      <c r="H262" s="430"/>
      <c r="I262" s="286"/>
      <c r="J262" s="983"/>
      <c r="K262" s="977"/>
      <c r="L262" s="977"/>
      <c r="M262" s="298"/>
      <c r="N262" s="298"/>
      <c r="O262" s="978"/>
      <c r="P262" s="851"/>
      <c r="Q262" s="979"/>
      <c r="R262" s="978"/>
      <c r="S262" s="980"/>
      <c r="T262" s="981"/>
      <c r="U262" s="982"/>
      <c r="V262" s="980"/>
      <c r="W262" s="981"/>
      <c r="X262" s="982"/>
      <c r="Y262" s="980"/>
      <c r="Z262" s="981"/>
      <c r="AA262" s="979"/>
    </row>
    <row r="263" spans="1:121" s="658" customFormat="1" ht="28.5" customHeight="1" thickBot="1">
      <c r="A263" s="520">
        <v>190</v>
      </c>
      <c r="B263" s="651">
        <v>3632</v>
      </c>
      <c r="C263" s="652">
        <v>6121</v>
      </c>
      <c r="D263" s="653"/>
      <c r="E263" s="124" t="s">
        <v>193</v>
      </c>
      <c r="F263" s="22" t="s">
        <v>254</v>
      </c>
      <c r="G263" s="23">
        <v>419</v>
      </c>
      <c r="H263" s="23">
        <v>2019</v>
      </c>
      <c r="I263" s="24">
        <v>2020</v>
      </c>
      <c r="J263" s="25">
        <f>K263+L263+M263+SUM(R263:AA263)</f>
        <v>42000</v>
      </c>
      <c r="K263" s="26">
        <v>0</v>
      </c>
      <c r="L263" s="27">
        <v>0</v>
      </c>
      <c r="M263" s="111">
        <f>N263+O263+P263+Q263</f>
        <v>2000</v>
      </c>
      <c r="N263" s="29">
        <v>0</v>
      </c>
      <c r="O263" s="30">
        <f>2000</f>
        <v>2000</v>
      </c>
      <c r="P263" s="31">
        <v>0</v>
      </c>
      <c r="Q263" s="27">
        <v>0</v>
      </c>
      <c r="R263" s="32">
        <f>18000+2000</f>
        <v>20000</v>
      </c>
      <c r="S263" s="31">
        <v>0</v>
      </c>
      <c r="T263" s="27">
        <v>20000</v>
      </c>
      <c r="U263" s="654">
        <v>0</v>
      </c>
      <c r="V263" s="655">
        <v>0</v>
      </c>
      <c r="W263" s="656">
        <v>0</v>
      </c>
      <c r="X263" s="654">
        <v>0</v>
      </c>
      <c r="Y263" s="655">
        <v>0</v>
      </c>
      <c r="Z263" s="656">
        <v>0</v>
      </c>
      <c r="AA263" s="657">
        <v>0</v>
      </c>
      <c r="AB263" s="595"/>
      <c r="AC263" s="595"/>
      <c r="AD263" s="595"/>
      <c r="AE263" s="595"/>
      <c r="AF263" s="595"/>
      <c r="AG263" s="595"/>
      <c r="AH263" s="595"/>
      <c r="AI263" s="595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</row>
    <row r="264" spans="1:121" s="481" customFormat="1" ht="28.5" customHeight="1" thickBot="1">
      <c r="A264" s="169"/>
      <c r="B264" s="472"/>
      <c r="C264" s="472"/>
      <c r="D264" s="309"/>
      <c r="E264" s="1511" t="s">
        <v>541</v>
      </c>
      <c r="F264" s="1511"/>
      <c r="G264" s="1511"/>
      <c r="H264" s="1511"/>
      <c r="I264" s="1512"/>
      <c r="J264" s="311">
        <f>SUM(J263:J263)</f>
        <v>42000</v>
      </c>
      <c r="K264" s="311">
        <f>SUM(K263:K263)</f>
        <v>0</v>
      </c>
      <c r="L264" s="311">
        <f>SUM(L263:L263)</f>
        <v>0</v>
      </c>
      <c r="M264" s="311">
        <f aca="true" t="shared" si="46" ref="M264:AA264">SUM(M263:M263)</f>
        <v>2000</v>
      </c>
      <c r="N264" s="991">
        <f t="shared" si="46"/>
        <v>0</v>
      </c>
      <c r="O264" s="994">
        <f t="shared" si="46"/>
        <v>2000</v>
      </c>
      <c r="P264" s="994">
        <f t="shared" si="46"/>
        <v>0</v>
      </c>
      <c r="Q264" s="988">
        <f t="shared" si="46"/>
        <v>0</v>
      </c>
      <c r="R264" s="994">
        <f t="shared" si="46"/>
        <v>20000</v>
      </c>
      <c r="S264" s="994">
        <f t="shared" si="46"/>
        <v>0</v>
      </c>
      <c r="T264" s="1039">
        <f t="shared" si="46"/>
        <v>20000</v>
      </c>
      <c r="U264" s="991">
        <f t="shared" si="46"/>
        <v>0</v>
      </c>
      <c r="V264" s="994">
        <f t="shared" si="46"/>
        <v>0</v>
      </c>
      <c r="W264" s="988">
        <f t="shared" si="46"/>
        <v>0</v>
      </c>
      <c r="X264" s="994">
        <f t="shared" si="46"/>
        <v>0</v>
      </c>
      <c r="Y264" s="994">
        <f t="shared" si="46"/>
        <v>0</v>
      </c>
      <c r="Z264" s="1039">
        <f t="shared" si="46"/>
        <v>0</v>
      </c>
      <c r="AA264" s="317">
        <f t="shared" si="46"/>
        <v>0</v>
      </c>
      <c r="AB264" s="245"/>
      <c r="AC264" s="245"/>
      <c r="AD264" s="245"/>
      <c r="AE264" s="245"/>
      <c r="AF264" s="245"/>
      <c r="AG264" s="245"/>
      <c r="AH264" s="245"/>
      <c r="AI264" s="245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</row>
    <row r="265" spans="1:27" ht="28.5" customHeight="1" thickBot="1">
      <c r="A265" s="168"/>
      <c r="B265" s="428"/>
      <c r="C265" s="429"/>
      <c r="D265" s="299" t="s">
        <v>98</v>
      </c>
      <c r="E265" s="570"/>
      <c r="F265" s="286"/>
      <c r="G265" s="286"/>
      <c r="H265" s="430"/>
      <c r="I265" s="286"/>
      <c r="J265" s="983"/>
      <c r="K265" s="977"/>
      <c r="L265" s="977"/>
      <c r="M265" s="298"/>
      <c r="N265" s="298"/>
      <c r="O265" s="978"/>
      <c r="P265" s="851"/>
      <c r="Q265" s="979"/>
      <c r="R265" s="978"/>
      <c r="S265" s="980"/>
      <c r="T265" s="981"/>
      <c r="U265" s="982"/>
      <c r="V265" s="980"/>
      <c r="W265" s="981"/>
      <c r="X265" s="982"/>
      <c r="Y265" s="980"/>
      <c r="Z265" s="981"/>
      <c r="AA265" s="979"/>
    </row>
    <row r="266" spans="1:121" s="658" customFormat="1" ht="28.5" customHeight="1">
      <c r="A266" s="520">
        <v>210</v>
      </c>
      <c r="B266" s="651">
        <v>3635</v>
      </c>
      <c r="C266" s="652">
        <v>6119</v>
      </c>
      <c r="D266" s="542"/>
      <c r="E266" s="1280" t="s">
        <v>373</v>
      </c>
      <c r="F266" s="659"/>
      <c r="G266" s="660">
        <v>400</v>
      </c>
      <c r="H266" s="660">
        <v>2019</v>
      </c>
      <c r="I266" s="661">
        <v>2019</v>
      </c>
      <c r="J266" s="37">
        <f>K266+L266+M266+SUM(R266:AA266)</f>
        <v>500</v>
      </c>
      <c r="K266" s="662">
        <v>0</v>
      </c>
      <c r="L266" s="663">
        <v>0</v>
      </c>
      <c r="M266" s="97">
        <f>N266+O266+P266+Q266</f>
        <v>500</v>
      </c>
      <c r="N266" s="664">
        <v>0</v>
      </c>
      <c r="O266" s="1278">
        <v>500</v>
      </c>
      <c r="P266" s="665">
        <v>0</v>
      </c>
      <c r="Q266" s="666">
        <v>0</v>
      </c>
      <c r="R266" s="667">
        <v>0</v>
      </c>
      <c r="S266" s="665">
        <v>0</v>
      </c>
      <c r="T266" s="666">
        <v>0</v>
      </c>
      <c r="U266" s="667">
        <v>0</v>
      </c>
      <c r="V266" s="665">
        <v>0</v>
      </c>
      <c r="W266" s="666">
        <v>0</v>
      </c>
      <c r="X266" s="667">
        <v>0</v>
      </c>
      <c r="Y266" s="665">
        <v>0</v>
      </c>
      <c r="Z266" s="666">
        <v>0</v>
      </c>
      <c r="AA266" s="668">
        <v>0</v>
      </c>
      <c r="AB266" s="595"/>
      <c r="AC266" s="595"/>
      <c r="AD266" s="595"/>
      <c r="AE266" s="595"/>
      <c r="AF266" s="595"/>
      <c r="AG266" s="595"/>
      <c r="AH266" s="595"/>
      <c r="AI266" s="595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</row>
    <row r="267" spans="1:121" s="679" customFormat="1" ht="28.5" customHeight="1" thickBot="1">
      <c r="A267" s="520">
        <v>210</v>
      </c>
      <c r="B267" s="651">
        <v>3635</v>
      </c>
      <c r="C267" s="652">
        <v>6119</v>
      </c>
      <c r="D267" s="1281"/>
      <c r="E267" s="1282" t="s">
        <v>374</v>
      </c>
      <c r="F267" s="669"/>
      <c r="G267" s="670">
        <v>400</v>
      </c>
      <c r="H267" s="670">
        <v>2019</v>
      </c>
      <c r="I267" s="671">
        <v>2019</v>
      </c>
      <c r="J267" s="72">
        <f>K267+L267+M267+SUM(R267:AA267)</f>
        <v>2000</v>
      </c>
      <c r="K267" s="672">
        <v>0</v>
      </c>
      <c r="L267" s="673">
        <v>0</v>
      </c>
      <c r="M267" s="75">
        <f>N267+O267+P267+Q267</f>
        <v>2000</v>
      </c>
      <c r="N267" s="674">
        <v>0</v>
      </c>
      <c r="O267" s="1279">
        <v>2000</v>
      </c>
      <c r="P267" s="675">
        <v>0</v>
      </c>
      <c r="Q267" s="676">
        <v>0</v>
      </c>
      <c r="R267" s="677">
        <v>0</v>
      </c>
      <c r="S267" s="675">
        <v>0</v>
      </c>
      <c r="T267" s="676">
        <v>0</v>
      </c>
      <c r="U267" s="677">
        <v>0</v>
      </c>
      <c r="V267" s="675">
        <v>0</v>
      </c>
      <c r="W267" s="676">
        <v>0</v>
      </c>
      <c r="X267" s="677">
        <v>0</v>
      </c>
      <c r="Y267" s="675">
        <v>0</v>
      </c>
      <c r="Z267" s="676">
        <v>0</v>
      </c>
      <c r="AA267" s="678">
        <v>0</v>
      </c>
      <c r="AB267" s="595"/>
      <c r="AC267" s="595"/>
      <c r="AD267" s="595"/>
      <c r="AE267" s="595"/>
      <c r="AF267" s="595"/>
      <c r="AG267" s="595"/>
      <c r="AH267" s="595"/>
      <c r="AI267" s="595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</row>
    <row r="268" spans="1:121" s="481" customFormat="1" ht="28.5" customHeight="1" thickBot="1">
      <c r="A268" s="283"/>
      <c r="B268" s="472"/>
      <c r="C268" s="472"/>
      <c r="D268" s="309"/>
      <c r="E268" s="1509" t="s">
        <v>97</v>
      </c>
      <c r="F268" s="1511"/>
      <c r="G268" s="1511"/>
      <c r="H268" s="1511"/>
      <c r="I268" s="1512"/>
      <c r="J268" s="311">
        <f>SUM(J266:J267)</f>
        <v>2500</v>
      </c>
      <c r="K268" s="311">
        <f>SUM(K266:K267)</f>
        <v>0</v>
      </c>
      <c r="L268" s="311">
        <f>SUM(L266:L267)</f>
        <v>0</v>
      </c>
      <c r="M268" s="311">
        <f aca="true" t="shared" si="47" ref="M268:AA268">SUM(M266:M267)</f>
        <v>2500</v>
      </c>
      <c r="N268" s="991">
        <f t="shared" si="47"/>
        <v>0</v>
      </c>
      <c r="O268" s="994">
        <f t="shared" si="47"/>
        <v>2500</v>
      </c>
      <c r="P268" s="994">
        <f t="shared" si="47"/>
        <v>0</v>
      </c>
      <c r="Q268" s="988">
        <f t="shared" si="47"/>
        <v>0</v>
      </c>
      <c r="R268" s="994">
        <f t="shared" si="47"/>
        <v>0</v>
      </c>
      <c r="S268" s="994">
        <f t="shared" si="47"/>
        <v>0</v>
      </c>
      <c r="T268" s="1039">
        <f t="shared" si="47"/>
        <v>0</v>
      </c>
      <c r="U268" s="991">
        <f t="shared" si="47"/>
        <v>0</v>
      </c>
      <c r="V268" s="994">
        <f t="shared" si="47"/>
        <v>0</v>
      </c>
      <c r="W268" s="988">
        <f t="shared" si="47"/>
        <v>0</v>
      </c>
      <c r="X268" s="994">
        <f t="shared" si="47"/>
        <v>0</v>
      </c>
      <c r="Y268" s="994">
        <f t="shared" si="47"/>
        <v>0</v>
      </c>
      <c r="Z268" s="1039">
        <f t="shared" si="47"/>
        <v>0</v>
      </c>
      <c r="AA268" s="317">
        <f t="shared" si="47"/>
        <v>0</v>
      </c>
      <c r="AB268" s="245"/>
      <c r="AC268" s="245"/>
      <c r="AD268" s="245"/>
      <c r="AE268" s="245"/>
      <c r="AF268" s="245"/>
      <c r="AG268" s="245"/>
      <c r="AH268" s="245"/>
      <c r="AI268" s="245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</row>
    <row r="269" spans="2:27" ht="28.5" customHeight="1" thickBot="1">
      <c r="B269" s="428"/>
      <c r="C269" s="429"/>
      <c r="D269" s="299" t="s">
        <v>99</v>
      </c>
      <c r="E269" s="299"/>
      <c r="F269" s="286"/>
      <c r="G269" s="286"/>
      <c r="H269" s="430"/>
      <c r="I269" s="286"/>
      <c r="J269" s="983"/>
      <c r="K269" s="977"/>
      <c r="L269" s="977"/>
      <c r="M269" s="298"/>
      <c r="N269" s="298"/>
      <c r="O269" s="978"/>
      <c r="P269" s="851"/>
      <c r="Q269" s="979"/>
      <c r="R269" s="978"/>
      <c r="S269" s="980"/>
      <c r="T269" s="981"/>
      <c r="U269" s="982"/>
      <c r="V269" s="980"/>
      <c r="W269" s="981"/>
      <c r="X269" s="982"/>
      <c r="Y269" s="980"/>
      <c r="Z269" s="981"/>
      <c r="AA269" s="990"/>
    </row>
    <row r="270" spans="1:121" s="16" customFormat="1" ht="28.5" customHeight="1">
      <c r="A270" s="680">
        <v>230</v>
      </c>
      <c r="B270" s="681">
        <v>3639</v>
      </c>
      <c r="C270" s="222">
        <v>6142</v>
      </c>
      <c r="D270" s="682" t="s">
        <v>376</v>
      </c>
      <c r="E270" s="1283" t="s">
        <v>128</v>
      </c>
      <c r="F270" s="683"/>
      <c r="G270" s="684">
        <v>400</v>
      </c>
      <c r="H270" s="684">
        <v>2019</v>
      </c>
      <c r="I270" s="685">
        <v>2019</v>
      </c>
      <c r="J270" s="1040">
        <f aca="true" t="shared" si="48" ref="J270:J276">K270+L270+M270+SUM(R270:AA270)</f>
        <v>1000</v>
      </c>
      <c r="K270" s="1041">
        <v>0</v>
      </c>
      <c r="L270" s="1042">
        <v>0</v>
      </c>
      <c r="M270" s="1043">
        <f aca="true" t="shared" si="49" ref="M270:M276">N270+O270+P270+Q270</f>
        <v>1000</v>
      </c>
      <c r="N270" s="1044">
        <v>0</v>
      </c>
      <c r="O270" s="1045">
        <v>1000</v>
      </c>
      <c r="P270" s="1046">
        <v>0</v>
      </c>
      <c r="Q270" s="1042">
        <v>0</v>
      </c>
      <c r="R270" s="998">
        <v>0</v>
      </c>
      <c r="S270" s="1046">
        <v>0</v>
      </c>
      <c r="T270" s="1047">
        <v>0</v>
      </c>
      <c r="U270" s="1000">
        <v>0</v>
      </c>
      <c r="V270" s="1046">
        <v>0</v>
      </c>
      <c r="W270" s="1047">
        <v>0</v>
      </c>
      <c r="X270" s="998">
        <v>0</v>
      </c>
      <c r="Y270" s="1046">
        <v>0</v>
      </c>
      <c r="Z270" s="1047">
        <v>0</v>
      </c>
      <c r="AA270" s="1040">
        <v>0</v>
      </c>
      <c r="AB270" s="245"/>
      <c r="AC270" s="245"/>
      <c r="AD270" s="245"/>
      <c r="AE270" s="245"/>
      <c r="AF270" s="245"/>
      <c r="AG270" s="245"/>
      <c r="AH270" s="245"/>
      <c r="AI270" s="245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</row>
    <row r="271" spans="1:121" s="16" customFormat="1" ht="28.5" customHeight="1">
      <c r="A271" s="680">
        <v>230</v>
      </c>
      <c r="B271" s="342">
        <v>3639</v>
      </c>
      <c r="C271" s="343">
        <v>6121</v>
      </c>
      <c r="D271" s="345">
        <v>8006</v>
      </c>
      <c r="E271" s="636" t="s">
        <v>129</v>
      </c>
      <c r="F271" s="83"/>
      <c r="G271" s="67">
        <v>400</v>
      </c>
      <c r="H271" s="67">
        <v>2010</v>
      </c>
      <c r="I271" s="68">
        <v>2022</v>
      </c>
      <c r="J271" s="53">
        <f t="shared" si="48"/>
        <v>19722</v>
      </c>
      <c r="K271" s="54">
        <v>926</v>
      </c>
      <c r="L271" s="55">
        <v>1796</v>
      </c>
      <c r="M271" s="56">
        <f t="shared" si="49"/>
        <v>2000</v>
      </c>
      <c r="N271" s="57">
        <v>0</v>
      </c>
      <c r="O271" s="65">
        <f>5000-3000</f>
        <v>2000</v>
      </c>
      <c r="P271" s="58">
        <v>0</v>
      </c>
      <c r="Q271" s="55">
        <v>0</v>
      </c>
      <c r="R271" s="59">
        <v>5000</v>
      </c>
      <c r="S271" s="58">
        <v>0</v>
      </c>
      <c r="T271" s="55">
        <v>0</v>
      </c>
      <c r="U271" s="59">
        <v>5000</v>
      </c>
      <c r="V271" s="58">
        <v>0</v>
      </c>
      <c r="W271" s="55">
        <v>0</v>
      </c>
      <c r="X271" s="59">
        <v>5000</v>
      </c>
      <c r="Y271" s="58">
        <v>0</v>
      </c>
      <c r="Z271" s="55">
        <v>0</v>
      </c>
      <c r="AA271" s="60">
        <v>0</v>
      </c>
      <c r="AB271" s="245"/>
      <c r="AC271" s="245"/>
      <c r="AD271" s="245"/>
      <c r="AE271" s="245"/>
      <c r="AF271" s="245"/>
      <c r="AG271" s="245"/>
      <c r="AH271" s="245"/>
      <c r="AI271" s="245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</row>
    <row r="272" spans="1:121" s="16" customFormat="1" ht="27" customHeight="1">
      <c r="A272" s="680">
        <v>230</v>
      </c>
      <c r="B272" s="342">
        <v>3639</v>
      </c>
      <c r="C272" s="343">
        <v>6121</v>
      </c>
      <c r="D272" s="344">
        <v>8172</v>
      </c>
      <c r="E272" s="587" t="s">
        <v>130</v>
      </c>
      <c r="F272" s="83" t="s">
        <v>248</v>
      </c>
      <c r="G272" s="67">
        <v>400</v>
      </c>
      <c r="H272" s="67">
        <v>2013</v>
      </c>
      <c r="I272" s="68">
        <v>2019</v>
      </c>
      <c r="J272" s="53">
        <f t="shared" si="48"/>
        <v>20198</v>
      </c>
      <c r="K272" s="54">
        <v>99</v>
      </c>
      <c r="L272" s="55">
        <f>99+100</f>
        <v>199</v>
      </c>
      <c r="M272" s="56">
        <f t="shared" si="49"/>
        <v>12900</v>
      </c>
      <c r="N272" s="57">
        <f>8000-100</f>
        <v>7900</v>
      </c>
      <c r="O272" s="65">
        <f>12000-7000</f>
        <v>5000</v>
      </c>
      <c r="P272" s="58">
        <v>0</v>
      </c>
      <c r="Q272" s="55">
        <v>0</v>
      </c>
      <c r="R272" s="59">
        <v>7000</v>
      </c>
      <c r="S272" s="58">
        <v>0</v>
      </c>
      <c r="T272" s="55">
        <v>0</v>
      </c>
      <c r="U272" s="59">
        <v>0</v>
      </c>
      <c r="V272" s="58">
        <v>0</v>
      </c>
      <c r="W272" s="55">
        <v>0</v>
      </c>
      <c r="X272" s="59">
        <v>0</v>
      </c>
      <c r="Y272" s="58">
        <v>0</v>
      </c>
      <c r="Z272" s="55">
        <v>0</v>
      </c>
      <c r="AA272" s="60">
        <v>0</v>
      </c>
      <c r="AB272" s="245"/>
      <c r="AC272" s="245"/>
      <c r="AD272" s="245"/>
      <c r="AE272" s="245"/>
      <c r="AF272" s="245"/>
      <c r="AG272" s="245"/>
      <c r="AH272" s="245"/>
      <c r="AI272" s="245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</row>
    <row r="273" spans="1:121" s="16" customFormat="1" ht="28.5" customHeight="1">
      <c r="A273" s="680">
        <v>230</v>
      </c>
      <c r="B273" s="342">
        <v>3639</v>
      </c>
      <c r="C273" s="343">
        <v>6121</v>
      </c>
      <c r="D273" s="330">
        <v>8204</v>
      </c>
      <c r="E273" s="418" t="s">
        <v>361</v>
      </c>
      <c r="F273" s="83" t="s">
        <v>248</v>
      </c>
      <c r="G273" s="67">
        <v>400</v>
      </c>
      <c r="H273" s="67">
        <v>2016</v>
      </c>
      <c r="I273" s="68">
        <v>2025</v>
      </c>
      <c r="J273" s="53">
        <f t="shared" si="48"/>
        <v>584176</v>
      </c>
      <c r="K273" s="54">
        <v>0</v>
      </c>
      <c r="L273" s="55">
        <v>0</v>
      </c>
      <c r="M273" s="56">
        <f t="shared" si="49"/>
        <v>3376</v>
      </c>
      <c r="N273" s="57">
        <f>4980-1604</f>
        <v>3376</v>
      </c>
      <c r="O273" s="65">
        <v>0</v>
      </c>
      <c r="P273" s="58">
        <v>0</v>
      </c>
      <c r="Q273" s="55">
        <v>0</v>
      </c>
      <c r="R273" s="59">
        <v>1000</v>
      </c>
      <c r="S273" s="58">
        <v>0</v>
      </c>
      <c r="T273" s="55">
        <v>0</v>
      </c>
      <c r="U273" s="59">
        <v>20000</v>
      </c>
      <c r="V273" s="58">
        <v>0</v>
      </c>
      <c r="W273" s="55">
        <v>0</v>
      </c>
      <c r="X273" s="59">
        <v>50000</v>
      </c>
      <c r="Y273" s="58">
        <v>0</v>
      </c>
      <c r="Z273" s="55">
        <v>0</v>
      </c>
      <c r="AA273" s="60">
        <v>509800</v>
      </c>
      <c r="AB273" s="245"/>
      <c r="AC273" s="245"/>
      <c r="AD273" s="245"/>
      <c r="AE273" s="245"/>
      <c r="AF273" s="245"/>
      <c r="AG273" s="245"/>
      <c r="AH273" s="245"/>
      <c r="AI273" s="245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</row>
    <row r="274" spans="1:121" s="16" customFormat="1" ht="28.5" customHeight="1">
      <c r="A274" s="680">
        <v>230</v>
      </c>
      <c r="B274" s="342">
        <v>3639</v>
      </c>
      <c r="C274" s="343">
        <v>6121</v>
      </c>
      <c r="D274" s="345">
        <v>8207</v>
      </c>
      <c r="E274" s="970" t="s">
        <v>131</v>
      </c>
      <c r="F274" s="83"/>
      <c r="G274" s="67">
        <v>400</v>
      </c>
      <c r="H274" s="67">
        <v>2016</v>
      </c>
      <c r="I274" s="68">
        <v>2020</v>
      </c>
      <c r="J274" s="53">
        <f t="shared" si="48"/>
        <v>13846</v>
      </c>
      <c r="K274" s="54">
        <v>0</v>
      </c>
      <c r="L274" s="55">
        <f>3846+187</f>
        <v>4033</v>
      </c>
      <c r="M274" s="56">
        <f t="shared" si="49"/>
        <v>4813</v>
      </c>
      <c r="N274" s="57">
        <v>915</v>
      </c>
      <c r="O274" s="65">
        <v>3898</v>
      </c>
      <c r="P274" s="58">
        <v>0</v>
      </c>
      <c r="Q274" s="55">
        <v>0</v>
      </c>
      <c r="R274" s="59">
        <v>5000</v>
      </c>
      <c r="S274" s="58">
        <v>0</v>
      </c>
      <c r="T274" s="55">
        <v>0</v>
      </c>
      <c r="U274" s="59">
        <v>0</v>
      </c>
      <c r="V274" s="58">
        <v>0</v>
      </c>
      <c r="W274" s="55">
        <v>0</v>
      </c>
      <c r="X274" s="59">
        <v>0</v>
      </c>
      <c r="Y274" s="58">
        <v>0</v>
      </c>
      <c r="Z274" s="55">
        <v>0</v>
      </c>
      <c r="AA274" s="60">
        <v>0</v>
      </c>
      <c r="AB274" s="245"/>
      <c r="AC274" s="245"/>
      <c r="AD274" s="245"/>
      <c r="AE274" s="245"/>
      <c r="AF274" s="245"/>
      <c r="AG274" s="245"/>
      <c r="AH274" s="245"/>
      <c r="AI274" s="245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</row>
    <row r="275" spans="1:121" s="16" customFormat="1" ht="41.25" customHeight="1">
      <c r="A275" s="680">
        <v>230</v>
      </c>
      <c r="B275" s="342">
        <v>3639</v>
      </c>
      <c r="C275" s="343">
        <v>6121</v>
      </c>
      <c r="D275" s="345">
        <v>8208</v>
      </c>
      <c r="E275" s="636" t="s">
        <v>534</v>
      </c>
      <c r="F275" s="686" t="s">
        <v>535</v>
      </c>
      <c r="G275" s="687">
        <v>400</v>
      </c>
      <c r="H275" s="687">
        <v>2017</v>
      </c>
      <c r="I275" s="688">
        <v>2018</v>
      </c>
      <c r="J275" s="53">
        <f t="shared" si="48"/>
        <v>3325</v>
      </c>
      <c r="K275" s="54">
        <v>394</v>
      </c>
      <c r="L275" s="55">
        <f>2452+46</f>
        <v>2498</v>
      </c>
      <c r="M275" s="56">
        <f t="shared" si="49"/>
        <v>433</v>
      </c>
      <c r="N275" s="57">
        <v>433</v>
      </c>
      <c r="O275" s="65">
        <v>0</v>
      </c>
      <c r="P275" s="58">
        <v>0</v>
      </c>
      <c r="Q275" s="55">
        <v>0</v>
      </c>
      <c r="R275" s="59">
        <v>0</v>
      </c>
      <c r="S275" s="58">
        <v>0</v>
      </c>
      <c r="T275" s="55">
        <v>0</v>
      </c>
      <c r="U275" s="59">
        <v>0</v>
      </c>
      <c r="V275" s="58">
        <v>0</v>
      </c>
      <c r="W275" s="55">
        <v>0</v>
      </c>
      <c r="X275" s="59">
        <v>0</v>
      </c>
      <c r="Y275" s="58">
        <v>0</v>
      </c>
      <c r="Z275" s="55">
        <v>0</v>
      </c>
      <c r="AA275" s="60">
        <v>0</v>
      </c>
      <c r="AB275" s="245"/>
      <c r="AC275" s="245"/>
      <c r="AD275" s="245"/>
      <c r="AE275" s="245"/>
      <c r="AF275" s="245"/>
      <c r="AG275" s="245"/>
      <c r="AH275" s="245"/>
      <c r="AI275" s="245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</row>
    <row r="276" spans="1:121" s="16" customFormat="1" ht="44.25" customHeight="1">
      <c r="A276" s="680">
        <v>230</v>
      </c>
      <c r="B276" s="454">
        <v>3639</v>
      </c>
      <c r="C276" s="455">
        <v>6121</v>
      </c>
      <c r="D276" s="344">
        <v>8233</v>
      </c>
      <c r="E276" s="576" t="s">
        <v>588</v>
      </c>
      <c r="F276" s="83" t="s">
        <v>275</v>
      </c>
      <c r="G276" s="88">
        <v>400</v>
      </c>
      <c r="H276" s="88">
        <v>2018</v>
      </c>
      <c r="I276" s="88">
        <v>2020</v>
      </c>
      <c r="J276" s="53">
        <f t="shared" si="48"/>
        <v>51825</v>
      </c>
      <c r="K276" s="54">
        <v>0</v>
      </c>
      <c r="L276" s="55">
        <v>325</v>
      </c>
      <c r="M276" s="56">
        <f t="shared" si="49"/>
        <v>1500</v>
      </c>
      <c r="N276" s="132">
        <v>0</v>
      </c>
      <c r="O276" s="133">
        <v>1500</v>
      </c>
      <c r="P276" s="58">
        <v>0</v>
      </c>
      <c r="Q276" s="55">
        <v>0</v>
      </c>
      <c r="R276" s="59">
        <v>50000</v>
      </c>
      <c r="S276" s="91">
        <v>0</v>
      </c>
      <c r="T276" s="55">
        <v>0</v>
      </c>
      <c r="U276" s="92">
        <v>0</v>
      </c>
      <c r="V276" s="58">
        <v>0</v>
      </c>
      <c r="W276" s="55">
        <v>0</v>
      </c>
      <c r="X276" s="93">
        <v>0</v>
      </c>
      <c r="Y276" s="58">
        <v>0</v>
      </c>
      <c r="Z276" s="55">
        <v>0</v>
      </c>
      <c r="AA276" s="60">
        <v>0</v>
      </c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</row>
    <row r="277" spans="1:121" s="16" customFormat="1" ht="28.5" customHeight="1">
      <c r="A277" s="464">
        <v>137</v>
      </c>
      <c r="B277" s="689">
        <v>3639</v>
      </c>
      <c r="C277" s="467">
        <v>6121</v>
      </c>
      <c r="D277" s="591"/>
      <c r="E277" s="690" t="s">
        <v>417</v>
      </c>
      <c r="F277" s="691"/>
      <c r="G277" s="561">
        <v>400</v>
      </c>
      <c r="H277" s="561">
        <v>2017</v>
      </c>
      <c r="I277" s="615">
        <v>2018</v>
      </c>
      <c r="J277" s="53">
        <f>K277+L277+M277+SUM(R277:AA277)</f>
        <v>5000</v>
      </c>
      <c r="K277" s="54">
        <v>0</v>
      </c>
      <c r="L277" s="55">
        <v>0</v>
      </c>
      <c r="M277" s="56">
        <f>N277+O277+P277+Q277</f>
        <v>5000</v>
      </c>
      <c r="N277" s="57">
        <v>0</v>
      </c>
      <c r="O277" s="65">
        <v>5000</v>
      </c>
      <c r="P277" s="58">
        <v>0</v>
      </c>
      <c r="Q277" s="55">
        <v>0</v>
      </c>
      <c r="R277" s="59">
        <v>0</v>
      </c>
      <c r="S277" s="91">
        <v>0</v>
      </c>
      <c r="T277" s="55">
        <v>0</v>
      </c>
      <c r="U277" s="92">
        <v>0</v>
      </c>
      <c r="V277" s="58">
        <v>0</v>
      </c>
      <c r="W277" s="55">
        <v>0</v>
      </c>
      <c r="X277" s="93">
        <v>0</v>
      </c>
      <c r="Y277" s="58">
        <v>0</v>
      </c>
      <c r="Z277" s="55">
        <v>0</v>
      </c>
      <c r="AA277" s="60">
        <v>0</v>
      </c>
      <c r="AB277" s="245"/>
      <c r="AC277" s="245"/>
      <c r="AD277" s="245"/>
      <c r="AE277" s="245"/>
      <c r="AF277" s="245"/>
      <c r="AG277" s="245"/>
      <c r="AH277" s="245"/>
      <c r="AI277" s="245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</row>
    <row r="278" spans="1:121" s="16" customFormat="1" ht="28.5" customHeight="1">
      <c r="A278" s="464">
        <v>137</v>
      </c>
      <c r="B278" s="689">
        <v>3639</v>
      </c>
      <c r="C278" s="467">
        <v>6130</v>
      </c>
      <c r="D278" s="591"/>
      <c r="E278" s="690" t="s">
        <v>589</v>
      </c>
      <c r="F278" s="691"/>
      <c r="G278" s="561">
        <v>400</v>
      </c>
      <c r="H278" s="561">
        <v>2017</v>
      </c>
      <c r="I278" s="615">
        <v>2019</v>
      </c>
      <c r="J278" s="53">
        <f>K278+L278+M278+SUM(R278:AA278)</f>
        <v>222209</v>
      </c>
      <c r="K278" s="54">
        <v>0</v>
      </c>
      <c r="L278" s="55">
        <v>0</v>
      </c>
      <c r="M278" s="56">
        <f>N278+O278+P278+Q278</f>
        <v>52209</v>
      </c>
      <c r="N278" s="57">
        <v>2209</v>
      </c>
      <c r="O278" s="65">
        <v>50000</v>
      </c>
      <c r="P278" s="58">
        <v>0</v>
      </c>
      <c r="Q278" s="55">
        <v>0</v>
      </c>
      <c r="R278" s="59">
        <v>20000</v>
      </c>
      <c r="S278" s="91">
        <v>0</v>
      </c>
      <c r="T278" s="55">
        <v>0</v>
      </c>
      <c r="U278" s="92">
        <v>50000</v>
      </c>
      <c r="V278" s="58">
        <v>0</v>
      </c>
      <c r="W278" s="55">
        <v>0</v>
      </c>
      <c r="X278" s="93">
        <v>50000</v>
      </c>
      <c r="Y278" s="58">
        <v>0</v>
      </c>
      <c r="Z278" s="55">
        <v>0</v>
      </c>
      <c r="AA278" s="60">
        <v>50000</v>
      </c>
      <c r="AB278" s="245"/>
      <c r="AC278" s="245"/>
      <c r="AD278" s="245"/>
      <c r="AE278" s="245"/>
      <c r="AF278" s="245"/>
      <c r="AG278" s="245"/>
      <c r="AH278" s="245"/>
      <c r="AI278" s="245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</row>
    <row r="279" spans="1:121" s="16" customFormat="1" ht="28.5" customHeight="1">
      <c r="A279" s="464">
        <v>137</v>
      </c>
      <c r="B279" s="689">
        <v>3639</v>
      </c>
      <c r="C279" s="467">
        <v>6130</v>
      </c>
      <c r="D279" s="591"/>
      <c r="E279" s="690" t="s">
        <v>616</v>
      </c>
      <c r="F279" s="692"/>
      <c r="G279" s="693">
        <v>400</v>
      </c>
      <c r="H279" s="693">
        <v>2019</v>
      </c>
      <c r="I279" s="694">
        <v>2019</v>
      </c>
      <c r="J279" s="53">
        <f>K279+L279+M279+SUM(R279:AA279)</f>
        <v>120000</v>
      </c>
      <c r="K279" s="54">
        <v>0</v>
      </c>
      <c r="L279" s="55">
        <v>0</v>
      </c>
      <c r="M279" s="56">
        <f>N279+O279+P279+Q279</f>
        <v>120000</v>
      </c>
      <c r="N279" s="57">
        <v>120000</v>
      </c>
      <c r="O279" s="133">
        <v>0</v>
      </c>
      <c r="P279" s="58">
        <v>0</v>
      </c>
      <c r="Q279" s="55">
        <v>0</v>
      </c>
      <c r="R279" s="59">
        <v>0</v>
      </c>
      <c r="S279" s="91">
        <v>0</v>
      </c>
      <c r="T279" s="55">
        <v>0</v>
      </c>
      <c r="U279" s="92">
        <v>0</v>
      </c>
      <c r="V279" s="58">
        <v>0</v>
      </c>
      <c r="W279" s="55">
        <v>0</v>
      </c>
      <c r="X279" s="93">
        <v>0</v>
      </c>
      <c r="Y279" s="58">
        <v>0</v>
      </c>
      <c r="Z279" s="55">
        <v>0</v>
      </c>
      <c r="AA279" s="60">
        <v>0</v>
      </c>
      <c r="AB279" s="245"/>
      <c r="AC279" s="245"/>
      <c r="AD279" s="245"/>
      <c r="AE279" s="245"/>
      <c r="AF279" s="245"/>
      <c r="AG279" s="245"/>
      <c r="AH279" s="245"/>
      <c r="AI279" s="245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</row>
    <row r="280" spans="1:121" s="16" customFormat="1" ht="28.5" customHeight="1">
      <c r="A280" s="464">
        <v>300</v>
      </c>
      <c r="B280" s="689">
        <v>3639</v>
      </c>
      <c r="C280" s="467"/>
      <c r="D280" s="591"/>
      <c r="E280" s="695" t="s">
        <v>496</v>
      </c>
      <c r="F280" s="692"/>
      <c r="G280" s="693">
        <v>400</v>
      </c>
      <c r="H280" s="693">
        <v>2018</v>
      </c>
      <c r="I280" s="694">
        <v>2019</v>
      </c>
      <c r="J280" s="53">
        <f>K280+L280+M280+SUM(R280:AA280)</f>
        <v>37500</v>
      </c>
      <c r="K280" s="54">
        <v>0</v>
      </c>
      <c r="L280" s="55">
        <v>0</v>
      </c>
      <c r="M280" s="56">
        <f>N280+O280+P280+Q280</f>
        <v>37500</v>
      </c>
      <c r="N280" s="57">
        <v>0</v>
      </c>
      <c r="O280" s="133">
        <f>35000-10000-10000+3257</f>
        <v>18257</v>
      </c>
      <c r="P280" s="58">
        <v>12500</v>
      </c>
      <c r="Q280" s="1316">
        <f>10000-3257</f>
        <v>6743</v>
      </c>
      <c r="R280" s="59">
        <v>0</v>
      </c>
      <c r="S280" s="91">
        <v>0</v>
      </c>
      <c r="T280" s="55">
        <v>0</v>
      </c>
      <c r="U280" s="92">
        <v>0</v>
      </c>
      <c r="V280" s="58">
        <v>0</v>
      </c>
      <c r="W280" s="55">
        <v>0</v>
      </c>
      <c r="X280" s="93">
        <v>0</v>
      </c>
      <c r="Y280" s="58">
        <v>0</v>
      </c>
      <c r="Z280" s="55">
        <v>0</v>
      </c>
      <c r="AA280" s="60">
        <v>0</v>
      </c>
      <c r="AB280" s="245"/>
      <c r="AC280" s="245"/>
      <c r="AD280" s="245"/>
      <c r="AE280" s="245"/>
      <c r="AF280" s="245"/>
      <c r="AG280" s="245"/>
      <c r="AH280" s="245"/>
      <c r="AI280" s="245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</row>
    <row r="281" spans="1:121" s="16" customFormat="1" ht="28.5" customHeight="1" thickBot="1">
      <c r="A281" s="464">
        <v>190</v>
      </c>
      <c r="B281" s="342">
        <v>3639</v>
      </c>
      <c r="C281" s="343">
        <v>6121</v>
      </c>
      <c r="D281" s="483">
        <v>8225</v>
      </c>
      <c r="E281" s="241" t="s">
        <v>192</v>
      </c>
      <c r="F281" s="96"/>
      <c r="G281" s="70">
        <v>400</v>
      </c>
      <c r="H281" s="70">
        <v>2018</v>
      </c>
      <c r="I281" s="71">
        <v>2019</v>
      </c>
      <c r="J281" s="184">
        <f>K281+L281+M281+SUM(R281:AA281)</f>
        <v>20500</v>
      </c>
      <c r="K281" s="185">
        <v>0</v>
      </c>
      <c r="L281" s="183">
        <v>500</v>
      </c>
      <c r="M281" s="136">
        <f>N281+O281+P281+Q281</f>
        <v>1000</v>
      </c>
      <c r="N281" s="186">
        <v>0</v>
      </c>
      <c r="O281" s="192">
        <f>1000-1000</f>
        <v>0</v>
      </c>
      <c r="P281" s="188">
        <v>0</v>
      </c>
      <c r="Q281" s="1344">
        <v>1000</v>
      </c>
      <c r="R281" s="151">
        <v>19000</v>
      </c>
      <c r="S281" s="189">
        <v>0</v>
      </c>
      <c r="T281" s="183">
        <v>0</v>
      </c>
      <c r="U281" s="177">
        <v>0</v>
      </c>
      <c r="V281" s="188">
        <v>0</v>
      </c>
      <c r="W281" s="183">
        <v>0</v>
      </c>
      <c r="X281" s="190">
        <v>0</v>
      </c>
      <c r="Y281" s="188">
        <v>0</v>
      </c>
      <c r="Z281" s="183">
        <v>0</v>
      </c>
      <c r="AA281" s="191">
        <v>0</v>
      </c>
      <c r="AB281" s="245"/>
      <c r="AC281" s="245"/>
      <c r="AD281" s="245"/>
      <c r="AE281" s="245"/>
      <c r="AF281" s="245"/>
      <c r="AG281" s="245"/>
      <c r="AH281" s="245"/>
      <c r="AI281" s="245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</row>
    <row r="282" spans="1:121" s="481" customFormat="1" ht="28.5" customHeight="1" thickBot="1">
      <c r="A282" s="487"/>
      <c r="B282" s="472"/>
      <c r="C282" s="472"/>
      <c r="D282" s="309"/>
      <c r="E282" s="1509" t="s">
        <v>100</v>
      </c>
      <c r="F282" s="1509"/>
      <c r="G282" s="1509"/>
      <c r="H282" s="1509"/>
      <c r="I282" s="1510"/>
      <c r="J282" s="1007">
        <f aca="true" t="shared" si="50" ref="J282:AA282">SUM(J270:J281)</f>
        <v>1099301</v>
      </c>
      <c r="K282" s="1007">
        <f t="shared" si="50"/>
        <v>1419</v>
      </c>
      <c r="L282" s="986">
        <f t="shared" si="50"/>
        <v>9351</v>
      </c>
      <c r="M282" s="1007">
        <f t="shared" si="50"/>
        <v>241731</v>
      </c>
      <c r="N282" s="984">
        <f t="shared" si="50"/>
        <v>134833</v>
      </c>
      <c r="O282" s="985">
        <f t="shared" si="50"/>
        <v>86655</v>
      </c>
      <c r="P282" s="985">
        <f t="shared" si="50"/>
        <v>12500</v>
      </c>
      <c r="Q282" s="986">
        <f t="shared" si="50"/>
        <v>7743</v>
      </c>
      <c r="R282" s="984">
        <f t="shared" si="50"/>
        <v>107000</v>
      </c>
      <c r="S282" s="985">
        <f t="shared" si="50"/>
        <v>0</v>
      </c>
      <c r="T282" s="986">
        <f t="shared" si="50"/>
        <v>0</v>
      </c>
      <c r="U282" s="1048">
        <f t="shared" si="50"/>
        <v>75000</v>
      </c>
      <c r="V282" s="985">
        <f t="shared" si="50"/>
        <v>0</v>
      </c>
      <c r="W282" s="1049">
        <f t="shared" si="50"/>
        <v>0</v>
      </c>
      <c r="X282" s="984">
        <f t="shared" si="50"/>
        <v>105000</v>
      </c>
      <c r="Y282" s="985">
        <f t="shared" si="50"/>
        <v>0</v>
      </c>
      <c r="Z282" s="986">
        <f t="shared" si="50"/>
        <v>0</v>
      </c>
      <c r="AA282" s="1008">
        <f t="shared" si="50"/>
        <v>559800</v>
      </c>
      <c r="AB282" s="245"/>
      <c r="AC282" s="245"/>
      <c r="AD282" s="245"/>
      <c r="AE282" s="245"/>
      <c r="AF282" s="245"/>
      <c r="AG282" s="245"/>
      <c r="AH282" s="245"/>
      <c r="AI282" s="245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</row>
    <row r="283" spans="2:27" ht="28.5" customHeight="1" thickBot="1">
      <c r="B283" s="428"/>
      <c r="C283" s="429"/>
      <c r="D283" s="299" t="s">
        <v>102</v>
      </c>
      <c r="E283" s="570"/>
      <c r="F283" s="286"/>
      <c r="G283" s="286"/>
      <c r="H283" s="430"/>
      <c r="I283" s="286"/>
      <c r="J283" s="983"/>
      <c r="K283" s="977"/>
      <c r="L283" s="977"/>
      <c r="M283" s="298"/>
      <c r="N283" s="851"/>
      <c r="O283" s="982"/>
      <c r="P283" s="851"/>
      <c r="Q283" s="979"/>
      <c r="R283" s="978"/>
      <c r="S283" s="980"/>
      <c r="T283" s="981"/>
      <c r="U283" s="982"/>
      <c r="V283" s="980"/>
      <c r="W283" s="981"/>
      <c r="X283" s="982"/>
      <c r="Y283" s="980"/>
      <c r="Z283" s="981"/>
      <c r="AA283" s="979"/>
    </row>
    <row r="284" spans="1:121" s="16" customFormat="1" ht="28.5" customHeight="1">
      <c r="A284" s="680">
        <v>230</v>
      </c>
      <c r="B284" s="574">
        <v>3699</v>
      </c>
      <c r="C284" s="575">
        <v>6121</v>
      </c>
      <c r="D284" s="518">
        <v>8216</v>
      </c>
      <c r="E284" s="971" t="s">
        <v>132</v>
      </c>
      <c r="F284" s="34" t="s">
        <v>248</v>
      </c>
      <c r="G284" s="35">
        <v>400</v>
      </c>
      <c r="H284" s="35">
        <v>2017</v>
      </c>
      <c r="I284" s="153">
        <v>2022</v>
      </c>
      <c r="J284" s="37">
        <f>K284+L284+M284+SUM(R284:AA284)</f>
        <v>265750</v>
      </c>
      <c r="K284" s="38">
        <v>250</v>
      </c>
      <c r="L284" s="39">
        <f>5000+25</f>
        <v>5025</v>
      </c>
      <c r="M284" s="97">
        <f>N284+O284+P284+Q284</f>
        <v>10475</v>
      </c>
      <c r="N284" s="41">
        <f>500-25</f>
        <v>475</v>
      </c>
      <c r="O284" s="85">
        <v>10000</v>
      </c>
      <c r="P284" s="42">
        <v>0</v>
      </c>
      <c r="Q284" s="39">
        <v>0</v>
      </c>
      <c r="R284" s="43">
        <v>30000</v>
      </c>
      <c r="S284" s="42">
        <v>0</v>
      </c>
      <c r="T284" s="39">
        <v>0</v>
      </c>
      <c r="U284" s="43">
        <v>20000</v>
      </c>
      <c r="V284" s="42">
        <v>0</v>
      </c>
      <c r="W284" s="39">
        <v>0</v>
      </c>
      <c r="X284" s="43">
        <v>200000</v>
      </c>
      <c r="Y284" s="42">
        <v>0</v>
      </c>
      <c r="Z284" s="39">
        <v>0</v>
      </c>
      <c r="AA284" s="44">
        <v>0</v>
      </c>
      <c r="AB284" s="245"/>
      <c r="AC284" s="245"/>
      <c r="AD284" s="245"/>
      <c r="AE284" s="245"/>
      <c r="AF284" s="245"/>
      <c r="AG284" s="245"/>
      <c r="AH284" s="245"/>
      <c r="AI284" s="245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</row>
    <row r="285" spans="1:35" s="8" customFormat="1" ht="28.5" customHeight="1" thickBot="1">
      <c r="A285" s="464">
        <v>210</v>
      </c>
      <c r="B285" s="342">
        <v>3699</v>
      </c>
      <c r="C285" s="343"/>
      <c r="D285" s="696"/>
      <c r="E285" s="208" t="s">
        <v>171</v>
      </c>
      <c r="F285" s="98" t="s">
        <v>248</v>
      </c>
      <c r="G285" s="99">
        <v>400</v>
      </c>
      <c r="H285" s="99">
        <v>2019</v>
      </c>
      <c r="I285" s="156">
        <v>2019</v>
      </c>
      <c r="J285" s="101">
        <f>K285+L285+M285+SUM(R285:AA285)</f>
        <v>16000</v>
      </c>
      <c r="K285" s="102">
        <v>0</v>
      </c>
      <c r="L285" s="103">
        <v>0</v>
      </c>
      <c r="M285" s="104">
        <f>N285+O285+P285+Q285</f>
        <v>4000</v>
      </c>
      <c r="N285" s="105">
        <v>0</v>
      </c>
      <c r="O285" s="106">
        <v>4000</v>
      </c>
      <c r="P285" s="107">
        <v>0</v>
      </c>
      <c r="Q285" s="103">
        <v>0</v>
      </c>
      <c r="R285" s="108">
        <v>4000</v>
      </c>
      <c r="S285" s="107">
        <v>0</v>
      </c>
      <c r="T285" s="103">
        <v>0</v>
      </c>
      <c r="U285" s="108">
        <v>4000</v>
      </c>
      <c r="V285" s="107">
        <v>0</v>
      </c>
      <c r="W285" s="103">
        <v>0</v>
      </c>
      <c r="X285" s="108">
        <v>4000</v>
      </c>
      <c r="Y285" s="107">
        <v>0</v>
      </c>
      <c r="Z285" s="103">
        <v>0</v>
      </c>
      <c r="AA285" s="109">
        <v>0</v>
      </c>
      <c r="AB285" s="245"/>
      <c r="AC285" s="245"/>
      <c r="AD285" s="245"/>
      <c r="AE285" s="245"/>
      <c r="AF285" s="245"/>
      <c r="AG285" s="245"/>
      <c r="AH285" s="245"/>
      <c r="AI285" s="245"/>
    </row>
    <row r="286" spans="1:121" s="481" customFormat="1" ht="28.5" customHeight="1" thickBot="1">
      <c r="A286" s="487"/>
      <c r="B286" s="309"/>
      <c r="C286" s="472"/>
      <c r="D286" s="309"/>
      <c r="E286" s="1511" t="s">
        <v>101</v>
      </c>
      <c r="F286" s="1511"/>
      <c r="G286" s="1511"/>
      <c r="H286" s="1511"/>
      <c r="I286" s="1511"/>
      <c r="J286" s="311">
        <f>SUM(J284:J285)</f>
        <v>281750</v>
      </c>
      <c r="K286" s="984">
        <f>SUM(K284:K285)</f>
        <v>250</v>
      </c>
      <c r="L286" s="1039">
        <f>SUM(L284:L285)</f>
        <v>5025</v>
      </c>
      <c r="M286" s="311">
        <f>SUM(M284:M285)</f>
        <v>14475</v>
      </c>
      <c r="N286" s="984">
        <f aca="true" t="shared" si="51" ref="N286:AA286">SUM(N284:N285)</f>
        <v>475</v>
      </c>
      <c r="O286" s="1039">
        <f t="shared" si="51"/>
        <v>14000</v>
      </c>
      <c r="P286" s="984">
        <f t="shared" si="51"/>
        <v>0</v>
      </c>
      <c r="Q286" s="1039">
        <f t="shared" si="51"/>
        <v>0</v>
      </c>
      <c r="R286" s="311">
        <f t="shared" si="51"/>
        <v>34000</v>
      </c>
      <c r="S286" s="984">
        <f t="shared" si="51"/>
        <v>0</v>
      </c>
      <c r="T286" s="1039">
        <f t="shared" si="51"/>
        <v>0</v>
      </c>
      <c r="U286" s="311">
        <f t="shared" si="51"/>
        <v>24000</v>
      </c>
      <c r="V286" s="984">
        <f t="shared" si="51"/>
        <v>0</v>
      </c>
      <c r="W286" s="1039">
        <f t="shared" si="51"/>
        <v>0</v>
      </c>
      <c r="X286" s="311">
        <f t="shared" si="51"/>
        <v>204000</v>
      </c>
      <c r="Y286" s="984">
        <f t="shared" si="51"/>
        <v>0</v>
      </c>
      <c r="Z286" s="1039">
        <f t="shared" si="51"/>
        <v>0</v>
      </c>
      <c r="AA286" s="311">
        <f t="shared" si="51"/>
        <v>0</v>
      </c>
      <c r="AB286" s="245"/>
      <c r="AC286" s="245"/>
      <c r="AD286" s="245"/>
      <c r="AE286" s="245"/>
      <c r="AF286" s="245"/>
      <c r="AG286" s="245"/>
      <c r="AH286" s="245"/>
      <c r="AI286" s="245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</row>
    <row r="287" spans="2:27" ht="28.5" customHeight="1" thickBot="1">
      <c r="B287" s="428"/>
      <c r="C287" s="429"/>
      <c r="D287" s="299" t="s">
        <v>571</v>
      </c>
      <c r="E287" s="570"/>
      <c r="F287" s="286"/>
      <c r="G287" s="286"/>
      <c r="H287" s="430"/>
      <c r="I287" s="286"/>
      <c r="J287" s="983"/>
      <c r="K287" s="977"/>
      <c r="L287" s="977"/>
      <c r="M287" s="298"/>
      <c r="N287" s="298"/>
      <c r="O287" s="978"/>
      <c r="P287" s="851"/>
      <c r="Q287" s="979"/>
      <c r="R287" s="978"/>
      <c r="S287" s="980"/>
      <c r="T287" s="981"/>
      <c r="U287" s="982"/>
      <c r="V287" s="980"/>
      <c r="W287" s="981"/>
      <c r="X287" s="982"/>
      <c r="Y287" s="980"/>
      <c r="Z287" s="981"/>
      <c r="AA287" s="979"/>
    </row>
    <row r="288" spans="1:121" s="11" customFormat="1" ht="28.5" customHeight="1" thickBot="1">
      <c r="A288" s="199">
        <v>190</v>
      </c>
      <c r="B288" s="698">
        <v>3722</v>
      </c>
      <c r="C288" s="699">
        <v>6121</v>
      </c>
      <c r="D288" s="653"/>
      <c r="E288" s="110" t="s">
        <v>583</v>
      </c>
      <c r="F288" s="22"/>
      <c r="G288" s="23">
        <v>400</v>
      </c>
      <c r="H288" s="23">
        <v>2019</v>
      </c>
      <c r="I288" s="180">
        <v>2019</v>
      </c>
      <c r="J288" s="700">
        <f>K288+L288+M288+SUM(R288:AA288)</f>
        <v>30000</v>
      </c>
      <c r="K288" s="701">
        <v>0</v>
      </c>
      <c r="L288" s="702">
        <v>0</v>
      </c>
      <c r="M288" s="703">
        <f>N288+O288+P288+Q288</f>
        <v>5000</v>
      </c>
      <c r="N288" s="704">
        <v>0</v>
      </c>
      <c r="O288" s="1355">
        <v>0</v>
      </c>
      <c r="P288" s="42">
        <v>0</v>
      </c>
      <c r="Q288" s="1343">
        <v>5000</v>
      </c>
      <c r="R288" s="43">
        <v>10000</v>
      </c>
      <c r="S288" s="42">
        <v>0</v>
      </c>
      <c r="T288" s="39">
        <v>0</v>
      </c>
      <c r="U288" s="43">
        <v>15000</v>
      </c>
      <c r="V288" s="705">
        <v>0</v>
      </c>
      <c r="W288" s="706">
        <v>0</v>
      </c>
      <c r="X288" s="707">
        <v>0</v>
      </c>
      <c r="Y288" s="705">
        <v>0</v>
      </c>
      <c r="Z288" s="706">
        <v>0</v>
      </c>
      <c r="AA288" s="700">
        <v>0</v>
      </c>
      <c r="AB288" s="595"/>
      <c r="AC288" s="595"/>
      <c r="AD288" s="595"/>
      <c r="AE288" s="595"/>
      <c r="AF288" s="595"/>
      <c r="AG288" s="595"/>
      <c r="AH288" s="595"/>
      <c r="AI288" s="595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</row>
    <row r="289" spans="1:121" s="481" customFormat="1" ht="28.5" customHeight="1" thickBot="1">
      <c r="A289" s="487"/>
      <c r="B289" s="472"/>
      <c r="C289" s="472"/>
      <c r="D289" s="309"/>
      <c r="E289" s="1511" t="s">
        <v>572</v>
      </c>
      <c r="F289" s="1511"/>
      <c r="G289" s="1511"/>
      <c r="H289" s="1511"/>
      <c r="I289" s="1511"/>
      <c r="J289" s="1007">
        <f>SUM(J288:J288)</f>
        <v>30000</v>
      </c>
      <c r="K289" s="984">
        <f>SUM(K288:K288)</f>
        <v>0</v>
      </c>
      <c r="L289" s="987">
        <f>SUM(L288:L288)</f>
        <v>0</v>
      </c>
      <c r="M289" s="1007">
        <f aca="true" t="shared" si="52" ref="M289:AA289">SUM(M288:M288)</f>
        <v>5000</v>
      </c>
      <c r="N289" s="984">
        <f t="shared" si="52"/>
        <v>0</v>
      </c>
      <c r="O289" s="985">
        <f t="shared" si="52"/>
        <v>0</v>
      </c>
      <c r="P289" s="985">
        <f t="shared" si="52"/>
        <v>0</v>
      </c>
      <c r="Q289" s="986">
        <f t="shared" si="52"/>
        <v>5000</v>
      </c>
      <c r="R289" s="984">
        <f t="shared" si="52"/>
        <v>10000</v>
      </c>
      <c r="S289" s="985">
        <f t="shared" si="52"/>
        <v>0</v>
      </c>
      <c r="T289" s="986">
        <f t="shared" si="52"/>
        <v>0</v>
      </c>
      <c r="U289" s="1048">
        <f t="shared" si="52"/>
        <v>15000</v>
      </c>
      <c r="V289" s="985">
        <f t="shared" si="52"/>
        <v>0</v>
      </c>
      <c r="W289" s="1049">
        <f t="shared" si="52"/>
        <v>0</v>
      </c>
      <c r="X289" s="984">
        <f t="shared" si="52"/>
        <v>0</v>
      </c>
      <c r="Y289" s="985">
        <f t="shared" si="52"/>
        <v>0</v>
      </c>
      <c r="Z289" s="986">
        <f t="shared" si="52"/>
        <v>0</v>
      </c>
      <c r="AA289" s="1038">
        <f t="shared" si="52"/>
        <v>0</v>
      </c>
      <c r="AB289" s="245"/>
      <c r="AC289" s="245"/>
      <c r="AD289" s="245"/>
      <c r="AE289" s="245"/>
      <c r="AF289" s="245"/>
      <c r="AG289" s="245"/>
      <c r="AH289" s="245"/>
      <c r="AI289" s="245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</row>
    <row r="290" spans="2:27" ht="28.5" customHeight="1" thickBot="1">
      <c r="B290" s="428"/>
      <c r="C290" s="429"/>
      <c r="D290" s="299" t="s">
        <v>104</v>
      </c>
      <c r="E290" s="299"/>
      <c r="F290" s="286"/>
      <c r="G290" s="286"/>
      <c r="H290" s="430"/>
      <c r="I290" s="286"/>
      <c r="J290" s="983"/>
      <c r="K290" s="977"/>
      <c r="L290" s="977"/>
      <c r="M290" s="298"/>
      <c r="N290" s="298"/>
      <c r="O290" s="978"/>
      <c r="P290" s="851"/>
      <c r="Q290" s="979"/>
      <c r="R290" s="978"/>
      <c r="S290" s="980"/>
      <c r="T290" s="981"/>
      <c r="U290" s="982"/>
      <c r="V290" s="980"/>
      <c r="W290" s="981"/>
      <c r="X290" s="982"/>
      <c r="Y290" s="980"/>
      <c r="Z290" s="981"/>
      <c r="AA290" s="979"/>
    </row>
    <row r="291" spans="1:121" s="481" customFormat="1" ht="28.5" customHeight="1">
      <c r="A291" s="642">
        <v>230</v>
      </c>
      <c r="B291" s="342">
        <v>3741</v>
      </c>
      <c r="C291" s="343">
        <v>6121</v>
      </c>
      <c r="D291" s="542">
        <v>5014</v>
      </c>
      <c r="E291" s="543" t="s">
        <v>133</v>
      </c>
      <c r="F291" s="121" t="s">
        <v>254</v>
      </c>
      <c r="G291" s="35">
        <v>400</v>
      </c>
      <c r="H291" s="35">
        <v>2010</v>
      </c>
      <c r="I291" s="36">
        <v>2022</v>
      </c>
      <c r="J291" s="37">
        <f>K291+L291+M291+SUM(R291:AA291)</f>
        <v>117464</v>
      </c>
      <c r="K291" s="38">
        <f>1998+44131</f>
        <v>46129</v>
      </c>
      <c r="L291" s="39">
        <v>44701</v>
      </c>
      <c r="M291" s="135">
        <f>N291+O291+P291+Q291</f>
        <v>15634</v>
      </c>
      <c r="N291" s="41">
        <v>455</v>
      </c>
      <c r="O291" s="85">
        <v>15179</v>
      </c>
      <c r="P291" s="42">
        <v>0</v>
      </c>
      <c r="Q291" s="39">
        <v>0</v>
      </c>
      <c r="R291" s="43">
        <v>5000</v>
      </c>
      <c r="S291" s="42">
        <v>0</v>
      </c>
      <c r="T291" s="39">
        <v>0</v>
      </c>
      <c r="U291" s="43">
        <v>5000</v>
      </c>
      <c r="V291" s="42">
        <v>0</v>
      </c>
      <c r="W291" s="39">
        <v>0</v>
      </c>
      <c r="X291" s="43">
        <v>1000</v>
      </c>
      <c r="Y291" s="42">
        <v>0</v>
      </c>
      <c r="Z291" s="39">
        <v>0</v>
      </c>
      <c r="AA291" s="44">
        <v>0</v>
      </c>
      <c r="AB291" s="14"/>
      <c r="AC291" s="14"/>
      <c r="AD291" s="14"/>
      <c r="AE291" s="14"/>
      <c r="AF291" s="245"/>
      <c r="AG291" s="245"/>
      <c r="AH291" s="245"/>
      <c r="AI291" s="245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</row>
    <row r="292" spans="1:121" s="481" customFormat="1" ht="28.5" customHeight="1">
      <c r="A292" s="642">
        <v>230</v>
      </c>
      <c r="B292" s="342">
        <v>3741</v>
      </c>
      <c r="C292" s="343">
        <v>6121</v>
      </c>
      <c r="D292" s="344">
        <v>8218</v>
      </c>
      <c r="E292" s="972" t="s">
        <v>134</v>
      </c>
      <c r="F292" s="81" t="s">
        <v>254</v>
      </c>
      <c r="G292" s="62">
        <v>400</v>
      </c>
      <c r="H292" s="62">
        <v>2017</v>
      </c>
      <c r="I292" s="63">
        <v>2020</v>
      </c>
      <c r="J292" s="45">
        <f>K292+L292+M292+SUM(R292:AA292)</f>
        <v>31849</v>
      </c>
      <c r="K292" s="46">
        <v>0</v>
      </c>
      <c r="L292" s="47">
        <v>127</v>
      </c>
      <c r="M292" s="56">
        <f>N292+O292+P292+Q292</f>
        <v>26722</v>
      </c>
      <c r="N292" s="49">
        <v>11722</v>
      </c>
      <c r="O292" s="64">
        <v>15000</v>
      </c>
      <c r="P292" s="50">
        <v>0</v>
      </c>
      <c r="Q292" s="47">
        <v>0</v>
      </c>
      <c r="R292" s="51">
        <v>5000</v>
      </c>
      <c r="S292" s="50">
        <v>0</v>
      </c>
      <c r="T292" s="47">
        <v>0</v>
      </c>
      <c r="U292" s="51">
        <v>0</v>
      </c>
      <c r="V292" s="50">
        <v>0</v>
      </c>
      <c r="W292" s="47">
        <v>0</v>
      </c>
      <c r="X292" s="51">
        <v>0</v>
      </c>
      <c r="Y292" s="50">
        <v>0</v>
      </c>
      <c r="Z292" s="47">
        <v>0</v>
      </c>
      <c r="AA292" s="52">
        <v>0</v>
      </c>
      <c r="AB292" s="14"/>
      <c r="AC292" s="14"/>
      <c r="AD292" s="14"/>
      <c r="AE292" s="14"/>
      <c r="AF292" s="245"/>
      <c r="AG292" s="245"/>
      <c r="AH292" s="245"/>
      <c r="AI292" s="245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</row>
    <row r="293" spans="1:121" s="481" customFormat="1" ht="28.5" customHeight="1">
      <c r="A293" s="642">
        <v>230</v>
      </c>
      <c r="B293" s="342">
        <v>3741</v>
      </c>
      <c r="C293" s="343">
        <v>6121</v>
      </c>
      <c r="D293" s="330">
        <v>8222</v>
      </c>
      <c r="E293" s="193" t="s">
        <v>135</v>
      </c>
      <c r="F293" s="83" t="s">
        <v>254</v>
      </c>
      <c r="G293" s="67">
        <v>400</v>
      </c>
      <c r="H293" s="67">
        <v>2017</v>
      </c>
      <c r="I293" s="68">
        <v>2020</v>
      </c>
      <c r="J293" s="53">
        <f>K293+L293+M293+SUM(R293:AA293)</f>
        <v>41000</v>
      </c>
      <c r="K293" s="54">
        <v>0</v>
      </c>
      <c r="L293" s="55">
        <v>103</v>
      </c>
      <c r="M293" s="56">
        <f>N293+O293+P293+Q293</f>
        <v>897</v>
      </c>
      <c r="N293" s="57">
        <v>397</v>
      </c>
      <c r="O293" s="65">
        <f>5000-5000</f>
        <v>0</v>
      </c>
      <c r="P293" s="58">
        <v>0</v>
      </c>
      <c r="Q293" s="1316">
        <v>500</v>
      </c>
      <c r="R293" s="59">
        <f>40000-40000</f>
        <v>0</v>
      </c>
      <c r="S293" s="58">
        <v>0</v>
      </c>
      <c r="T293" s="55">
        <v>0</v>
      </c>
      <c r="U293" s="59">
        <v>20000</v>
      </c>
      <c r="V293" s="58">
        <v>0</v>
      </c>
      <c r="W293" s="55">
        <v>0</v>
      </c>
      <c r="X293" s="59">
        <v>20000</v>
      </c>
      <c r="Y293" s="58">
        <v>0</v>
      </c>
      <c r="Z293" s="55">
        <v>0</v>
      </c>
      <c r="AA293" s="60">
        <v>0</v>
      </c>
      <c r="AB293" s="14"/>
      <c r="AC293" s="14"/>
      <c r="AD293" s="14"/>
      <c r="AE293" s="14"/>
      <c r="AF293" s="245"/>
      <c r="AG293" s="245"/>
      <c r="AH293" s="245"/>
      <c r="AI293" s="245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</row>
    <row r="294" spans="1:121" s="481" customFormat="1" ht="28.5" customHeight="1" thickBot="1">
      <c r="A294" s="642">
        <v>230</v>
      </c>
      <c r="B294" s="342">
        <v>3741</v>
      </c>
      <c r="C294" s="697">
        <v>6121</v>
      </c>
      <c r="D294" s="483">
        <v>8227</v>
      </c>
      <c r="E294" s="195" t="s">
        <v>136</v>
      </c>
      <c r="F294" s="96" t="s">
        <v>254</v>
      </c>
      <c r="G294" s="70">
        <v>400</v>
      </c>
      <c r="H294" s="70">
        <v>2017</v>
      </c>
      <c r="I294" s="71">
        <v>2020</v>
      </c>
      <c r="J294" s="184">
        <f>K294+L294+M294+SUM(R294:AA294)</f>
        <v>50500</v>
      </c>
      <c r="K294" s="185">
        <v>0</v>
      </c>
      <c r="L294" s="183">
        <v>0</v>
      </c>
      <c r="M294" s="1284">
        <f>N294+O294+P294+Q294</f>
        <v>500</v>
      </c>
      <c r="N294" s="76">
        <v>0</v>
      </c>
      <c r="O294" s="77">
        <f>15000-15000</f>
        <v>0</v>
      </c>
      <c r="P294" s="78">
        <v>0</v>
      </c>
      <c r="Q294" s="1317">
        <v>500</v>
      </c>
      <c r="R294" s="79">
        <f>50000-50000</f>
        <v>0</v>
      </c>
      <c r="S294" s="78">
        <v>0</v>
      </c>
      <c r="T294" s="74">
        <v>0</v>
      </c>
      <c r="U294" s="79">
        <v>0</v>
      </c>
      <c r="V294" s="78">
        <v>0</v>
      </c>
      <c r="W294" s="74">
        <v>0</v>
      </c>
      <c r="X294" s="79">
        <v>10000</v>
      </c>
      <c r="Y294" s="78">
        <v>0</v>
      </c>
      <c r="Z294" s="74">
        <v>0</v>
      </c>
      <c r="AA294" s="80">
        <v>40000</v>
      </c>
      <c r="AB294" s="245"/>
      <c r="AC294" s="245"/>
      <c r="AD294" s="245"/>
      <c r="AE294" s="245"/>
      <c r="AF294" s="245"/>
      <c r="AG294" s="245"/>
      <c r="AH294" s="245"/>
      <c r="AI294" s="245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</row>
    <row r="295" spans="1:121" s="481" customFormat="1" ht="28.5" customHeight="1" thickBot="1">
      <c r="A295" s="487"/>
      <c r="B295" s="309"/>
      <c r="C295" s="309"/>
      <c r="D295" s="309"/>
      <c r="E295" s="1509" t="s">
        <v>103</v>
      </c>
      <c r="F295" s="1509"/>
      <c r="G295" s="1509"/>
      <c r="H295" s="1509"/>
      <c r="I295" s="1509"/>
      <c r="J295" s="1008">
        <f aca="true" t="shared" si="53" ref="J295:AA295">SUM(J291:J294)</f>
        <v>240813</v>
      </c>
      <c r="K295" s="1007">
        <f t="shared" si="53"/>
        <v>46129</v>
      </c>
      <c r="L295" s="986">
        <f t="shared" si="53"/>
        <v>44931</v>
      </c>
      <c r="M295" s="1008">
        <f t="shared" si="53"/>
        <v>43753</v>
      </c>
      <c r="N295" s="311">
        <f t="shared" si="53"/>
        <v>12574</v>
      </c>
      <c r="O295" s="985">
        <f t="shared" si="53"/>
        <v>30179</v>
      </c>
      <c r="P295" s="985">
        <f t="shared" si="53"/>
        <v>0</v>
      </c>
      <c r="Q295" s="1039">
        <f t="shared" si="53"/>
        <v>1000</v>
      </c>
      <c r="R295" s="984">
        <f t="shared" si="53"/>
        <v>10000</v>
      </c>
      <c r="S295" s="1048">
        <f t="shared" si="53"/>
        <v>0</v>
      </c>
      <c r="T295" s="1039">
        <f t="shared" si="53"/>
        <v>0</v>
      </c>
      <c r="U295" s="311">
        <f t="shared" si="53"/>
        <v>25000</v>
      </c>
      <c r="V295" s="984">
        <f t="shared" si="53"/>
        <v>0</v>
      </c>
      <c r="W295" s="1039">
        <f t="shared" si="53"/>
        <v>0</v>
      </c>
      <c r="X295" s="984">
        <f t="shared" si="53"/>
        <v>31000</v>
      </c>
      <c r="Y295" s="1048">
        <f t="shared" si="53"/>
        <v>0</v>
      </c>
      <c r="Z295" s="1039">
        <f t="shared" si="53"/>
        <v>0</v>
      </c>
      <c r="AA295" s="317">
        <f t="shared" si="53"/>
        <v>40000</v>
      </c>
      <c r="AB295" s="245"/>
      <c r="AC295" s="245"/>
      <c r="AD295" s="245"/>
      <c r="AE295" s="245"/>
      <c r="AF295" s="245"/>
      <c r="AG295" s="245"/>
      <c r="AH295" s="245"/>
      <c r="AI295" s="245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</row>
    <row r="296" spans="2:27" ht="28.5" customHeight="1" thickBot="1">
      <c r="B296" s="428"/>
      <c r="C296" s="429"/>
      <c r="D296" s="299" t="s">
        <v>105</v>
      </c>
      <c r="E296" s="570"/>
      <c r="F296" s="286"/>
      <c r="G296" s="286"/>
      <c r="H296" s="430"/>
      <c r="I296" s="286"/>
      <c r="J296" s="983"/>
      <c r="K296" s="977"/>
      <c r="L296" s="977"/>
      <c r="M296" s="298"/>
      <c r="N296" s="298"/>
      <c r="O296" s="978"/>
      <c r="P296" s="851"/>
      <c r="Q296" s="979"/>
      <c r="R296" s="978"/>
      <c r="S296" s="980"/>
      <c r="T296" s="981"/>
      <c r="U296" s="982"/>
      <c r="V296" s="980"/>
      <c r="W296" s="981"/>
      <c r="X296" s="982"/>
      <c r="Y296" s="980"/>
      <c r="Z296" s="981"/>
      <c r="AA296" s="979"/>
    </row>
    <row r="297" spans="1:121" s="11" customFormat="1" ht="44.25" customHeight="1" thickBot="1">
      <c r="A297" s="199">
        <v>190</v>
      </c>
      <c r="B297" s="698">
        <v>3744</v>
      </c>
      <c r="C297" s="699">
        <v>6315</v>
      </c>
      <c r="D297" s="306"/>
      <c r="E297" s="572" t="s">
        <v>439</v>
      </c>
      <c r="F297" s="22" t="s">
        <v>308</v>
      </c>
      <c r="G297" s="23">
        <v>400</v>
      </c>
      <c r="H297" s="23">
        <v>2011</v>
      </c>
      <c r="I297" s="180">
        <v>2019</v>
      </c>
      <c r="J297" s="700">
        <f>K297+L297+M297+SUM(R297:AA297)</f>
        <v>9500</v>
      </c>
      <c r="K297" s="701">
        <v>0</v>
      </c>
      <c r="L297" s="702">
        <v>0</v>
      </c>
      <c r="M297" s="703">
        <f>N297+O297+P297+Q297</f>
        <v>0</v>
      </c>
      <c r="N297" s="704">
        <v>0</v>
      </c>
      <c r="O297" s="1355">
        <f>500-500</f>
        <v>0</v>
      </c>
      <c r="P297" s="42">
        <v>0</v>
      </c>
      <c r="Q297" s="39">
        <v>0</v>
      </c>
      <c r="R297" s="43">
        <v>3500</v>
      </c>
      <c r="S297" s="42">
        <v>0</v>
      </c>
      <c r="T297" s="39">
        <v>0</v>
      </c>
      <c r="U297" s="43">
        <v>6000</v>
      </c>
      <c r="V297" s="705">
        <v>0</v>
      </c>
      <c r="W297" s="706">
        <v>0</v>
      </c>
      <c r="X297" s="707">
        <v>0</v>
      </c>
      <c r="Y297" s="705">
        <v>0</v>
      </c>
      <c r="Z297" s="706">
        <v>0</v>
      </c>
      <c r="AA297" s="700">
        <v>0</v>
      </c>
      <c r="AB297" s="595"/>
      <c r="AC297" s="595"/>
      <c r="AD297" s="595"/>
      <c r="AE297" s="595"/>
      <c r="AF297" s="595"/>
      <c r="AG297" s="595"/>
      <c r="AH297" s="595"/>
      <c r="AI297" s="595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</row>
    <row r="298" spans="1:121" s="481" customFormat="1" ht="28.5" customHeight="1" thickBot="1">
      <c r="A298" s="487"/>
      <c r="B298" s="472"/>
      <c r="C298" s="472"/>
      <c r="D298" s="309"/>
      <c r="E298" s="1511" t="s">
        <v>106</v>
      </c>
      <c r="F298" s="1511"/>
      <c r="G298" s="1511"/>
      <c r="H298" s="1511"/>
      <c r="I298" s="1511"/>
      <c r="J298" s="1007">
        <f>SUM(J297:J297)</f>
        <v>9500</v>
      </c>
      <c r="K298" s="984">
        <f>SUM(K297:K297)</f>
        <v>0</v>
      </c>
      <c r="L298" s="987">
        <f>SUM(L297:L297)</f>
        <v>0</v>
      </c>
      <c r="M298" s="1007">
        <f aca="true" t="shared" si="54" ref="M298:AA298">SUM(M297:M297)</f>
        <v>0</v>
      </c>
      <c r="N298" s="984">
        <f t="shared" si="54"/>
        <v>0</v>
      </c>
      <c r="O298" s="985">
        <f t="shared" si="54"/>
        <v>0</v>
      </c>
      <c r="P298" s="985">
        <f t="shared" si="54"/>
        <v>0</v>
      </c>
      <c r="Q298" s="986">
        <f t="shared" si="54"/>
        <v>0</v>
      </c>
      <c r="R298" s="984">
        <f t="shared" si="54"/>
        <v>3500</v>
      </c>
      <c r="S298" s="985">
        <f t="shared" si="54"/>
        <v>0</v>
      </c>
      <c r="T298" s="986">
        <f t="shared" si="54"/>
        <v>0</v>
      </c>
      <c r="U298" s="1048">
        <f t="shared" si="54"/>
        <v>6000</v>
      </c>
      <c r="V298" s="985">
        <f t="shared" si="54"/>
        <v>0</v>
      </c>
      <c r="W298" s="1049">
        <f t="shared" si="54"/>
        <v>0</v>
      </c>
      <c r="X298" s="984">
        <f t="shared" si="54"/>
        <v>0</v>
      </c>
      <c r="Y298" s="985">
        <f t="shared" si="54"/>
        <v>0</v>
      </c>
      <c r="Z298" s="986">
        <f t="shared" si="54"/>
        <v>0</v>
      </c>
      <c r="AA298" s="1038">
        <f t="shared" si="54"/>
        <v>0</v>
      </c>
      <c r="AB298" s="245"/>
      <c r="AC298" s="245"/>
      <c r="AD298" s="245"/>
      <c r="AE298" s="245"/>
      <c r="AF298" s="245"/>
      <c r="AG298" s="245"/>
      <c r="AH298" s="245"/>
      <c r="AI298" s="245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</row>
    <row r="299" spans="2:27" ht="28.5" customHeight="1" thickBot="1">
      <c r="B299" s="428"/>
      <c r="C299" s="429"/>
      <c r="D299" s="299" t="s">
        <v>107</v>
      </c>
      <c r="E299" s="299"/>
      <c r="F299" s="286"/>
      <c r="G299" s="286"/>
      <c r="H299" s="430"/>
      <c r="I299" s="286"/>
      <c r="J299" s="983"/>
      <c r="K299" s="977"/>
      <c r="L299" s="977"/>
      <c r="M299" s="298"/>
      <c r="N299" s="298"/>
      <c r="O299" s="978"/>
      <c r="P299" s="851"/>
      <c r="Q299" s="979"/>
      <c r="R299" s="978"/>
      <c r="S299" s="980"/>
      <c r="T299" s="981"/>
      <c r="U299" s="982"/>
      <c r="V299" s="980"/>
      <c r="W299" s="981"/>
      <c r="X299" s="982"/>
      <c r="Y299" s="980"/>
      <c r="Z299" s="981"/>
      <c r="AA299" s="979"/>
    </row>
    <row r="300" spans="1:28" ht="32.25" customHeight="1">
      <c r="A300" s="573">
        <v>230</v>
      </c>
      <c r="B300" s="454">
        <v>3745</v>
      </c>
      <c r="C300" s="455">
        <v>6121</v>
      </c>
      <c r="D300" s="325">
        <v>5045</v>
      </c>
      <c r="E300" s="1285" t="s">
        <v>591</v>
      </c>
      <c r="F300" s="34" t="s">
        <v>248</v>
      </c>
      <c r="G300" s="112">
        <v>400</v>
      </c>
      <c r="H300" s="112">
        <v>2019</v>
      </c>
      <c r="I300" s="113">
        <v>2019</v>
      </c>
      <c r="J300" s="224">
        <f>K300+L300+M300+SUM(R300:AA300)</f>
        <v>5780</v>
      </c>
      <c r="K300" s="38">
        <v>0</v>
      </c>
      <c r="L300" s="39">
        <v>280</v>
      </c>
      <c r="M300" s="97">
        <f>N300+O300+P300+Q300</f>
        <v>5500</v>
      </c>
      <c r="N300" s="127">
        <v>500</v>
      </c>
      <c r="O300" s="1356">
        <f>8920-8480+560+2426+1574</f>
        <v>5000</v>
      </c>
      <c r="P300" s="42">
        <v>0</v>
      </c>
      <c r="Q300" s="39">
        <f>4000-2426-1574</f>
        <v>0</v>
      </c>
      <c r="R300" s="43">
        <v>0</v>
      </c>
      <c r="S300" s="42">
        <v>0</v>
      </c>
      <c r="T300" s="128">
        <v>0</v>
      </c>
      <c r="U300" s="114">
        <v>0</v>
      </c>
      <c r="V300" s="42">
        <v>0</v>
      </c>
      <c r="W300" s="39">
        <v>0</v>
      </c>
      <c r="X300" s="129">
        <v>0</v>
      </c>
      <c r="Y300" s="42">
        <v>0</v>
      </c>
      <c r="Z300" s="44">
        <v>0</v>
      </c>
      <c r="AA300" s="44">
        <v>0</v>
      </c>
      <c r="AB300" s="123"/>
    </row>
    <row r="301" spans="1:28" ht="29.25" customHeight="1">
      <c r="A301" s="529">
        <v>230</v>
      </c>
      <c r="B301" s="304">
        <v>3745</v>
      </c>
      <c r="C301" s="305">
        <v>6121</v>
      </c>
      <c r="D301" s="344">
        <v>5046</v>
      </c>
      <c r="E301" s="1286" t="s">
        <v>592</v>
      </c>
      <c r="F301" s="61" t="s">
        <v>248</v>
      </c>
      <c r="G301" s="88">
        <v>400</v>
      </c>
      <c r="H301" s="88">
        <v>2019</v>
      </c>
      <c r="I301" s="89">
        <v>2019</v>
      </c>
      <c r="J301" s="90">
        <f aca="true" t="shared" si="55" ref="J301:J310">K301+L301+M301+SUM(R301:AA301)</f>
        <v>845</v>
      </c>
      <c r="K301" s="54">
        <v>0</v>
      </c>
      <c r="L301" s="55">
        <v>85</v>
      </c>
      <c r="M301" s="56">
        <f>N301+O301+P301+Q301</f>
        <v>760</v>
      </c>
      <c r="N301" s="132">
        <v>415</v>
      </c>
      <c r="O301" s="133">
        <f>4700-4355</f>
        <v>345</v>
      </c>
      <c r="P301" s="58">
        <v>0</v>
      </c>
      <c r="Q301" s="55">
        <v>0</v>
      </c>
      <c r="R301" s="59">
        <v>0</v>
      </c>
      <c r="S301" s="58">
        <v>0</v>
      </c>
      <c r="T301" s="91">
        <v>0</v>
      </c>
      <c r="U301" s="92">
        <v>0</v>
      </c>
      <c r="V301" s="58">
        <v>0</v>
      </c>
      <c r="W301" s="55">
        <v>0</v>
      </c>
      <c r="X301" s="93">
        <v>0</v>
      </c>
      <c r="Y301" s="58">
        <v>0</v>
      </c>
      <c r="Z301" s="60">
        <v>0</v>
      </c>
      <c r="AA301" s="60">
        <v>0</v>
      </c>
      <c r="AB301" s="123"/>
    </row>
    <row r="302" spans="1:28" ht="28.5" customHeight="1">
      <c r="A302" s="529">
        <v>230</v>
      </c>
      <c r="B302" s="304">
        <v>3745</v>
      </c>
      <c r="C302" s="305">
        <v>6121</v>
      </c>
      <c r="D302" s="344">
        <v>5047</v>
      </c>
      <c r="E302" s="1286" t="s">
        <v>593</v>
      </c>
      <c r="F302" s="66" t="s">
        <v>138</v>
      </c>
      <c r="G302" s="88">
        <v>400</v>
      </c>
      <c r="H302" s="88">
        <v>2019</v>
      </c>
      <c r="I302" s="89">
        <v>2020</v>
      </c>
      <c r="J302" s="90">
        <f t="shared" si="55"/>
        <v>18070</v>
      </c>
      <c r="K302" s="54">
        <v>0</v>
      </c>
      <c r="L302" s="55">
        <v>130</v>
      </c>
      <c r="M302" s="56">
        <f>N302+O302+P302+Q302</f>
        <v>5470</v>
      </c>
      <c r="N302" s="132">
        <v>370</v>
      </c>
      <c r="O302" s="133">
        <f>10630-9530+4000</f>
        <v>5100</v>
      </c>
      <c r="P302" s="58">
        <v>0</v>
      </c>
      <c r="Q302" s="55">
        <v>0</v>
      </c>
      <c r="R302" s="59">
        <f>12470-12470</f>
        <v>0</v>
      </c>
      <c r="S302" s="58">
        <v>0</v>
      </c>
      <c r="T302" s="91">
        <v>0</v>
      </c>
      <c r="U302" s="92">
        <v>12470</v>
      </c>
      <c r="V302" s="58">
        <v>0</v>
      </c>
      <c r="W302" s="55">
        <v>0</v>
      </c>
      <c r="X302" s="93">
        <v>0</v>
      </c>
      <c r="Y302" s="58">
        <v>0</v>
      </c>
      <c r="Z302" s="60">
        <v>0</v>
      </c>
      <c r="AA302" s="60">
        <v>0</v>
      </c>
      <c r="AB302" s="123"/>
    </row>
    <row r="303" spans="1:28" ht="28.5" customHeight="1">
      <c r="A303" s="253">
        <v>230</v>
      </c>
      <c r="B303" s="337">
        <v>3745</v>
      </c>
      <c r="C303" s="338">
        <v>6121</v>
      </c>
      <c r="D303" s="344">
        <v>5050</v>
      </c>
      <c r="E303" s="1292" t="s">
        <v>594</v>
      </c>
      <c r="F303" s="61" t="s">
        <v>248</v>
      </c>
      <c r="G303" s="130">
        <v>400</v>
      </c>
      <c r="H303" s="130">
        <v>2019</v>
      </c>
      <c r="I303" s="218">
        <v>2020</v>
      </c>
      <c r="J303" s="90">
        <f t="shared" si="55"/>
        <v>3700</v>
      </c>
      <c r="K303" s="134">
        <v>0</v>
      </c>
      <c r="L303" s="47">
        <v>0</v>
      </c>
      <c r="M303" s="48">
        <f aca="true" t="shared" si="56" ref="M303:M310">N303+O303+P303+Q303</f>
        <v>500</v>
      </c>
      <c r="N303" s="220">
        <v>200</v>
      </c>
      <c r="O303" s="1357">
        <f>650-350</f>
        <v>300</v>
      </c>
      <c r="P303" s="50">
        <v>0</v>
      </c>
      <c r="Q303" s="47">
        <v>0</v>
      </c>
      <c r="R303" s="51">
        <v>3200</v>
      </c>
      <c r="S303" s="141">
        <v>0</v>
      </c>
      <c r="T303" s="47">
        <v>0</v>
      </c>
      <c r="U303" s="140">
        <v>0</v>
      </c>
      <c r="V303" s="50">
        <v>0</v>
      </c>
      <c r="W303" s="47">
        <v>0</v>
      </c>
      <c r="X303" s="221">
        <v>0</v>
      </c>
      <c r="Y303" s="50">
        <v>0</v>
      </c>
      <c r="Z303" s="52">
        <v>0</v>
      </c>
      <c r="AA303" s="52">
        <v>0</v>
      </c>
      <c r="AB303" s="123"/>
    </row>
    <row r="304" spans="1:28" ht="28.5" customHeight="1">
      <c r="A304" s="529">
        <v>230</v>
      </c>
      <c r="B304" s="304">
        <v>3745</v>
      </c>
      <c r="C304" s="305">
        <v>6121</v>
      </c>
      <c r="D304" s="344">
        <v>5051</v>
      </c>
      <c r="E304" s="1286" t="s">
        <v>595</v>
      </c>
      <c r="F304" s="66" t="s">
        <v>137</v>
      </c>
      <c r="G304" s="88">
        <v>400</v>
      </c>
      <c r="H304" s="88">
        <v>2019</v>
      </c>
      <c r="I304" s="130">
        <v>2020</v>
      </c>
      <c r="J304" s="90">
        <f t="shared" si="55"/>
        <v>5180</v>
      </c>
      <c r="K304" s="131">
        <v>0</v>
      </c>
      <c r="L304" s="55">
        <v>0</v>
      </c>
      <c r="M304" s="56">
        <f t="shared" si="56"/>
        <v>880</v>
      </c>
      <c r="N304" s="132">
        <v>300</v>
      </c>
      <c r="O304" s="133">
        <f>3200-2620</f>
        <v>580</v>
      </c>
      <c r="P304" s="58">
        <v>0</v>
      </c>
      <c r="Q304" s="55">
        <v>0</v>
      </c>
      <c r="R304" s="59">
        <v>4300</v>
      </c>
      <c r="S304" s="58">
        <v>0</v>
      </c>
      <c r="T304" s="91">
        <v>0</v>
      </c>
      <c r="U304" s="92">
        <v>0</v>
      </c>
      <c r="V304" s="58">
        <v>0</v>
      </c>
      <c r="W304" s="55">
        <v>0</v>
      </c>
      <c r="X304" s="93">
        <v>0</v>
      </c>
      <c r="Y304" s="58">
        <v>0</v>
      </c>
      <c r="Z304" s="60">
        <v>0</v>
      </c>
      <c r="AA304" s="60">
        <v>0</v>
      </c>
      <c r="AB304" s="123"/>
    </row>
    <row r="305" spans="1:28" ht="28.5" customHeight="1">
      <c r="A305" s="529">
        <v>230</v>
      </c>
      <c r="B305" s="304">
        <v>3745</v>
      </c>
      <c r="C305" s="305">
        <v>6121</v>
      </c>
      <c r="D305" s="344">
        <v>5052</v>
      </c>
      <c r="E305" s="1287" t="s">
        <v>596</v>
      </c>
      <c r="F305" s="66" t="s">
        <v>273</v>
      </c>
      <c r="G305" s="88">
        <v>400</v>
      </c>
      <c r="H305" s="88">
        <v>2020</v>
      </c>
      <c r="I305" s="89">
        <v>2020</v>
      </c>
      <c r="J305" s="90">
        <f t="shared" si="55"/>
        <v>5900</v>
      </c>
      <c r="K305" s="134">
        <v>0</v>
      </c>
      <c r="L305" s="55">
        <v>0</v>
      </c>
      <c r="M305" s="56">
        <f t="shared" si="56"/>
        <v>600</v>
      </c>
      <c r="N305" s="132">
        <v>0</v>
      </c>
      <c r="O305" s="133">
        <f>3000-2400</f>
        <v>600</v>
      </c>
      <c r="P305" s="58">
        <v>0</v>
      </c>
      <c r="Q305" s="55">
        <v>0</v>
      </c>
      <c r="R305" s="59">
        <v>5300</v>
      </c>
      <c r="S305" s="58">
        <v>0</v>
      </c>
      <c r="T305" s="91">
        <v>0</v>
      </c>
      <c r="U305" s="92">
        <v>0</v>
      </c>
      <c r="V305" s="58">
        <v>0</v>
      </c>
      <c r="W305" s="55">
        <v>0</v>
      </c>
      <c r="X305" s="93">
        <v>0</v>
      </c>
      <c r="Y305" s="58">
        <v>0</v>
      </c>
      <c r="Z305" s="60">
        <v>0</v>
      </c>
      <c r="AA305" s="60">
        <v>0</v>
      </c>
      <c r="AB305" s="123"/>
    </row>
    <row r="306" spans="1:28" ht="28.5" customHeight="1">
      <c r="A306" s="529">
        <v>230</v>
      </c>
      <c r="B306" s="304">
        <v>3745</v>
      </c>
      <c r="C306" s="305">
        <v>6121</v>
      </c>
      <c r="D306" s="344">
        <v>5053</v>
      </c>
      <c r="E306" s="1287" t="s">
        <v>597</v>
      </c>
      <c r="F306" s="66" t="s">
        <v>273</v>
      </c>
      <c r="G306" s="88">
        <v>400</v>
      </c>
      <c r="H306" s="88">
        <v>2020</v>
      </c>
      <c r="I306" s="89">
        <v>2020</v>
      </c>
      <c r="J306" s="90">
        <f t="shared" si="55"/>
        <v>10970</v>
      </c>
      <c r="K306" s="46">
        <v>0</v>
      </c>
      <c r="L306" s="55">
        <v>0</v>
      </c>
      <c r="M306" s="56">
        <f t="shared" si="56"/>
        <v>970</v>
      </c>
      <c r="N306" s="132">
        <v>0</v>
      </c>
      <c r="O306" s="133">
        <f>3000-2030</f>
        <v>970</v>
      </c>
      <c r="P306" s="58">
        <v>0</v>
      </c>
      <c r="Q306" s="55">
        <v>0</v>
      </c>
      <c r="R306" s="59">
        <f>10000-10000</f>
        <v>0</v>
      </c>
      <c r="S306" s="58">
        <v>0</v>
      </c>
      <c r="T306" s="91">
        <v>0</v>
      </c>
      <c r="U306" s="92">
        <v>10000</v>
      </c>
      <c r="V306" s="58">
        <v>0</v>
      </c>
      <c r="W306" s="55">
        <v>0</v>
      </c>
      <c r="X306" s="93">
        <v>0</v>
      </c>
      <c r="Y306" s="58">
        <v>0</v>
      </c>
      <c r="Z306" s="60">
        <v>0</v>
      </c>
      <c r="AA306" s="60">
        <v>0</v>
      </c>
      <c r="AB306" s="123"/>
    </row>
    <row r="307" spans="1:28" ht="28.5" customHeight="1">
      <c r="A307" s="529">
        <v>230</v>
      </c>
      <c r="B307" s="454">
        <v>3745</v>
      </c>
      <c r="C307" s="455">
        <v>6121</v>
      </c>
      <c r="D307" s="330">
        <v>5054</v>
      </c>
      <c r="E307" s="708" t="s">
        <v>139</v>
      </c>
      <c r="F307" s="61" t="s">
        <v>248</v>
      </c>
      <c r="G307" s="88">
        <v>400</v>
      </c>
      <c r="H307" s="88">
        <v>2019</v>
      </c>
      <c r="I307" s="89">
        <v>2019</v>
      </c>
      <c r="J307" s="90">
        <f t="shared" si="55"/>
        <v>3200</v>
      </c>
      <c r="K307" s="54">
        <v>0</v>
      </c>
      <c r="L307" s="55">
        <v>55</v>
      </c>
      <c r="M307" s="56">
        <f t="shared" si="56"/>
        <v>645</v>
      </c>
      <c r="N307" s="132">
        <v>0</v>
      </c>
      <c r="O307" s="1358">
        <f>3145-2500</f>
        <v>645</v>
      </c>
      <c r="P307" s="58">
        <v>0</v>
      </c>
      <c r="Q307" s="55">
        <v>0</v>
      </c>
      <c r="R307" s="59">
        <v>2500</v>
      </c>
      <c r="S307" s="58">
        <v>0</v>
      </c>
      <c r="T307" s="91">
        <v>0</v>
      </c>
      <c r="U307" s="92">
        <v>0</v>
      </c>
      <c r="V307" s="58">
        <v>0</v>
      </c>
      <c r="W307" s="55">
        <v>0</v>
      </c>
      <c r="X307" s="93">
        <v>0</v>
      </c>
      <c r="Y307" s="58">
        <v>0</v>
      </c>
      <c r="Z307" s="60">
        <v>0</v>
      </c>
      <c r="AA307" s="60">
        <v>0</v>
      </c>
      <c r="AB307" s="123"/>
    </row>
    <row r="308" spans="1:28" ht="28.5" customHeight="1">
      <c r="A308" s="529">
        <v>230</v>
      </c>
      <c r="B308" s="340">
        <v>3745</v>
      </c>
      <c r="C308" s="341">
        <v>6121</v>
      </c>
      <c r="D308" s="330">
        <v>8212</v>
      </c>
      <c r="E308" s="193" t="s">
        <v>140</v>
      </c>
      <c r="F308" s="482" t="s">
        <v>261</v>
      </c>
      <c r="G308" s="86">
        <v>400</v>
      </c>
      <c r="H308" s="86">
        <v>2017</v>
      </c>
      <c r="I308" s="87">
        <v>2022</v>
      </c>
      <c r="J308" s="90">
        <f t="shared" si="55"/>
        <v>163046</v>
      </c>
      <c r="K308" s="54">
        <v>0</v>
      </c>
      <c r="L308" s="55">
        <v>2164</v>
      </c>
      <c r="M308" s="56">
        <f t="shared" si="56"/>
        <v>1000</v>
      </c>
      <c r="N308" s="57">
        <v>0</v>
      </c>
      <c r="O308" s="65">
        <f>2000-1000</f>
        <v>1000</v>
      </c>
      <c r="P308" s="58">
        <v>0</v>
      </c>
      <c r="Q308" s="55">
        <v>0</v>
      </c>
      <c r="R308" s="59">
        <f>3000+1500</f>
        <v>4500</v>
      </c>
      <c r="S308" s="58">
        <v>0</v>
      </c>
      <c r="T308" s="55">
        <v>0</v>
      </c>
      <c r="U308" s="59">
        <f>35000-30000</f>
        <v>5000</v>
      </c>
      <c r="V308" s="58">
        <v>0</v>
      </c>
      <c r="W308" s="55">
        <v>0</v>
      </c>
      <c r="X308" s="59">
        <f>45000-40000</f>
        <v>5000</v>
      </c>
      <c r="Y308" s="58">
        <v>0</v>
      </c>
      <c r="Z308" s="55">
        <v>0</v>
      </c>
      <c r="AA308" s="60">
        <f>75382+30000+40000</f>
        <v>145382</v>
      </c>
      <c r="AB308" s="123"/>
    </row>
    <row r="309" spans="1:121" s="481" customFormat="1" ht="28.5" customHeight="1">
      <c r="A309" s="573">
        <v>230</v>
      </c>
      <c r="B309" s="709">
        <v>3745</v>
      </c>
      <c r="C309" s="710">
        <v>6121</v>
      </c>
      <c r="D309" s="344">
        <v>8217</v>
      </c>
      <c r="E309" s="972" t="s">
        <v>463</v>
      </c>
      <c r="F309" s="711" t="s">
        <v>141</v>
      </c>
      <c r="G309" s="67">
        <v>400</v>
      </c>
      <c r="H309" s="67">
        <v>2017</v>
      </c>
      <c r="I309" s="68">
        <v>2020</v>
      </c>
      <c r="J309" s="90">
        <f t="shared" si="55"/>
        <v>37794</v>
      </c>
      <c r="K309" s="54">
        <v>0</v>
      </c>
      <c r="L309" s="55">
        <v>610</v>
      </c>
      <c r="M309" s="56">
        <f t="shared" si="56"/>
        <v>5720</v>
      </c>
      <c r="N309" s="57">
        <v>97</v>
      </c>
      <c r="O309" s="65">
        <v>623</v>
      </c>
      <c r="P309" s="58">
        <v>0</v>
      </c>
      <c r="Q309" s="1316">
        <v>5000</v>
      </c>
      <c r="R309" s="59">
        <f>31464-10000</f>
        <v>21464</v>
      </c>
      <c r="S309" s="58">
        <v>0</v>
      </c>
      <c r="T309" s="55">
        <v>0</v>
      </c>
      <c r="U309" s="59">
        <v>10000</v>
      </c>
      <c r="V309" s="58">
        <v>0</v>
      </c>
      <c r="W309" s="55">
        <v>0</v>
      </c>
      <c r="X309" s="59">
        <v>0</v>
      </c>
      <c r="Y309" s="58">
        <v>0</v>
      </c>
      <c r="Z309" s="55">
        <v>0</v>
      </c>
      <c r="AA309" s="60">
        <v>0</v>
      </c>
      <c r="AB309" s="123"/>
      <c r="AC309" s="245"/>
      <c r="AD309" s="245"/>
      <c r="AE309" s="245"/>
      <c r="AF309" s="245"/>
      <c r="AG309" s="245"/>
      <c r="AH309" s="245"/>
      <c r="AI309" s="245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</row>
    <row r="310" spans="1:121" s="481" customFormat="1" ht="28.5" customHeight="1" thickBot="1">
      <c r="A310" s="464">
        <v>190</v>
      </c>
      <c r="B310" s="712">
        <v>3745</v>
      </c>
      <c r="C310" s="467"/>
      <c r="D310" s="516"/>
      <c r="E310" s="713" t="s">
        <v>2</v>
      </c>
      <c r="F310" s="580"/>
      <c r="G310" s="581">
        <v>400</v>
      </c>
      <c r="H310" s="581">
        <v>2018</v>
      </c>
      <c r="I310" s="714">
        <v>2022</v>
      </c>
      <c r="J310" s="219">
        <f t="shared" si="55"/>
        <v>63000</v>
      </c>
      <c r="K310" s="73">
        <v>0</v>
      </c>
      <c r="L310" s="74">
        <v>0</v>
      </c>
      <c r="M310" s="75">
        <f t="shared" si="56"/>
        <v>3000</v>
      </c>
      <c r="N310" s="76">
        <v>0</v>
      </c>
      <c r="O310" s="77">
        <v>3000</v>
      </c>
      <c r="P310" s="78">
        <v>0</v>
      </c>
      <c r="Q310" s="74">
        <v>0</v>
      </c>
      <c r="R310" s="79">
        <v>20000</v>
      </c>
      <c r="S310" s="78">
        <v>0</v>
      </c>
      <c r="T310" s="74">
        <v>0</v>
      </c>
      <c r="U310" s="79">
        <v>20000</v>
      </c>
      <c r="V310" s="78">
        <v>0</v>
      </c>
      <c r="W310" s="74">
        <v>0</v>
      </c>
      <c r="X310" s="79">
        <v>20000</v>
      </c>
      <c r="Y310" s="78">
        <v>0</v>
      </c>
      <c r="Z310" s="74">
        <v>0</v>
      </c>
      <c r="AA310" s="80">
        <v>0</v>
      </c>
      <c r="AB310" s="123"/>
      <c r="AC310" s="245"/>
      <c r="AD310" s="245"/>
      <c r="AE310" s="245"/>
      <c r="AF310" s="245"/>
      <c r="AG310" s="245"/>
      <c r="AH310" s="245"/>
      <c r="AI310" s="245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</row>
    <row r="311" spans="1:121" s="481" customFormat="1" ht="28.5" customHeight="1" thickBot="1">
      <c r="A311" s="487"/>
      <c r="B311" s="472"/>
      <c r="C311" s="472"/>
      <c r="D311" s="309"/>
      <c r="E311" s="1509" t="s">
        <v>108</v>
      </c>
      <c r="F311" s="1509"/>
      <c r="G311" s="1509"/>
      <c r="H311" s="1509"/>
      <c r="I311" s="1510"/>
      <c r="J311" s="984">
        <f aca="true" t="shared" si="57" ref="J311:O311">SUM(J300:J310)</f>
        <v>317485</v>
      </c>
      <c r="K311" s="984">
        <f t="shared" si="57"/>
        <v>0</v>
      </c>
      <c r="L311" s="1048">
        <f t="shared" si="57"/>
        <v>3324</v>
      </c>
      <c r="M311" s="984">
        <f t="shared" si="57"/>
        <v>25045</v>
      </c>
      <c r="N311" s="984">
        <f t="shared" si="57"/>
        <v>1882</v>
      </c>
      <c r="O311" s="985">
        <f t="shared" si="57"/>
        <v>18163</v>
      </c>
      <c r="P311" s="985">
        <f aca="true" t="shared" si="58" ref="P311:AA311">SUM(P300:P310)</f>
        <v>0</v>
      </c>
      <c r="Q311" s="1048">
        <f t="shared" si="58"/>
        <v>5000</v>
      </c>
      <c r="R311" s="984">
        <f t="shared" si="58"/>
        <v>61264</v>
      </c>
      <c r="S311" s="985">
        <f t="shared" si="58"/>
        <v>0</v>
      </c>
      <c r="T311" s="1048">
        <f t="shared" si="58"/>
        <v>0</v>
      </c>
      <c r="U311" s="984">
        <f t="shared" si="58"/>
        <v>57470</v>
      </c>
      <c r="V311" s="985">
        <f t="shared" si="58"/>
        <v>0</v>
      </c>
      <c r="W311" s="1048">
        <f t="shared" si="58"/>
        <v>0</v>
      </c>
      <c r="X311" s="984">
        <f t="shared" si="58"/>
        <v>25000</v>
      </c>
      <c r="Y311" s="985">
        <f t="shared" si="58"/>
        <v>0</v>
      </c>
      <c r="Z311" s="1048">
        <f t="shared" si="58"/>
        <v>0</v>
      </c>
      <c r="AA311" s="984">
        <f t="shared" si="58"/>
        <v>145382</v>
      </c>
      <c r="AB311" s="245"/>
      <c r="AC311" s="245"/>
      <c r="AD311" s="245"/>
      <c r="AE311" s="245"/>
      <c r="AF311" s="245"/>
      <c r="AG311" s="245"/>
      <c r="AH311" s="245"/>
      <c r="AI311" s="245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</row>
    <row r="312" spans="1:35" s="8" customFormat="1" ht="28.5" customHeight="1" thickBot="1">
      <c r="A312" s="283"/>
      <c r="B312" s="309"/>
      <c r="C312" s="309"/>
      <c r="D312" s="299" t="s">
        <v>626</v>
      </c>
      <c r="E312" s="570"/>
      <c r="F312" s="286"/>
      <c r="G312" s="286"/>
      <c r="H312" s="430"/>
      <c r="I312" s="286"/>
      <c r="J312" s="983"/>
      <c r="K312" s="977"/>
      <c r="L312" s="977"/>
      <c r="M312" s="298"/>
      <c r="N312" s="298"/>
      <c r="O312" s="978"/>
      <c r="P312" s="851"/>
      <c r="Q312" s="979"/>
      <c r="R312" s="978"/>
      <c r="S312" s="980"/>
      <c r="T312" s="981"/>
      <c r="U312" s="982"/>
      <c r="V312" s="980"/>
      <c r="W312" s="981"/>
      <c r="X312" s="982"/>
      <c r="Y312" s="980"/>
      <c r="Z312" s="981"/>
      <c r="AA312" s="979"/>
      <c r="AB312" s="245"/>
      <c r="AC312" s="245"/>
      <c r="AD312" s="245"/>
      <c r="AE312" s="245"/>
      <c r="AF312" s="245"/>
      <c r="AG312" s="245"/>
      <c r="AH312" s="245"/>
      <c r="AI312" s="245"/>
    </row>
    <row r="313" spans="1:35" s="8" customFormat="1" ht="28.5" customHeight="1" thickBot="1">
      <c r="A313" s="283"/>
      <c r="B313" s="309"/>
      <c r="C313" s="309"/>
      <c r="D313" s="1395"/>
      <c r="E313" s="1396" t="s">
        <v>1</v>
      </c>
      <c r="F313" s="1397"/>
      <c r="G313" s="1398">
        <v>400</v>
      </c>
      <c r="H313" s="1399">
        <v>2016</v>
      </c>
      <c r="I313" s="1400">
        <v>2022</v>
      </c>
      <c r="J313" s="1401">
        <f>K313+L313+M313+SUM(R313:AA313)</f>
        <v>2466</v>
      </c>
      <c r="K313" s="1402">
        <v>0</v>
      </c>
      <c r="L313" s="1403">
        <v>206</v>
      </c>
      <c r="M313" s="1404">
        <f>N313+O313+P313+Q313</f>
        <v>2260</v>
      </c>
      <c r="N313" s="1405">
        <v>0</v>
      </c>
      <c r="O313" s="1355">
        <v>2260</v>
      </c>
      <c r="P313" s="1406">
        <v>0</v>
      </c>
      <c r="Q313" s="1407">
        <v>0</v>
      </c>
      <c r="R313" s="1408">
        <v>0</v>
      </c>
      <c r="S313" s="1409">
        <v>0</v>
      </c>
      <c r="T313" s="1407">
        <v>0</v>
      </c>
      <c r="U313" s="1408">
        <v>0</v>
      </c>
      <c r="V313" s="1409">
        <v>0</v>
      </c>
      <c r="W313" s="1407">
        <v>0</v>
      </c>
      <c r="X313" s="1410">
        <v>0</v>
      </c>
      <c r="Y313" s="1409">
        <v>0</v>
      </c>
      <c r="Z313" s="1407">
        <v>0</v>
      </c>
      <c r="AA313" s="1401">
        <v>0</v>
      </c>
      <c r="AB313" s="245"/>
      <c r="AC313" s="245"/>
      <c r="AD313" s="245"/>
      <c r="AE313" s="245"/>
      <c r="AF313" s="245"/>
      <c r="AG313" s="245"/>
      <c r="AH313" s="245"/>
      <c r="AI313" s="245"/>
    </row>
    <row r="314" spans="1:35" s="8" customFormat="1" ht="28.5" customHeight="1" thickBot="1">
      <c r="A314" s="283"/>
      <c r="B314" s="309"/>
      <c r="C314" s="309"/>
      <c r="D314" s="309"/>
      <c r="E314" s="1511" t="s">
        <v>627</v>
      </c>
      <c r="F314" s="1511"/>
      <c r="G314" s="1511"/>
      <c r="H314" s="1511"/>
      <c r="I314" s="1511"/>
      <c r="J314" s="1007">
        <f>SUM(J313:J313)</f>
        <v>2466</v>
      </c>
      <c r="K314" s="984">
        <f>SUM(K313:K313)</f>
        <v>0</v>
      </c>
      <c r="L314" s="987">
        <f>SUM(L313:L313)</f>
        <v>206</v>
      </c>
      <c r="M314" s="1007">
        <f aca="true" t="shared" si="59" ref="M314:AA314">SUM(M313:M313)</f>
        <v>2260</v>
      </c>
      <c r="N314" s="984">
        <f t="shared" si="59"/>
        <v>0</v>
      </c>
      <c r="O314" s="985">
        <f t="shared" si="59"/>
        <v>2260</v>
      </c>
      <c r="P314" s="985">
        <f t="shared" si="59"/>
        <v>0</v>
      </c>
      <c r="Q314" s="986">
        <f t="shared" si="59"/>
        <v>0</v>
      </c>
      <c r="R314" s="984">
        <f t="shared" si="59"/>
        <v>0</v>
      </c>
      <c r="S314" s="985">
        <f t="shared" si="59"/>
        <v>0</v>
      </c>
      <c r="T314" s="986">
        <f t="shared" si="59"/>
        <v>0</v>
      </c>
      <c r="U314" s="1048">
        <f t="shared" si="59"/>
        <v>0</v>
      </c>
      <c r="V314" s="985">
        <f t="shared" si="59"/>
        <v>0</v>
      </c>
      <c r="W314" s="1049">
        <f t="shared" si="59"/>
        <v>0</v>
      </c>
      <c r="X314" s="984">
        <f t="shared" si="59"/>
        <v>0</v>
      </c>
      <c r="Y314" s="985">
        <f t="shared" si="59"/>
        <v>0</v>
      </c>
      <c r="Z314" s="986">
        <f t="shared" si="59"/>
        <v>0</v>
      </c>
      <c r="AA314" s="1038">
        <f t="shared" si="59"/>
        <v>0</v>
      </c>
      <c r="AB314" s="245"/>
      <c r="AC314" s="245"/>
      <c r="AD314" s="245"/>
      <c r="AE314" s="245"/>
      <c r="AF314" s="245"/>
      <c r="AG314" s="245"/>
      <c r="AH314" s="245"/>
      <c r="AI314" s="245"/>
    </row>
    <row r="315" spans="1:35" s="17" customFormat="1" ht="28.5" customHeight="1">
      <c r="A315" s="253"/>
      <c r="B315" s="309"/>
      <c r="C315" s="309"/>
      <c r="D315" s="539" t="s">
        <v>362</v>
      </c>
      <c r="E315" s="539"/>
      <c r="F315" s="310"/>
      <c r="G315" s="310"/>
      <c r="H315" s="310"/>
      <c r="I315" s="310"/>
      <c r="J315" s="318"/>
      <c r="K315" s="318"/>
      <c r="L315" s="318"/>
      <c r="M315" s="318"/>
      <c r="N315" s="318"/>
      <c r="O315" s="318"/>
      <c r="P315" s="318"/>
      <c r="Q315" s="318"/>
      <c r="R315" s="318"/>
      <c r="S315" s="318"/>
      <c r="T315" s="318"/>
      <c r="U315" s="318"/>
      <c r="V315" s="318"/>
      <c r="W315" s="318"/>
      <c r="X315" s="318"/>
      <c r="Y315" s="318"/>
      <c r="Z315" s="318"/>
      <c r="AA315" s="318"/>
      <c r="AB315" s="270"/>
      <c r="AC315" s="270"/>
      <c r="AD315" s="270"/>
      <c r="AE315" s="270"/>
      <c r="AF315" s="270"/>
      <c r="AG315" s="270"/>
      <c r="AH315" s="270"/>
      <c r="AI315" s="270"/>
    </row>
    <row r="316" spans="2:27" ht="28.5" customHeight="1" thickBot="1">
      <c r="B316" s="715"/>
      <c r="C316" s="716"/>
      <c r="D316" s="299" t="s">
        <v>418</v>
      </c>
      <c r="E316" s="299"/>
      <c r="F316" s="474"/>
      <c r="G316" s="474"/>
      <c r="H316" s="475"/>
      <c r="I316" s="474"/>
      <c r="J316" s="989"/>
      <c r="K316" s="977"/>
      <c r="L316" s="977"/>
      <c r="M316" s="298"/>
      <c r="N316" s="298"/>
      <c r="O316" s="978"/>
      <c r="P316" s="851"/>
      <c r="Q316" s="979"/>
      <c r="R316" s="978"/>
      <c r="S316" s="980"/>
      <c r="T316" s="981"/>
      <c r="U316" s="982"/>
      <c r="V316" s="980"/>
      <c r="W316" s="981"/>
      <c r="X316" s="982"/>
      <c r="Y316" s="980"/>
      <c r="Z316" s="981"/>
      <c r="AA316" s="979"/>
    </row>
    <row r="317" spans="1:121" s="16" customFormat="1" ht="28.5" customHeight="1">
      <c r="A317" s="431">
        <v>230</v>
      </c>
      <c r="B317" s="342">
        <v>4357</v>
      </c>
      <c r="C317" s="343">
        <v>6121</v>
      </c>
      <c r="D317" s="1273">
        <v>6022</v>
      </c>
      <c r="E317" s="635" t="s">
        <v>569</v>
      </c>
      <c r="F317" s="121"/>
      <c r="G317" s="35">
        <v>400</v>
      </c>
      <c r="H317" s="35">
        <v>2011</v>
      </c>
      <c r="I317" s="36">
        <v>2019</v>
      </c>
      <c r="J317" s="37">
        <f aca="true" t="shared" si="60" ref="J317:J332">K317+L317+M317+SUM(R317:AA317)</f>
        <v>6575</v>
      </c>
      <c r="K317" s="38">
        <f>2741+1689</f>
        <v>4430</v>
      </c>
      <c r="L317" s="39">
        <v>111</v>
      </c>
      <c r="M317" s="97">
        <f aca="true" t="shared" si="61" ref="M317:M332">N317+O317+P317+Q317</f>
        <v>2034</v>
      </c>
      <c r="N317" s="41">
        <v>1169</v>
      </c>
      <c r="O317" s="85">
        <v>865</v>
      </c>
      <c r="P317" s="42">
        <v>0</v>
      </c>
      <c r="Q317" s="39">
        <v>0</v>
      </c>
      <c r="R317" s="43">
        <v>0</v>
      </c>
      <c r="S317" s="42">
        <v>0</v>
      </c>
      <c r="T317" s="39">
        <v>0</v>
      </c>
      <c r="U317" s="43">
        <v>0</v>
      </c>
      <c r="V317" s="42">
        <v>0</v>
      </c>
      <c r="W317" s="39">
        <v>0</v>
      </c>
      <c r="X317" s="43">
        <v>0</v>
      </c>
      <c r="Y317" s="42">
        <v>0</v>
      </c>
      <c r="Z317" s="39">
        <v>0</v>
      </c>
      <c r="AA317" s="44">
        <v>0</v>
      </c>
      <c r="AB317" s="14"/>
      <c r="AC317" s="14"/>
      <c r="AD317" s="14"/>
      <c r="AE317" s="14"/>
      <c r="AF317" s="717"/>
      <c r="AG317" s="245"/>
      <c r="AH317" s="245"/>
      <c r="AI317" s="245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</row>
    <row r="318" spans="1:121" s="16" customFormat="1" ht="28.5" customHeight="1">
      <c r="A318" s="431">
        <v>230</v>
      </c>
      <c r="B318" s="342">
        <v>4357</v>
      </c>
      <c r="C318" s="343">
        <v>6121</v>
      </c>
      <c r="D318" s="746">
        <v>6026</v>
      </c>
      <c r="E318" s="69" t="s">
        <v>467</v>
      </c>
      <c r="F318" s="83" t="s">
        <v>266</v>
      </c>
      <c r="G318" s="67">
        <v>400</v>
      </c>
      <c r="H318" s="67">
        <v>2010</v>
      </c>
      <c r="I318" s="68">
        <v>2020</v>
      </c>
      <c r="J318" s="53">
        <f t="shared" si="60"/>
        <v>7330</v>
      </c>
      <c r="K318" s="54">
        <f>2236+94</f>
        <v>2330</v>
      </c>
      <c r="L318" s="55">
        <v>0</v>
      </c>
      <c r="M318" s="56">
        <f t="shared" si="61"/>
        <v>500</v>
      </c>
      <c r="N318" s="57">
        <v>0</v>
      </c>
      <c r="O318" s="65">
        <v>500</v>
      </c>
      <c r="P318" s="58">
        <v>0</v>
      </c>
      <c r="Q318" s="55">
        <v>0</v>
      </c>
      <c r="R318" s="59">
        <v>4500</v>
      </c>
      <c r="S318" s="58">
        <v>0</v>
      </c>
      <c r="T318" s="55">
        <v>0</v>
      </c>
      <c r="U318" s="59">
        <v>0</v>
      </c>
      <c r="V318" s="58">
        <v>0</v>
      </c>
      <c r="W318" s="55">
        <v>0</v>
      </c>
      <c r="X318" s="59">
        <v>0</v>
      </c>
      <c r="Y318" s="58">
        <v>0</v>
      </c>
      <c r="Z318" s="55">
        <v>0</v>
      </c>
      <c r="AA318" s="60">
        <v>0</v>
      </c>
      <c r="AB318" s="245"/>
      <c r="AC318" s="245"/>
      <c r="AD318" s="245"/>
      <c r="AE318" s="245"/>
      <c r="AF318" s="245"/>
      <c r="AG318" s="245"/>
      <c r="AH318" s="245"/>
      <c r="AI318" s="245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</row>
    <row r="319" spans="1:121" s="16" customFormat="1" ht="28.5" customHeight="1">
      <c r="A319" s="431">
        <v>230</v>
      </c>
      <c r="B319" s="342">
        <v>4357</v>
      </c>
      <c r="C319" s="343">
        <v>6121</v>
      </c>
      <c r="D319" s="641">
        <v>6027</v>
      </c>
      <c r="E319" s="587" t="s">
        <v>142</v>
      </c>
      <c r="F319" s="83" t="s">
        <v>273</v>
      </c>
      <c r="G319" s="67">
        <v>400</v>
      </c>
      <c r="H319" s="67">
        <v>2014</v>
      </c>
      <c r="I319" s="68">
        <v>2019</v>
      </c>
      <c r="J319" s="53">
        <f t="shared" si="60"/>
        <v>5827</v>
      </c>
      <c r="K319" s="54">
        <f>4011+200</f>
        <v>4211</v>
      </c>
      <c r="L319" s="55">
        <v>0</v>
      </c>
      <c r="M319" s="56">
        <f t="shared" si="61"/>
        <v>1616</v>
      </c>
      <c r="N319" s="57">
        <f>1000+616</f>
        <v>1616</v>
      </c>
      <c r="O319" s="65">
        <v>0</v>
      </c>
      <c r="P319" s="58">
        <v>0</v>
      </c>
      <c r="Q319" s="55">
        <v>0</v>
      </c>
      <c r="R319" s="59">
        <v>0</v>
      </c>
      <c r="S319" s="58">
        <v>0</v>
      </c>
      <c r="T319" s="55">
        <v>0</v>
      </c>
      <c r="U319" s="59">
        <v>0</v>
      </c>
      <c r="V319" s="58">
        <v>0</v>
      </c>
      <c r="W319" s="55">
        <v>0</v>
      </c>
      <c r="X319" s="59">
        <v>0</v>
      </c>
      <c r="Y319" s="58">
        <v>0</v>
      </c>
      <c r="Z319" s="55">
        <v>0</v>
      </c>
      <c r="AA319" s="60">
        <v>0</v>
      </c>
      <c r="AB319" s="245"/>
      <c r="AC319" s="245"/>
      <c r="AD319" s="245"/>
      <c r="AE319" s="245"/>
      <c r="AF319" s="245"/>
      <c r="AG319" s="245"/>
      <c r="AH319" s="245"/>
      <c r="AI319" s="245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</row>
    <row r="320" spans="1:121" s="16" customFormat="1" ht="28.5" customHeight="1">
      <c r="A320" s="431">
        <v>230</v>
      </c>
      <c r="B320" s="342">
        <v>4357</v>
      </c>
      <c r="C320" s="343">
        <v>6121</v>
      </c>
      <c r="D320" s="641">
        <v>6032</v>
      </c>
      <c r="E320" s="587" t="s">
        <v>143</v>
      </c>
      <c r="F320" s="83" t="s">
        <v>273</v>
      </c>
      <c r="G320" s="67">
        <v>400</v>
      </c>
      <c r="H320" s="67">
        <v>2012</v>
      </c>
      <c r="I320" s="68">
        <v>2022</v>
      </c>
      <c r="J320" s="53">
        <f t="shared" si="60"/>
        <v>265688</v>
      </c>
      <c r="K320" s="54">
        <v>3844</v>
      </c>
      <c r="L320" s="55">
        <f>544</f>
        <v>544</v>
      </c>
      <c r="M320" s="56">
        <f t="shared" si="61"/>
        <v>3300</v>
      </c>
      <c r="N320" s="57">
        <v>1300</v>
      </c>
      <c r="O320" s="65">
        <f>4000-2000</f>
        <v>2000</v>
      </c>
      <c r="P320" s="58">
        <v>0</v>
      </c>
      <c r="Q320" s="55">
        <v>0</v>
      </c>
      <c r="R320" s="59">
        <f>6000+2000</f>
        <v>8000</v>
      </c>
      <c r="S320" s="58">
        <v>0</v>
      </c>
      <c r="T320" s="55">
        <v>0</v>
      </c>
      <c r="U320" s="59">
        <v>50000</v>
      </c>
      <c r="V320" s="58">
        <v>0</v>
      </c>
      <c r="W320" s="55">
        <v>0</v>
      </c>
      <c r="X320" s="59">
        <f>200000-50000</f>
        <v>150000</v>
      </c>
      <c r="Y320" s="58">
        <v>0</v>
      </c>
      <c r="Z320" s="55">
        <v>0</v>
      </c>
      <c r="AA320" s="60">
        <v>50000</v>
      </c>
      <c r="AB320" s="245"/>
      <c r="AC320" s="245"/>
      <c r="AD320" s="245"/>
      <c r="AE320" s="245"/>
      <c r="AF320" s="245"/>
      <c r="AG320" s="245"/>
      <c r="AH320" s="245"/>
      <c r="AI320" s="245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</row>
    <row r="321" spans="1:121" s="16" customFormat="1" ht="28.5" customHeight="1">
      <c r="A321" s="431">
        <v>230</v>
      </c>
      <c r="B321" s="342">
        <v>4357</v>
      </c>
      <c r="C321" s="343">
        <v>6121</v>
      </c>
      <c r="D321" s="330">
        <v>6035</v>
      </c>
      <c r="E321" s="69" t="s">
        <v>144</v>
      </c>
      <c r="F321" s="83" t="s">
        <v>266</v>
      </c>
      <c r="G321" s="67">
        <v>400</v>
      </c>
      <c r="H321" s="67">
        <v>2012</v>
      </c>
      <c r="I321" s="68">
        <v>2019</v>
      </c>
      <c r="J321" s="53">
        <f t="shared" si="60"/>
        <v>1504</v>
      </c>
      <c r="K321" s="54">
        <f>110+346</f>
        <v>456</v>
      </c>
      <c r="L321" s="55">
        <v>0</v>
      </c>
      <c r="M321" s="56">
        <f t="shared" si="61"/>
        <v>1048</v>
      </c>
      <c r="N321" s="57">
        <v>48</v>
      </c>
      <c r="O321" s="65">
        <v>1000</v>
      </c>
      <c r="P321" s="58">
        <v>0</v>
      </c>
      <c r="Q321" s="55">
        <v>0</v>
      </c>
      <c r="R321" s="59">
        <v>0</v>
      </c>
      <c r="S321" s="58">
        <v>0</v>
      </c>
      <c r="T321" s="55">
        <v>0</v>
      </c>
      <c r="U321" s="59">
        <v>0</v>
      </c>
      <c r="V321" s="58">
        <v>0</v>
      </c>
      <c r="W321" s="55">
        <v>0</v>
      </c>
      <c r="X321" s="59">
        <v>0</v>
      </c>
      <c r="Y321" s="58">
        <v>0</v>
      </c>
      <c r="Z321" s="55">
        <v>0</v>
      </c>
      <c r="AA321" s="60">
        <v>0</v>
      </c>
      <c r="AB321" s="245"/>
      <c r="AC321" s="245"/>
      <c r="AD321" s="245"/>
      <c r="AE321" s="245"/>
      <c r="AF321" s="245"/>
      <c r="AG321" s="245"/>
      <c r="AH321" s="245"/>
      <c r="AI321" s="245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</row>
    <row r="322" spans="1:121" s="16" customFormat="1" ht="28.5" customHeight="1">
      <c r="A322" s="431">
        <v>230</v>
      </c>
      <c r="B322" s="342">
        <v>4357</v>
      </c>
      <c r="C322" s="343">
        <v>6121</v>
      </c>
      <c r="D322" s="1362">
        <v>6036</v>
      </c>
      <c r="E322" s="957" t="s">
        <v>561</v>
      </c>
      <c r="F322" s="81"/>
      <c r="G322" s="958">
        <v>400</v>
      </c>
      <c r="H322" s="958">
        <v>2012</v>
      </c>
      <c r="I322" s="959">
        <v>2019</v>
      </c>
      <c r="J322" s="53">
        <f t="shared" si="60"/>
        <v>4222</v>
      </c>
      <c r="K322" s="46">
        <v>2078</v>
      </c>
      <c r="L322" s="47">
        <v>0</v>
      </c>
      <c r="M322" s="56">
        <f t="shared" si="61"/>
        <v>2144</v>
      </c>
      <c r="N322" s="49">
        <v>2144</v>
      </c>
      <c r="O322" s="64">
        <v>0</v>
      </c>
      <c r="P322" s="50">
        <v>0</v>
      </c>
      <c r="Q322" s="47">
        <v>0</v>
      </c>
      <c r="R322" s="51">
        <v>0</v>
      </c>
      <c r="S322" s="50">
        <v>0</v>
      </c>
      <c r="T322" s="47">
        <v>0</v>
      </c>
      <c r="U322" s="51">
        <v>0</v>
      </c>
      <c r="V322" s="50">
        <v>0</v>
      </c>
      <c r="W322" s="47">
        <v>0</v>
      </c>
      <c r="X322" s="51">
        <v>0</v>
      </c>
      <c r="Y322" s="50">
        <v>0</v>
      </c>
      <c r="Z322" s="47">
        <v>0</v>
      </c>
      <c r="AA322" s="52">
        <v>0</v>
      </c>
      <c r="AB322" s="245"/>
      <c r="AC322" s="245"/>
      <c r="AD322" s="245"/>
      <c r="AE322" s="245"/>
      <c r="AF322" s="245"/>
      <c r="AG322" s="245"/>
      <c r="AH322" s="245"/>
      <c r="AI322" s="245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</row>
    <row r="323" spans="1:121" s="16" customFormat="1" ht="28.5" customHeight="1">
      <c r="A323" s="431">
        <v>230</v>
      </c>
      <c r="B323" s="342">
        <v>4357</v>
      </c>
      <c r="C323" s="343">
        <v>6121</v>
      </c>
      <c r="D323" s="345">
        <v>6042</v>
      </c>
      <c r="E323" s="636" t="s">
        <v>365</v>
      </c>
      <c r="F323" s="81" t="s">
        <v>273</v>
      </c>
      <c r="G323" s="62">
        <v>400</v>
      </c>
      <c r="H323" s="62">
        <v>2004</v>
      </c>
      <c r="I323" s="63">
        <v>2020</v>
      </c>
      <c r="J323" s="45">
        <f t="shared" si="60"/>
        <v>9998</v>
      </c>
      <c r="K323" s="46">
        <v>198</v>
      </c>
      <c r="L323" s="47">
        <v>58</v>
      </c>
      <c r="M323" s="82">
        <f t="shared" si="61"/>
        <v>9742</v>
      </c>
      <c r="N323" s="49">
        <f>7941-59</f>
        <v>7882</v>
      </c>
      <c r="O323" s="64">
        <v>1860</v>
      </c>
      <c r="P323" s="50">
        <v>0</v>
      </c>
      <c r="Q323" s="47">
        <v>0</v>
      </c>
      <c r="R323" s="51">
        <v>0</v>
      </c>
      <c r="S323" s="50">
        <v>0</v>
      </c>
      <c r="T323" s="47">
        <v>0</v>
      </c>
      <c r="U323" s="51">
        <v>0</v>
      </c>
      <c r="V323" s="50">
        <v>0</v>
      </c>
      <c r="W323" s="47">
        <v>0</v>
      </c>
      <c r="X323" s="51">
        <v>0</v>
      </c>
      <c r="Y323" s="50">
        <v>0</v>
      </c>
      <c r="Z323" s="47">
        <v>0</v>
      </c>
      <c r="AA323" s="52">
        <v>0</v>
      </c>
      <c r="AB323" s="245"/>
      <c r="AC323" s="245"/>
      <c r="AD323" s="245"/>
      <c r="AE323" s="245"/>
      <c r="AF323" s="245"/>
      <c r="AG323" s="245"/>
      <c r="AH323" s="245"/>
      <c r="AI323" s="245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</row>
    <row r="324" spans="1:121" s="16" customFormat="1" ht="28.5" customHeight="1">
      <c r="A324" s="431">
        <v>230</v>
      </c>
      <c r="B324" s="342">
        <v>4357</v>
      </c>
      <c r="C324" s="343">
        <v>6121</v>
      </c>
      <c r="D324" s="641">
        <v>6045</v>
      </c>
      <c r="E324" s="587" t="s">
        <v>364</v>
      </c>
      <c r="F324" s="83" t="s">
        <v>261</v>
      </c>
      <c r="G324" s="67">
        <v>400</v>
      </c>
      <c r="H324" s="67">
        <v>2015</v>
      </c>
      <c r="I324" s="68">
        <v>2022</v>
      </c>
      <c r="J324" s="53">
        <f t="shared" si="60"/>
        <v>414744</v>
      </c>
      <c r="K324" s="54">
        <v>1374</v>
      </c>
      <c r="L324" s="55">
        <v>401</v>
      </c>
      <c r="M324" s="56">
        <f t="shared" si="61"/>
        <v>2969</v>
      </c>
      <c r="N324" s="57">
        <f>3100-2131</f>
        <v>969</v>
      </c>
      <c r="O324" s="65">
        <v>2000</v>
      </c>
      <c r="P324" s="58">
        <v>0</v>
      </c>
      <c r="Q324" s="55">
        <v>0</v>
      </c>
      <c r="R324" s="59">
        <v>10000</v>
      </c>
      <c r="S324" s="58">
        <v>0</v>
      </c>
      <c r="T324" s="55">
        <v>0</v>
      </c>
      <c r="U324" s="59">
        <v>100000</v>
      </c>
      <c r="V324" s="58">
        <v>0</v>
      </c>
      <c r="W324" s="55">
        <v>0</v>
      </c>
      <c r="X324" s="59">
        <f>300000-150000</f>
        <v>150000</v>
      </c>
      <c r="Y324" s="58">
        <v>0</v>
      </c>
      <c r="Z324" s="55">
        <v>0</v>
      </c>
      <c r="AA324" s="60">
        <v>150000</v>
      </c>
      <c r="AB324" s="245"/>
      <c r="AC324" s="245"/>
      <c r="AD324" s="245"/>
      <c r="AE324" s="245"/>
      <c r="AF324" s="245"/>
      <c r="AG324" s="245"/>
      <c r="AH324" s="245"/>
      <c r="AI324" s="245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</row>
    <row r="325" spans="1:121" s="16" customFormat="1" ht="28.5" customHeight="1">
      <c r="A325" s="431">
        <v>230</v>
      </c>
      <c r="B325" s="342">
        <v>4357</v>
      </c>
      <c r="C325" s="343">
        <v>6121</v>
      </c>
      <c r="D325" s="330">
        <v>6047</v>
      </c>
      <c r="E325" s="69" t="s">
        <v>145</v>
      </c>
      <c r="F325" s="83" t="s">
        <v>254</v>
      </c>
      <c r="G325" s="67">
        <v>400</v>
      </c>
      <c r="H325" s="67">
        <v>2017</v>
      </c>
      <c r="I325" s="68">
        <v>2020</v>
      </c>
      <c r="J325" s="53">
        <f t="shared" si="60"/>
        <v>2000</v>
      </c>
      <c r="K325" s="54">
        <v>0</v>
      </c>
      <c r="L325" s="55">
        <v>0</v>
      </c>
      <c r="M325" s="56">
        <f t="shared" si="61"/>
        <v>500</v>
      </c>
      <c r="N325" s="57">
        <v>0</v>
      </c>
      <c r="O325" s="65">
        <v>500</v>
      </c>
      <c r="P325" s="58">
        <v>0</v>
      </c>
      <c r="Q325" s="55">
        <v>0</v>
      </c>
      <c r="R325" s="59">
        <v>1500</v>
      </c>
      <c r="S325" s="58">
        <v>0</v>
      </c>
      <c r="T325" s="55">
        <v>0</v>
      </c>
      <c r="U325" s="59">
        <v>0</v>
      </c>
      <c r="V325" s="58">
        <v>0</v>
      </c>
      <c r="W325" s="55">
        <v>0</v>
      </c>
      <c r="X325" s="59">
        <v>0</v>
      </c>
      <c r="Y325" s="58">
        <v>0</v>
      </c>
      <c r="Z325" s="55">
        <v>0</v>
      </c>
      <c r="AA325" s="60">
        <v>0</v>
      </c>
      <c r="AB325" s="245"/>
      <c r="AC325" s="245"/>
      <c r="AD325" s="245"/>
      <c r="AE325" s="245"/>
      <c r="AF325" s="245"/>
      <c r="AG325" s="245"/>
      <c r="AH325" s="245"/>
      <c r="AI325" s="245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</row>
    <row r="326" spans="1:121" s="16" customFormat="1" ht="28.5" customHeight="1">
      <c r="A326" s="431">
        <v>230</v>
      </c>
      <c r="B326" s="342">
        <v>4357</v>
      </c>
      <c r="C326" s="343">
        <v>6121</v>
      </c>
      <c r="D326" s="641">
        <v>6049</v>
      </c>
      <c r="E326" s="587" t="s">
        <v>146</v>
      </c>
      <c r="F326" s="83" t="s">
        <v>254</v>
      </c>
      <c r="G326" s="67">
        <v>400</v>
      </c>
      <c r="H326" s="67">
        <v>2016</v>
      </c>
      <c r="I326" s="68">
        <v>2019</v>
      </c>
      <c r="J326" s="53">
        <f t="shared" si="60"/>
        <v>37651</v>
      </c>
      <c r="K326" s="54">
        <v>75</v>
      </c>
      <c r="L326" s="55">
        <v>600</v>
      </c>
      <c r="M326" s="56">
        <f t="shared" si="61"/>
        <v>36976</v>
      </c>
      <c r="N326" s="57">
        <f>6200+776</f>
        <v>6976</v>
      </c>
      <c r="O326" s="65">
        <v>0</v>
      </c>
      <c r="P326" s="58">
        <v>30000</v>
      </c>
      <c r="Q326" s="55">
        <v>0</v>
      </c>
      <c r="R326" s="59">
        <v>0</v>
      </c>
      <c r="S326" s="58">
        <v>0</v>
      </c>
      <c r="T326" s="55">
        <v>0</v>
      </c>
      <c r="U326" s="59">
        <v>0</v>
      </c>
      <c r="V326" s="58">
        <v>0</v>
      </c>
      <c r="W326" s="55">
        <v>0</v>
      </c>
      <c r="X326" s="59">
        <v>0</v>
      </c>
      <c r="Y326" s="58">
        <v>0</v>
      </c>
      <c r="Z326" s="55">
        <v>0</v>
      </c>
      <c r="AA326" s="60">
        <v>0</v>
      </c>
      <c r="AB326" s="14"/>
      <c r="AC326" s="14"/>
      <c r="AD326" s="14"/>
      <c r="AE326" s="14"/>
      <c r="AF326" s="717"/>
      <c r="AG326" s="245"/>
      <c r="AH326" s="245"/>
      <c r="AI326" s="245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</row>
    <row r="327" spans="1:121" s="16" customFormat="1" ht="28.5" customHeight="1">
      <c r="A327" s="431">
        <v>230</v>
      </c>
      <c r="B327" s="342">
        <v>4357</v>
      </c>
      <c r="C327" s="343">
        <v>6121</v>
      </c>
      <c r="D327" s="641">
        <v>6050</v>
      </c>
      <c r="E327" s="587" t="s">
        <v>147</v>
      </c>
      <c r="F327" s="83" t="s">
        <v>254</v>
      </c>
      <c r="G327" s="67">
        <v>400</v>
      </c>
      <c r="H327" s="67">
        <v>2016</v>
      </c>
      <c r="I327" s="68">
        <v>2019</v>
      </c>
      <c r="J327" s="53">
        <f t="shared" si="60"/>
        <v>47368</v>
      </c>
      <c r="K327" s="54">
        <v>45</v>
      </c>
      <c r="L327" s="55">
        <v>600</v>
      </c>
      <c r="M327" s="56">
        <f t="shared" si="61"/>
        <v>46723</v>
      </c>
      <c r="N327" s="57">
        <f>6723</f>
        <v>6723</v>
      </c>
      <c r="O327" s="65">
        <v>0</v>
      </c>
      <c r="P327" s="58">
        <v>40000</v>
      </c>
      <c r="Q327" s="55">
        <v>0</v>
      </c>
      <c r="R327" s="59">
        <v>0</v>
      </c>
      <c r="S327" s="58">
        <v>0</v>
      </c>
      <c r="T327" s="55">
        <v>0</v>
      </c>
      <c r="U327" s="59">
        <v>0</v>
      </c>
      <c r="V327" s="58">
        <v>0</v>
      </c>
      <c r="W327" s="55">
        <v>0</v>
      </c>
      <c r="X327" s="59">
        <v>0</v>
      </c>
      <c r="Y327" s="58">
        <v>0</v>
      </c>
      <c r="Z327" s="55">
        <v>0</v>
      </c>
      <c r="AA327" s="60">
        <v>0</v>
      </c>
      <c r="AB327" s="14"/>
      <c r="AC327" s="14"/>
      <c r="AD327" s="14"/>
      <c r="AE327" s="14"/>
      <c r="AF327" s="717"/>
      <c r="AG327" s="245"/>
      <c r="AH327" s="245"/>
      <c r="AI327" s="245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</row>
    <row r="328" spans="1:121" s="16" customFormat="1" ht="28.5" customHeight="1">
      <c r="A328" s="431">
        <v>230</v>
      </c>
      <c r="B328" s="342">
        <v>4357</v>
      </c>
      <c r="C328" s="343">
        <v>6121</v>
      </c>
      <c r="D328" s="345">
        <v>6051</v>
      </c>
      <c r="E328" s="636" t="s">
        <v>363</v>
      </c>
      <c r="F328" s="83"/>
      <c r="G328" s="67">
        <v>400</v>
      </c>
      <c r="H328" s="67">
        <v>2017</v>
      </c>
      <c r="I328" s="68">
        <v>2021</v>
      </c>
      <c r="J328" s="53">
        <f t="shared" si="60"/>
        <v>1353</v>
      </c>
      <c r="K328" s="54">
        <v>286</v>
      </c>
      <c r="L328" s="55">
        <v>308</v>
      </c>
      <c r="M328" s="56">
        <f t="shared" si="61"/>
        <v>759</v>
      </c>
      <c r="N328" s="57">
        <f>500-241</f>
        <v>259</v>
      </c>
      <c r="O328" s="65">
        <v>500</v>
      </c>
      <c r="P328" s="58">
        <v>0</v>
      </c>
      <c r="Q328" s="55">
        <v>0</v>
      </c>
      <c r="R328" s="59">
        <v>0</v>
      </c>
      <c r="S328" s="58">
        <v>0</v>
      </c>
      <c r="T328" s="55">
        <v>0</v>
      </c>
      <c r="U328" s="59">
        <v>0</v>
      </c>
      <c r="V328" s="58">
        <v>0</v>
      </c>
      <c r="W328" s="55">
        <v>0</v>
      </c>
      <c r="X328" s="59">
        <v>0</v>
      </c>
      <c r="Y328" s="58">
        <v>0</v>
      </c>
      <c r="Z328" s="55">
        <v>0</v>
      </c>
      <c r="AA328" s="60">
        <v>0</v>
      </c>
      <c r="AB328" s="245"/>
      <c r="AC328" s="245"/>
      <c r="AD328" s="245"/>
      <c r="AE328" s="245"/>
      <c r="AF328" s="245"/>
      <c r="AG328" s="245"/>
      <c r="AH328" s="245"/>
      <c r="AI328" s="245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</row>
    <row r="329" spans="1:121" s="16" customFormat="1" ht="28.5" customHeight="1">
      <c r="A329" s="431">
        <v>230</v>
      </c>
      <c r="B329" s="342">
        <v>4357</v>
      </c>
      <c r="C329" s="343">
        <v>6121</v>
      </c>
      <c r="D329" s="330">
        <v>6053</v>
      </c>
      <c r="E329" s="69" t="s">
        <v>468</v>
      </c>
      <c r="F329" s="83" t="s">
        <v>273</v>
      </c>
      <c r="G329" s="67">
        <v>400</v>
      </c>
      <c r="H329" s="67">
        <v>2018</v>
      </c>
      <c r="I329" s="68">
        <v>2019</v>
      </c>
      <c r="J329" s="53">
        <f t="shared" si="60"/>
        <v>800</v>
      </c>
      <c r="K329" s="54">
        <v>0</v>
      </c>
      <c r="L329" s="55">
        <v>0</v>
      </c>
      <c r="M329" s="56">
        <f t="shared" si="61"/>
        <v>800</v>
      </c>
      <c r="N329" s="57">
        <v>800</v>
      </c>
      <c r="O329" s="65">
        <v>0</v>
      </c>
      <c r="P329" s="58">
        <v>0</v>
      </c>
      <c r="Q329" s="55">
        <v>0</v>
      </c>
      <c r="R329" s="59">
        <v>0</v>
      </c>
      <c r="S329" s="58">
        <v>0</v>
      </c>
      <c r="T329" s="55">
        <v>0</v>
      </c>
      <c r="U329" s="59">
        <v>0</v>
      </c>
      <c r="V329" s="58">
        <v>0</v>
      </c>
      <c r="W329" s="55">
        <v>0</v>
      </c>
      <c r="X329" s="59">
        <v>0</v>
      </c>
      <c r="Y329" s="58">
        <v>0</v>
      </c>
      <c r="Z329" s="55">
        <v>0</v>
      </c>
      <c r="AA329" s="60">
        <v>0</v>
      </c>
      <c r="AB329" s="245"/>
      <c r="AC329" s="245"/>
      <c r="AD329" s="245"/>
      <c r="AE329" s="245"/>
      <c r="AF329" s="245"/>
      <c r="AG329" s="245"/>
      <c r="AH329" s="245"/>
      <c r="AI329" s="245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</row>
    <row r="330" spans="1:121" s="16" customFormat="1" ht="28.5" customHeight="1">
      <c r="A330" s="431">
        <v>230</v>
      </c>
      <c r="B330" s="342">
        <v>4357</v>
      </c>
      <c r="C330" s="343">
        <v>6121</v>
      </c>
      <c r="D330" s="344">
        <v>6055</v>
      </c>
      <c r="E330" s="587" t="s">
        <v>469</v>
      </c>
      <c r="F330" s="83" t="s">
        <v>273</v>
      </c>
      <c r="G330" s="67">
        <v>400</v>
      </c>
      <c r="H330" s="67">
        <v>2018</v>
      </c>
      <c r="I330" s="68">
        <v>2019</v>
      </c>
      <c r="J330" s="53">
        <f t="shared" si="60"/>
        <v>1800</v>
      </c>
      <c r="K330" s="54">
        <v>0</v>
      </c>
      <c r="L330" s="55">
        <v>0</v>
      </c>
      <c r="M330" s="56">
        <f t="shared" si="61"/>
        <v>1800</v>
      </c>
      <c r="N330" s="57">
        <f>500+1300</f>
        <v>1800</v>
      </c>
      <c r="O330" s="65">
        <v>0</v>
      </c>
      <c r="P330" s="58">
        <v>0</v>
      </c>
      <c r="Q330" s="55">
        <v>0</v>
      </c>
      <c r="R330" s="59">
        <v>0</v>
      </c>
      <c r="S330" s="58">
        <v>0</v>
      </c>
      <c r="T330" s="55">
        <v>0</v>
      </c>
      <c r="U330" s="59">
        <v>0</v>
      </c>
      <c r="V330" s="58">
        <v>0</v>
      </c>
      <c r="W330" s="55">
        <v>0</v>
      </c>
      <c r="X330" s="59">
        <v>0</v>
      </c>
      <c r="Y330" s="58">
        <v>0</v>
      </c>
      <c r="Z330" s="55">
        <v>0</v>
      </c>
      <c r="AA330" s="60">
        <v>0</v>
      </c>
      <c r="AB330" s="245"/>
      <c r="AC330" s="245"/>
      <c r="AD330" s="245"/>
      <c r="AE330" s="245"/>
      <c r="AF330" s="245"/>
      <c r="AG330" s="245"/>
      <c r="AH330" s="245"/>
      <c r="AI330" s="245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</row>
    <row r="331" spans="1:121" s="16" customFormat="1" ht="28.5" customHeight="1">
      <c r="A331" s="431">
        <v>230</v>
      </c>
      <c r="B331" s="342">
        <v>4357</v>
      </c>
      <c r="C331" s="343">
        <v>6121</v>
      </c>
      <c r="D331" s="1363">
        <v>6056</v>
      </c>
      <c r="E331" s="718" t="s">
        <v>470</v>
      </c>
      <c r="F331" s="83" t="s">
        <v>254</v>
      </c>
      <c r="G331" s="67">
        <v>400</v>
      </c>
      <c r="H331" s="67">
        <v>2018</v>
      </c>
      <c r="I331" s="68">
        <v>2019</v>
      </c>
      <c r="J331" s="53">
        <f>K331+L331+M331+SUM(R331:AA331)</f>
        <v>3531</v>
      </c>
      <c r="K331" s="54">
        <v>0</v>
      </c>
      <c r="L331" s="55">
        <v>341</v>
      </c>
      <c r="M331" s="56">
        <f>N331+O331+P331+Q331</f>
        <v>3190</v>
      </c>
      <c r="N331" s="57">
        <f>3159+31</f>
        <v>3190</v>
      </c>
      <c r="O331" s="65">
        <v>0</v>
      </c>
      <c r="P331" s="58">
        <v>0</v>
      </c>
      <c r="Q331" s="55">
        <v>0</v>
      </c>
      <c r="R331" s="59">
        <v>0</v>
      </c>
      <c r="S331" s="58">
        <v>0</v>
      </c>
      <c r="T331" s="55">
        <v>0</v>
      </c>
      <c r="U331" s="59">
        <v>0</v>
      </c>
      <c r="V331" s="58">
        <v>0</v>
      </c>
      <c r="W331" s="55">
        <v>0</v>
      </c>
      <c r="X331" s="59">
        <v>0</v>
      </c>
      <c r="Y331" s="58">
        <v>0</v>
      </c>
      <c r="Z331" s="55">
        <v>0</v>
      </c>
      <c r="AA331" s="60">
        <v>0</v>
      </c>
      <c r="AB331" s="245"/>
      <c r="AC331" s="245"/>
      <c r="AD331" s="245"/>
      <c r="AE331" s="245"/>
      <c r="AF331" s="245"/>
      <c r="AG331" s="245"/>
      <c r="AH331" s="245"/>
      <c r="AI331" s="245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</row>
    <row r="332" spans="1:121" s="16" customFormat="1" ht="28.5" customHeight="1">
      <c r="A332" s="431">
        <v>230</v>
      </c>
      <c r="B332" s="342">
        <v>4357</v>
      </c>
      <c r="C332" s="343">
        <v>6121</v>
      </c>
      <c r="D332" s="345">
        <v>6057</v>
      </c>
      <c r="E332" s="636" t="s">
        <v>148</v>
      </c>
      <c r="F332" s="83"/>
      <c r="G332" s="67">
        <v>400</v>
      </c>
      <c r="H332" s="67">
        <v>2018</v>
      </c>
      <c r="I332" s="68">
        <v>2019</v>
      </c>
      <c r="J332" s="53">
        <f t="shared" si="60"/>
        <v>1800</v>
      </c>
      <c r="K332" s="54">
        <v>0</v>
      </c>
      <c r="L332" s="55">
        <v>0</v>
      </c>
      <c r="M332" s="56">
        <f t="shared" si="61"/>
        <v>1800</v>
      </c>
      <c r="N332" s="57">
        <v>1800</v>
      </c>
      <c r="O332" s="65">
        <v>0</v>
      </c>
      <c r="P332" s="58">
        <v>0</v>
      </c>
      <c r="Q332" s="55">
        <v>0</v>
      </c>
      <c r="R332" s="59">
        <v>0</v>
      </c>
      <c r="S332" s="58">
        <v>0</v>
      </c>
      <c r="T332" s="55">
        <v>0</v>
      </c>
      <c r="U332" s="59">
        <v>0</v>
      </c>
      <c r="V332" s="58">
        <v>0</v>
      </c>
      <c r="W332" s="55">
        <v>0</v>
      </c>
      <c r="X332" s="59">
        <v>0</v>
      </c>
      <c r="Y332" s="58">
        <v>0</v>
      </c>
      <c r="Z332" s="55">
        <v>0</v>
      </c>
      <c r="AA332" s="60">
        <v>0</v>
      </c>
      <c r="AB332" s="245"/>
      <c r="AC332" s="245"/>
      <c r="AD332" s="245"/>
      <c r="AE332" s="245"/>
      <c r="AF332" s="245"/>
      <c r="AG332" s="245"/>
      <c r="AH332" s="245"/>
      <c r="AI332" s="245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</row>
    <row r="333" spans="1:121" s="16" customFormat="1" ht="28.5" customHeight="1">
      <c r="A333" s="431">
        <v>230</v>
      </c>
      <c r="B333" s="574">
        <v>4357</v>
      </c>
      <c r="C333" s="575">
        <v>6121</v>
      </c>
      <c r="D333" s="330">
        <v>6058</v>
      </c>
      <c r="E333" s="973" t="s">
        <v>149</v>
      </c>
      <c r="F333" s="83"/>
      <c r="G333" s="67">
        <v>400</v>
      </c>
      <c r="H333" s="67">
        <v>2019</v>
      </c>
      <c r="I333" s="68">
        <v>2021</v>
      </c>
      <c r="J333" s="53">
        <f>K333+L333+M333+SUM(R333:AA333)</f>
        <v>4000</v>
      </c>
      <c r="K333" s="54">
        <v>0</v>
      </c>
      <c r="L333" s="55">
        <v>0</v>
      </c>
      <c r="M333" s="56">
        <f>N333+O333+P333+Q333</f>
        <v>0</v>
      </c>
      <c r="N333" s="57">
        <v>0</v>
      </c>
      <c r="O333" s="65">
        <f>2000-2000</f>
        <v>0</v>
      </c>
      <c r="P333" s="58">
        <v>0</v>
      </c>
      <c r="Q333" s="55">
        <v>0</v>
      </c>
      <c r="R333" s="59">
        <f>1000+2000</f>
        <v>3000</v>
      </c>
      <c r="S333" s="58">
        <v>0</v>
      </c>
      <c r="T333" s="55">
        <v>0</v>
      </c>
      <c r="U333" s="59">
        <v>1000</v>
      </c>
      <c r="V333" s="58">
        <v>0</v>
      </c>
      <c r="W333" s="55">
        <v>0</v>
      </c>
      <c r="X333" s="59">
        <v>0</v>
      </c>
      <c r="Y333" s="58">
        <v>0</v>
      </c>
      <c r="Z333" s="55">
        <v>0</v>
      </c>
      <c r="AA333" s="60">
        <v>0</v>
      </c>
      <c r="AB333" s="14"/>
      <c r="AC333" s="14"/>
      <c r="AD333" s="14"/>
      <c r="AE333" s="14"/>
      <c r="AF333" s="717"/>
      <c r="AG333" s="245"/>
      <c r="AH333" s="245"/>
      <c r="AI333" s="245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</row>
    <row r="334" spans="1:121" s="16" customFormat="1" ht="35.25" customHeight="1">
      <c r="A334" s="464">
        <v>180</v>
      </c>
      <c r="B334" s="689">
        <v>4357</v>
      </c>
      <c r="C334" s="467"/>
      <c r="D334" s="641"/>
      <c r="E334" s="1260" t="s">
        <v>621</v>
      </c>
      <c r="F334" s="719" t="s">
        <v>254</v>
      </c>
      <c r="G334" s="720">
        <v>424</v>
      </c>
      <c r="H334" s="721">
        <v>2019</v>
      </c>
      <c r="I334" s="722">
        <v>2019</v>
      </c>
      <c r="J334" s="53">
        <f>K334+L334+M334+SUM(R334:AA334)</f>
        <v>22347</v>
      </c>
      <c r="K334" s="54">
        <v>0</v>
      </c>
      <c r="L334" s="55">
        <v>2786</v>
      </c>
      <c r="M334" s="56">
        <f>N334+O334+P334+Q334</f>
        <v>19561</v>
      </c>
      <c r="N334" s="57">
        <v>0</v>
      </c>
      <c r="O334" s="65">
        <v>19561</v>
      </c>
      <c r="P334" s="58">
        <v>0</v>
      </c>
      <c r="Q334" s="55">
        <v>0</v>
      </c>
      <c r="R334" s="151">
        <v>0</v>
      </c>
      <c r="S334" s="58">
        <v>0</v>
      </c>
      <c r="T334" s="55">
        <v>0</v>
      </c>
      <c r="U334" s="151">
        <v>0</v>
      </c>
      <c r="V334" s="58">
        <v>0</v>
      </c>
      <c r="W334" s="55">
        <v>0</v>
      </c>
      <c r="X334" s="59">
        <v>0</v>
      </c>
      <c r="Y334" s="58">
        <v>0</v>
      </c>
      <c r="Z334" s="55">
        <v>0</v>
      </c>
      <c r="AA334" s="60">
        <v>0</v>
      </c>
      <c r="AB334" s="245"/>
      <c r="AC334" s="245"/>
      <c r="AD334" s="245"/>
      <c r="AE334" s="245"/>
      <c r="AF334" s="245"/>
      <c r="AG334" s="245"/>
      <c r="AH334" s="245"/>
      <c r="AI334" s="245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</row>
    <row r="335" spans="1:121" s="16" customFormat="1" ht="36" customHeight="1" thickBot="1">
      <c r="A335" s="464">
        <v>180</v>
      </c>
      <c r="B335" s="689">
        <v>4357</v>
      </c>
      <c r="C335" s="467"/>
      <c r="D335" s="516"/>
      <c r="E335" s="579" t="s">
        <v>622</v>
      </c>
      <c r="F335" s="723" t="s">
        <v>254</v>
      </c>
      <c r="G335" s="724">
        <v>424</v>
      </c>
      <c r="H335" s="485">
        <v>2019</v>
      </c>
      <c r="I335" s="71">
        <v>2020</v>
      </c>
      <c r="J335" s="184">
        <f>K335+L335+M335+SUM(R335:AA335)</f>
        <v>53903</v>
      </c>
      <c r="K335" s="185">
        <v>0</v>
      </c>
      <c r="L335" s="183">
        <v>0</v>
      </c>
      <c r="M335" s="136">
        <f>N335+O335+P335+Q335</f>
        <v>30000</v>
      </c>
      <c r="N335" s="187">
        <v>0</v>
      </c>
      <c r="O335" s="192">
        <v>30000</v>
      </c>
      <c r="P335" s="188">
        <v>0</v>
      </c>
      <c r="Q335" s="183">
        <v>0</v>
      </c>
      <c r="R335" s="151">
        <v>23903</v>
      </c>
      <c r="S335" s="188">
        <v>0</v>
      </c>
      <c r="T335" s="183">
        <v>0</v>
      </c>
      <c r="U335" s="151">
        <v>0</v>
      </c>
      <c r="V335" s="188">
        <v>0</v>
      </c>
      <c r="W335" s="183">
        <v>0</v>
      </c>
      <c r="X335" s="151">
        <v>0</v>
      </c>
      <c r="Y335" s="188">
        <v>0</v>
      </c>
      <c r="Z335" s="183">
        <v>0</v>
      </c>
      <c r="AA335" s="191">
        <v>0</v>
      </c>
      <c r="AB335" s="245"/>
      <c r="AC335" s="245"/>
      <c r="AD335" s="245"/>
      <c r="AE335" s="245"/>
      <c r="AF335" s="245"/>
      <c r="AG335" s="245"/>
      <c r="AH335" s="245"/>
      <c r="AI335" s="245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</row>
    <row r="336" spans="1:121" s="481" customFormat="1" ht="28.5" customHeight="1" thickBot="1">
      <c r="A336" s="283"/>
      <c r="B336" s="725"/>
      <c r="C336" s="725"/>
      <c r="D336" s="309"/>
      <c r="E336" s="1509" t="s">
        <v>109</v>
      </c>
      <c r="F336" s="1509"/>
      <c r="G336" s="1509"/>
      <c r="H336" s="1509"/>
      <c r="I336" s="1510"/>
      <c r="J336" s="1007">
        <f aca="true" t="shared" si="62" ref="J336:AA336">SUM(J317:J335)</f>
        <v>892441</v>
      </c>
      <c r="K336" s="984">
        <f t="shared" si="62"/>
        <v>19327</v>
      </c>
      <c r="L336" s="987">
        <f t="shared" si="62"/>
        <v>5749</v>
      </c>
      <c r="M336" s="1007">
        <f t="shared" si="62"/>
        <v>165462</v>
      </c>
      <c r="N336" s="984">
        <f t="shared" si="62"/>
        <v>36676</v>
      </c>
      <c r="O336" s="1048">
        <f t="shared" si="62"/>
        <v>58786</v>
      </c>
      <c r="P336" s="1048">
        <f t="shared" si="62"/>
        <v>70000</v>
      </c>
      <c r="Q336" s="987">
        <f t="shared" si="62"/>
        <v>0</v>
      </c>
      <c r="R336" s="984">
        <f t="shared" si="62"/>
        <v>50903</v>
      </c>
      <c r="S336" s="984">
        <f t="shared" si="62"/>
        <v>0</v>
      </c>
      <c r="T336" s="987">
        <f t="shared" si="62"/>
        <v>0</v>
      </c>
      <c r="U336" s="984">
        <f t="shared" si="62"/>
        <v>151000</v>
      </c>
      <c r="V336" s="1048">
        <f t="shared" si="62"/>
        <v>0</v>
      </c>
      <c r="W336" s="987">
        <f t="shared" si="62"/>
        <v>0</v>
      </c>
      <c r="X336" s="984">
        <f t="shared" si="62"/>
        <v>300000</v>
      </c>
      <c r="Y336" s="1048">
        <f t="shared" si="62"/>
        <v>0</v>
      </c>
      <c r="Z336" s="987">
        <f t="shared" si="62"/>
        <v>0</v>
      </c>
      <c r="AA336" s="1008">
        <f t="shared" si="62"/>
        <v>200000</v>
      </c>
      <c r="AB336" s="245"/>
      <c r="AC336" s="245"/>
      <c r="AD336" s="245"/>
      <c r="AE336" s="245"/>
      <c r="AF336" s="245"/>
      <c r="AG336" s="245"/>
      <c r="AH336" s="245"/>
      <c r="AI336" s="245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</row>
    <row r="337" spans="2:27" ht="28.5" customHeight="1" thickBot="1">
      <c r="B337" s="428"/>
      <c r="C337" s="429"/>
      <c r="D337" s="299" t="s">
        <v>111</v>
      </c>
      <c r="E337" s="299"/>
      <c r="F337" s="286"/>
      <c r="G337" s="286"/>
      <c r="H337" s="430"/>
      <c r="I337" s="286"/>
      <c r="J337" s="983"/>
      <c r="K337" s="977"/>
      <c r="L337" s="977"/>
      <c r="M337" s="298"/>
      <c r="N337" s="298"/>
      <c r="O337" s="978"/>
      <c r="P337" s="851"/>
      <c r="Q337" s="979"/>
      <c r="R337" s="978"/>
      <c r="S337" s="980"/>
      <c r="T337" s="981"/>
      <c r="U337" s="982"/>
      <c r="V337" s="980"/>
      <c r="W337" s="981"/>
      <c r="X337" s="982"/>
      <c r="Y337" s="980"/>
      <c r="Z337" s="981"/>
      <c r="AA337" s="979"/>
    </row>
    <row r="338" spans="1:121" s="481" customFormat="1" ht="28.5" customHeight="1" thickBot="1">
      <c r="A338" s="476">
        <v>230</v>
      </c>
      <c r="B338" s="342">
        <v>4359</v>
      </c>
      <c r="C338" s="343">
        <v>6121</v>
      </c>
      <c r="D338" s="319">
        <v>6046</v>
      </c>
      <c r="E338" s="110" t="s">
        <v>150</v>
      </c>
      <c r="F338" s="122" t="s">
        <v>266</v>
      </c>
      <c r="G338" s="23">
        <v>400</v>
      </c>
      <c r="H338" s="23">
        <v>2016</v>
      </c>
      <c r="I338" s="24">
        <v>2022</v>
      </c>
      <c r="J338" s="25">
        <f>K338+L338+M338+SUM(R338:AA338)</f>
        <v>63263</v>
      </c>
      <c r="K338" s="26">
        <v>263</v>
      </c>
      <c r="L338" s="27">
        <v>71</v>
      </c>
      <c r="M338" s="111">
        <f>N338+O338+P338+Q338</f>
        <v>929</v>
      </c>
      <c r="N338" s="29">
        <f>1000-71</f>
        <v>929</v>
      </c>
      <c r="O338" s="30">
        <v>0</v>
      </c>
      <c r="P338" s="31">
        <v>0</v>
      </c>
      <c r="Q338" s="27">
        <v>0</v>
      </c>
      <c r="R338" s="32">
        <v>0</v>
      </c>
      <c r="S338" s="31">
        <v>2000</v>
      </c>
      <c r="T338" s="27">
        <v>0</v>
      </c>
      <c r="U338" s="32">
        <v>0</v>
      </c>
      <c r="V338" s="31">
        <v>60000</v>
      </c>
      <c r="W338" s="27">
        <v>0</v>
      </c>
      <c r="X338" s="32">
        <v>0</v>
      </c>
      <c r="Y338" s="31">
        <v>0</v>
      </c>
      <c r="Z338" s="27">
        <v>0</v>
      </c>
      <c r="AA338" s="33">
        <v>0</v>
      </c>
      <c r="AB338" s="245"/>
      <c r="AC338" s="245"/>
      <c r="AD338" s="245"/>
      <c r="AE338" s="245"/>
      <c r="AF338" s="245"/>
      <c r="AG338" s="245"/>
      <c r="AH338" s="245"/>
      <c r="AI338" s="245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</row>
    <row r="339" spans="1:121" s="481" customFormat="1" ht="28.5" customHeight="1" thickBot="1">
      <c r="A339" s="487"/>
      <c r="B339" s="472"/>
      <c r="C339" s="472"/>
      <c r="D339" s="726"/>
      <c r="E339" s="1511" t="s">
        <v>110</v>
      </c>
      <c r="F339" s="1511"/>
      <c r="G339" s="1511"/>
      <c r="H339" s="1511"/>
      <c r="I339" s="1512"/>
      <c r="J339" s="1007">
        <f>SUM(J338)</f>
        <v>63263</v>
      </c>
      <c r="K339" s="1007">
        <f>SUM(K338)</f>
        <v>263</v>
      </c>
      <c r="L339" s="986">
        <f>SUM(L338)</f>
        <v>71</v>
      </c>
      <c r="M339" s="1007">
        <f aca="true" t="shared" si="63" ref="M339:AA339">SUM(M338)</f>
        <v>929</v>
      </c>
      <c r="N339" s="1050">
        <f t="shared" si="63"/>
        <v>929</v>
      </c>
      <c r="O339" s="1051">
        <f t="shared" si="63"/>
        <v>0</v>
      </c>
      <c r="P339" s="1051">
        <f t="shared" si="63"/>
        <v>0</v>
      </c>
      <c r="Q339" s="1052">
        <f t="shared" si="63"/>
        <v>0</v>
      </c>
      <c r="R339" s="1053">
        <f t="shared" si="63"/>
        <v>0</v>
      </c>
      <c r="S339" s="1051">
        <f t="shared" si="63"/>
        <v>2000</v>
      </c>
      <c r="T339" s="1054">
        <f t="shared" si="63"/>
        <v>0</v>
      </c>
      <c r="U339" s="1050">
        <f t="shared" si="63"/>
        <v>0</v>
      </c>
      <c r="V339" s="1051">
        <f t="shared" si="63"/>
        <v>60000</v>
      </c>
      <c r="W339" s="1052">
        <f t="shared" si="63"/>
        <v>0</v>
      </c>
      <c r="X339" s="1053">
        <f t="shared" si="63"/>
        <v>0</v>
      </c>
      <c r="Y339" s="1051">
        <f t="shared" si="63"/>
        <v>0</v>
      </c>
      <c r="Z339" s="1054">
        <f t="shared" si="63"/>
        <v>0</v>
      </c>
      <c r="AA339" s="1008">
        <f t="shared" si="63"/>
        <v>0</v>
      </c>
      <c r="AB339" s="245"/>
      <c r="AC339" s="245"/>
      <c r="AD339" s="245"/>
      <c r="AE339" s="245"/>
      <c r="AF339" s="245"/>
      <c r="AG339" s="245"/>
      <c r="AH339" s="245"/>
      <c r="AI339" s="245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</row>
    <row r="340" spans="2:27" ht="28.5" customHeight="1" thickBot="1">
      <c r="B340" s="428"/>
      <c r="C340" s="429"/>
      <c r="D340" s="299" t="s">
        <v>492</v>
      </c>
      <c r="E340" s="299"/>
      <c r="F340" s="286"/>
      <c r="G340" s="286"/>
      <c r="H340" s="430"/>
      <c r="I340" s="286"/>
      <c r="J340" s="983"/>
      <c r="K340" s="977"/>
      <c r="L340" s="977"/>
      <c r="M340" s="298"/>
      <c r="N340" s="298"/>
      <c r="O340" s="978"/>
      <c r="P340" s="851"/>
      <c r="Q340" s="979"/>
      <c r="R340" s="978"/>
      <c r="S340" s="980"/>
      <c r="T340" s="981"/>
      <c r="U340" s="982"/>
      <c r="V340" s="980"/>
      <c r="W340" s="981"/>
      <c r="X340" s="982"/>
      <c r="Y340" s="980"/>
      <c r="Z340" s="981"/>
      <c r="AA340" s="979"/>
    </row>
    <row r="341" spans="1:121" s="481" customFormat="1" ht="28.5" customHeight="1" thickBot="1">
      <c r="A341" s="476">
        <v>230</v>
      </c>
      <c r="B341" s="342">
        <v>4374</v>
      </c>
      <c r="C341" s="343">
        <v>6121</v>
      </c>
      <c r="D341" s="633">
        <v>6052</v>
      </c>
      <c r="E341" s="974" t="s">
        <v>465</v>
      </c>
      <c r="F341" s="122" t="s">
        <v>248</v>
      </c>
      <c r="G341" s="23">
        <v>400</v>
      </c>
      <c r="H341" s="23">
        <v>2017</v>
      </c>
      <c r="I341" s="24">
        <v>2019</v>
      </c>
      <c r="J341" s="25">
        <f>K341+L341+M341+SUM(R341:AA341)</f>
        <v>5250</v>
      </c>
      <c r="K341" s="26">
        <v>250</v>
      </c>
      <c r="L341" s="27">
        <v>3000</v>
      </c>
      <c r="M341" s="111">
        <f>N341+O341+P341+Q341</f>
        <v>2000</v>
      </c>
      <c r="N341" s="29">
        <f>2000-2000</f>
        <v>0</v>
      </c>
      <c r="O341" s="30">
        <v>2000</v>
      </c>
      <c r="P341" s="31">
        <v>0</v>
      </c>
      <c r="Q341" s="27">
        <v>0</v>
      </c>
      <c r="R341" s="32">
        <v>0</v>
      </c>
      <c r="S341" s="31">
        <v>0</v>
      </c>
      <c r="T341" s="27">
        <v>0</v>
      </c>
      <c r="U341" s="32">
        <v>0</v>
      </c>
      <c r="V341" s="31">
        <v>0</v>
      </c>
      <c r="W341" s="27">
        <v>0</v>
      </c>
      <c r="X341" s="32">
        <v>0</v>
      </c>
      <c r="Y341" s="31">
        <v>0</v>
      </c>
      <c r="Z341" s="27">
        <v>0</v>
      </c>
      <c r="AA341" s="33">
        <v>0</v>
      </c>
      <c r="AB341" s="245"/>
      <c r="AC341" s="245"/>
      <c r="AD341" s="245"/>
      <c r="AE341" s="245"/>
      <c r="AF341" s="245"/>
      <c r="AG341" s="245"/>
      <c r="AH341" s="245"/>
      <c r="AI341" s="245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</row>
    <row r="342" spans="1:121" s="481" customFormat="1" ht="28.5" customHeight="1" thickBot="1">
      <c r="A342" s="487"/>
      <c r="B342" s="472"/>
      <c r="C342" s="472"/>
      <c r="D342" s="726"/>
      <c r="E342" s="1511" t="s">
        <v>112</v>
      </c>
      <c r="F342" s="1511"/>
      <c r="G342" s="1511"/>
      <c r="H342" s="1511"/>
      <c r="I342" s="1512"/>
      <c r="J342" s="1007">
        <f>SUM(J341)</f>
        <v>5250</v>
      </c>
      <c r="K342" s="1007">
        <f>SUM(K341)</f>
        <v>250</v>
      </c>
      <c r="L342" s="986">
        <f>SUM(L341)</f>
        <v>3000</v>
      </c>
      <c r="M342" s="1007">
        <f aca="true" t="shared" si="64" ref="M342:AA342">SUM(M341)</f>
        <v>2000</v>
      </c>
      <c r="N342" s="1050">
        <f t="shared" si="64"/>
        <v>0</v>
      </c>
      <c r="O342" s="1051">
        <f t="shared" si="64"/>
        <v>2000</v>
      </c>
      <c r="P342" s="1051">
        <f t="shared" si="64"/>
        <v>0</v>
      </c>
      <c r="Q342" s="1052">
        <f t="shared" si="64"/>
        <v>0</v>
      </c>
      <c r="R342" s="1053">
        <f t="shared" si="64"/>
        <v>0</v>
      </c>
      <c r="S342" s="1051">
        <f t="shared" si="64"/>
        <v>0</v>
      </c>
      <c r="T342" s="1054">
        <f t="shared" si="64"/>
        <v>0</v>
      </c>
      <c r="U342" s="1050">
        <f t="shared" si="64"/>
        <v>0</v>
      </c>
      <c r="V342" s="1051">
        <f t="shared" si="64"/>
        <v>0</v>
      </c>
      <c r="W342" s="1052">
        <f t="shared" si="64"/>
        <v>0</v>
      </c>
      <c r="X342" s="1053">
        <f t="shared" si="64"/>
        <v>0</v>
      </c>
      <c r="Y342" s="1051">
        <f t="shared" si="64"/>
        <v>0</v>
      </c>
      <c r="Z342" s="1054">
        <f t="shared" si="64"/>
        <v>0</v>
      </c>
      <c r="AA342" s="1008">
        <f t="shared" si="64"/>
        <v>0</v>
      </c>
      <c r="AB342" s="245"/>
      <c r="AC342" s="245"/>
      <c r="AD342" s="245"/>
      <c r="AE342" s="245"/>
      <c r="AF342" s="245"/>
      <c r="AG342" s="245"/>
      <c r="AH342" s="245"/>
      <c r="AI342" s="245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</row>
    <row r="343" spans="1:35" s="17" customFormat="1" ht="28.5" customHeight="1">
      <c r="A343" s="253"/>
      <c r="B343" s="309"/>
      <c r="C343" s="309"/>
      <c r="D343" s="539" t="s">
        <v>366</v>
      </c>
      <c r="E343" s="539"/>
      <c r="F343" s="310"/>
      <c r="G343" s="310"/>
      <c r="H343" s="310"/>
      <c r="I343" s="310"/>
      <c r="J343" s="318"/>
      <c r="K343" s="318"/>
      <c r="L343" s="318"/>
      <c r="M343" s="318"/>
      <c r="N343" s="318"/>
      <c r="O343" s="318"/>
      <c r="P343" s="318"/>
      <c r="Q343" s="318"/>
      <c r="R343" s="318"/>
      <c r="S343" s="318"/>
      <c r="T343" s="318"/>
      <c r="U343" s="318"/>
      <c r="V343" s="318"/>
      <c r="W343" s="318"/>
      <c r="X343" s="318"/>
      <c r="Y343" s="318"/>
      <c r="Z343" s="318"/>
      <c r="AA343" s="318"/>
      <c r="AB343" s="270"/>
      <c r="AC343" s="270"/>
      <c r="AD343" s="270"/>
      <c r="AE343" s="270"/>
      <c r="AF343" s="270"/>
      <c r="AG343" s="270"/>
      <c r="AH343" s="270"/>
      <c r="AI343" s="270"/>
    </row>
    <row r="344" spans="2:27" ht="28.5" customHeight="1" thickBot="1">
      <c r="B344" s="428"/>
      <c r="C344" s="429"/>
      <c r="D344" s="299" t="s">
        <v>113</v>
      </c>
      <c r="E344" s="299"/>
      <c r="F344" s="286"/>
      <c r="G344" s="286"/>
      <c r="H344" s="430"/>
      <c r="I344" s="286"/>
      <c r="J344" s="983"/>
      <c r="K344" s="977"/>
      <c r="L344" s="977"/>
      <c r="M344" s="298"/>
      <c r="N344" s="298"/>
      <c r="O344" s="978"/>
      <c r="P344" s="851"/>
      <c r="Q344" s="979"/>
      <c r="R344" s="978"/>
      <c r="S344" s="980"/>
      <c r="T344" s="981"/>
      <c r="U344" s="982"/>
      <c r="V344" s="980"/>
      <c r="W344" s="981"/>
      <c r="X344" s="982"/>
      <c r="Y344" s="980"/>
      <c r="Z344" s="981"/>
      <c r="AA344" s="979"/>
    </row>
    <row r="345" spans="1:121" s="481" customFormat="1" ht="28.5" customHeight="1" thickBot="1">
      <c r="A345" s="476">
        <v>230</v>
      </c>
      <c r="B345" s="342">
        <v>5299</v>
      </c>
      <c r="C345" s="343">
        <v>6121</v>
      </c>
      <c r="D345" s="571">
        <v>8215</v>
      </c>
      <c r="E345" s="572" t="s">
        <v>466</v>
      </c>
      <c r="F345" s="22" t="s">
        <v>273</v>
      </c>
      <c r="G345" s="23">
        <v>400</v>
      </c>
      <c r="H345" s="23">
        <v>2018</v>
      </c>
      <c r="I345" s="24">
        <v>2022</v>
      </c>
      <c r="J345" s="25">
        <f>K345+L345+M345+SUM(R345:AA345)</f>
        <v>107950</v>
      </c>
      <c r="K345" s="26">
        <v>0</v>
      </c>
      <c r="L345" s="27">
        <v>708</v>
      </c>
      <c r="M345" s="111">
        <f>N345+O345+P345+Q345</f>
        <v>2292</v>
      </c>
      <c r="N345" s="29">
        <v>292</v>
      </c>
      <c r="O345" s="30">
        <f>3000-1000</f>
        <v>2000</v>
      </c>
      <c r="P345" s="31">
        <v>0</v>
      </c>
      <c r="Q345" s="27">
        <v>0</v>
      </c>
      <c r="R345" s="32">
        <v>0</v>
      </c>
      <c r="S345" s="31">
        <v>0</v>
      </c>
      <c r="T345" s="27">
        <v>0</v>
      </c>
      <c r="U345" s="32">
        <v>0</v>
      </c>
      <c r="V345" s="31">
        <v>0</v>
      </c>
      <c r="W345" s="27">
        <v>0</v>
      </c>
      <c r="X345" s="32">
        <v>54950</v>
      </c>
      <c r="Y345" s="31">
        <v>0</v>
      </c>
      <c r="Z345" s="27">
        <v>0</v>
      </c>
      <c r="AA345" s="33">
        <v>50000</v>
      </c>
      <c r="AB345" s="245"/>
      <c r="AC345" s="245"/>
      <c r="AD345" s="245"/>
      <c r="AE345" s="245"/>
      <c r="AF345" s="245"/>
      <c r="AG345" s="245"/>
      <c r="AH345" s="245"/>
      <c r="AI345" s="245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</row>
    <row r="346" spans="1:121" s="481" customFormat="1" ht="28.5" customHeight="1" thickBot="1">
      <c r="A346" s="487"/>
      <c r="B346" s="472"/>
      <c r="C346" s="472"/>
      <c r="D346" s="726"/>
      <c r="E346" s="1511" t="s">
        <v>114</v>
      </c>
      <c r="F346" s="1511"/>
      <c r="G346" s="1511"/>
      <c r="H346" s="1511"/>
      <c r="I346" s="1512"/>
      <c r="J346" s="1007">
        <f>SUM(J345)</f>
        <v>107950</v>
      </c>
      <c r="K346" s="1007">
        <f>SUM(K345)</f>
        <v>0</v>
      </c>
      <c r="L346" s="986">
        <f>SUM(L345)</f>
        <v>708</v>
      </c>
      <c r="M346" s="1007">
        <f aca="true" t="shared" si="65" ref="M346:AA346">SUM(M345)</f>
        <v>2292</v>
      </c>
      <c r="N346" s="1050">
        <f t="shared" si="65"/>
        <v>292</v>
      </c>
      <c r="O346" s="1051">
        <f t="shared" si="65"/>
        <v>2000</v>
      </c>
      <c r="P346" s="1051">
        <f t="shared" si="65"/>
        <v>0</v>
      </c>
      <c r="Q346" s="1052">
        <f t="shared" si="65"/>
        <v>0</v>
      </c>
      <c r="R346" s="1053">
        <f t="shared" si="65"/>
        <v>0</v>
      </c>
      <c r="S346" s="1051">
        <f t="shared" si="65"/>
        <v>0</v>
      </c>
      <c r="T346" s="1054">
        <f t="shared" si="65"/>
        <v>0</v>
      </c>
      <c r="U346" s="1050">
        <f t="shared" si="65"/>
        <v>0</v>
      </c>
      <c r="V346" s="1051">
        <f t="shared" si="65"/>
        <v>0</v>
      </c>
      <c r="W346" s="1052">
        <f t="shared" si="65"/>
        <v>0</v>
      </c>
      <c r="X346" s="1053">
        <f t="shared" si="65"/>
        <v>54950</v>
      </c>
      <c r="Y346" s="1051">
        <f t="shared" si="65"/>
        <v>0</v>
      </c>
      <c r="Z346" s="1054">
        <f t="shared" si="65"/>
        <v>0</v>
      </c>
      <c r="AA346" s="1008">
        <f t="shared" si="65"/>
        <v>50000</v>
      </c>
      <c r="AB346" s="245"/>
      <c r="AC346" s="245"/>
      <c r="AD346" s="245"/>
      <c r="AE346" s="245"/>
      <c r="AF346" s="245"/>
      <c r="AG346" s="245"/>
      <c r="AH346" s="245"/>
      <c r="AI346" s="245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</row>
    <row r="347" spans="2:27" ht="28.5" customHeight="1" thickBot="1">
      <c r="B347" s="428"/>
      <c r="C347" s="429"/>
      <c r="D347" s="299" t="s">
        <v>120</v>
      </c>
      <c r="E347" s="570"/>
      <c r="F347" s="286"/>
      <c r="G347" s="286"/>
      <c r="H347" s="430"/>
      <c r="I347" s="286"/>
      <c r="J347" s="983"/>
      <c r="K347" s="977"/>
      <c r="L347" s="977"/>
      <c r="M347" s="298"/>
      <c r="N347" s="298"/>
      <c r="O347" s="978"/>
      <c r="P347" s="851"/>
      <c r="Q347" s="979"/>
      <c r="R347" s="978"/>
      <c r="S347" s="980"/>
      <c r="T347" s="981"/>
      <c r="U347" s="982"/>
      <c r="V347" s="980"/>
      <c r="W347" s="981"/>
      <c r="X347" s="982"/>
      <c r="Y347" s="980"/>
      <c r="Z347" s="981"/>
      <c r="AA347" s="979"/>
    </row>
    <row r="348" spans="1:121" s="658" customFormat="1" ht="28.5" customHeight="1">
      <c r="A348" s="464">
        <v>270</v>
      </c>
      <c r="B348" s="689">
        <v>5311</v>
      </c>
      <c r="C348" s="16">
        <v>6123</v>
      </c>
      <c r="D348" s="1366"/>
      <c r="E348" s="1265" t="s">
        <v>416</v>
      </c>
      <c r="F348" s="732"/>
      <c r="G348" s="733">
        <v>426</v>
      </c>
      <c r="H348" s="734">
        <v>2019</v>
      </c>
      <c r="I348" s="735">
        <v>2022</v>
      </c>
      <c r="J348" s="37">
        <f>K348+L348+M348+SUM(R348:AA348)</f>
        <v>3600</v>
      </c>
      <c r="K348" s="736">
        <v>0</v>
      </c>
      <c r="L348" s="737">
        <v>0</v>
      </c>
      <c r="M348" s="135">
        <f>N348+O348+P348+Q348</f>
        <v>0</v>
      </c>
      <c r="N348" s="1335">
        <v>0</v>
      </c>
      <c r="O348" s="1359">
        <f>4200-4200</f>
        <v>0</v>
      </c>
      <c r="P348" s="738">
        <v>0</v>
      </c>
      <c r="Q348" s="739">
        <v>0</v>
      </c>
      <c r="R348" s="740">
        <v>1200</v>
      </c>
      <c r="S348" s="738">
        <v>0</v>
      </c>
      <c r="T348" s="739">
        <v>0</v>
      </c>
      <c r="U348" s="741">
        <v>1200</v>
      </c>
      <c r="V348" s="738">
        <v>0</v>
      </c>
      <c r="W348" s="737">
        <v>0</v>
      </c>
      <c r="X348" s="740">
        <v>1200</v>
      </c>
      <c r="Y348" s="738">
        <v>0</v>
      </c>
      <c r="Z348" s="739">
        <v>0</v>
      </c>
      <c r="AA348" s="742">
        <v>0</v>
      </c>
      <c r="AB348" s="595"/>
      <c r="AC348" s="595"/>
      <c r="AD348" s="595"/>
      <c r="AE348" s="595"/>
      <c r="AF348" s="595"/>
      <c r="AG348" s="595"/>
      <c r="AH348" s="595"/>
      <c r="AI348" s="595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  <c r="DK348" s="21"/>
      <c r="DL348" s="21"/>
      <c r="DM348" s="21"/>
      <c r="DN348" s="21"/>
      <c r="DO348" s="21"/>
      <c r="DP348" s="21"/>
      <c r="DQ348" s="21"/>
    </row>
    <row r="349" spans="1:121" s="658" customFormat="1" ht="28.5" customHeight="1" thickBot="1">
      <c r="A349" s="464">
        <v>130</v>
      </c>
      <c r="B349" s="689">
        <v>5311</v>
      </c>
      <c r="C349" s="16">
        <v>6122</v>
      </c>
      <c r="D349" s="1315">
        <v>6123</v>
      </c>
      <c r="E349" s="579" t="s">
        <v>601</v>
      </c>
      <c r="F349" s="619"/>
      <c r="G349" s="620">
        <v>400</v>
      </c>
      <c r="H349" s="724">
        <v>2019</v>
      </c>
      <c r="I349" s="743">
        <v>2019</v>
      </c>
      <c r="J349" s="72">
        <f>K349+L349+M349+SUM(R349:AA349)</f>
        <v>3260</v>
      </c>
      <c r="K349" s="1055">
        <v>0</v>
      </c>
      <c r="L349" s="1056">
        <v>0</v>
      </c>
      <c r="M349" s="75">
        <f>N349+O349+P349+Q349</f>
        <v>3260</v>
      </c>
      <c r="N349" s="1057">
        <v>2610</v>
      </c>
      <c r="O349" s="77">
        <f>2610-2610</f>
        <v>0</v>
      </c>
      <c r="P349" s="78">
        <v>650</v>
      </c>
      <c r="Q349" s="1056">
        <v>0</v>
      </c>
      <c r="R349" s="1058">
        <v>0</v>
      </c>
      <c r="S349" s="1059">
        <v>0</v>
      </c>
      <c r="T349" s="1060">
        <v>0</v>
      </c>
      <c r="U349" s="1058">
        <v>0</v>
      </c>
      <c r="V349" s="1059">
        <v>0</v>
      </c>
      <c r="W349" s="1060">
        <v>0</v>
      </c>
      <c r="X349" s="1058">
        <v>0</v>
      </c>
      <c r="Y349" s="1059">
        <v>0</v>
      </c>
      <c r="Z349" s="1060">
        <v>0</v>
      </c>
      <c r="AA349" s="1061">
        <v>0</v>
      </c>
      <c r="AB349" s="595"/>
      <c r="AC349" s="595"/>
      <c r="AD349" s="595"/>
      <c r="AE349" s="595"/>
      <c r="AF349" s="595"/>
      <c r="AG349" s="595"/>
      <c r="AH349" s="595"/>
      <c r="AI349" s="595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</row>
    <row r="350" spans="1:121" s="481" customFormat="1" ht="28.5" customHeight="1" thickBot="1">
      <c r="A350" s="283"/>
      <c r="B350" s="725"/>
      <c r="C350" s="309"/>
      <c r="D350" s="309"/>
      <c r="E350" s="1511" t="s">
        <v>115</v>
      </c>
      <c r="F350" s="1511"/>
      <c r="G350" s="1511"/>
      <c r="H350" s="1511"/>
      <c r="I350" s="1511"/>
      <c r="J350" s="317">
        <f aca="true" t="shared" si="66" ref="J350:AA350">SUM(J348:J349)</f>
        <v>6860</v>
      </c>
      <c r="K350" s="317">
        <f t="shared" si="66"/>
        <v>0</v>
      </c>
      <c r="L350" s="317">
        <f t="shared" si="66"/>
        <v>0</v>
      </c>
      <c r="M350" s="317">
        <f t="shared" si="66"/>
        <v>3260</v>
      </c>
      <c r="N350" s="315">
        <f t="shared" si="66"/>
        <v>2610</v>
      </c>
      <c r="O350" s="314">
        <f t="shared" si="66"/>
        <v>0</v>
      </c>
      <c r="P350" s="314">
        <f t="shared" si="66"/>
        <v>650</v>
      </c>
      <c r="Q350" s="316">
        <f t="shared" si="66"/>
        <v>0</v>
      </c>
      <c r="R350" s="313">
        <f t="shared" si="66"/>
        <v>1200</v>
      </c>
      <c r="S350" s="314">
        <f t="shared" si="66"/>
        <v>0</v>
      </c>
      <c r="T350" s="312">
        <f t="shared" si="66"/>
        <v>0</v>
      </c>
      <c r="U350" s="315">
        <f t="shared" si="66"/>
        <v>1200</v>
      </c>
      <c r="V350" s="314">
        <f t="shared" si="66"/>
        <v>0</v>
      </c>
      <c r="W350" s="316">
        <f t="shared" si="66"/>
        <v>0</v>
      </c>
      <c r="X350" s="313">
        <f t="shared" si="66"/>
        <v>1200</v>
      </c>
      <c r="Y350" s="314">
        <f t="shared" si="66"/>
        <v>0</v>
      </c>
      <c r="Z350" s="312">
        <f t="shared" si="66"/>
        <v>0</v>
      </c>
      <c r="AA350" s="988">
        <f t="shared" si="66"/>
        <v>0</v>
      </c>
      <c r="AB350" s="245"/>
      <c r="AC350" s="245"/>
      <c r="AD350" s="245"/>
      <c r="AE350" s="245"/>
      <c r="AF350" s="245"/>
      <c r="AG350" s="245"/>
      <c r="AH350" s="245"/>
      <c r="AI350" s="245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</row>
    <row r="351" spans="2:27" ht="28.5" customHeight="1" thickBot="1">
      <c r="B351" s="428"/>
      <c r="C351" s="429"/>
      <c r="D351" s="299" t="s">
        <v>194</v>
      </c>
      <c r="E351" s="299"/>
      <c r="F351" s="286"/>
      <c r="G351" s="286"/>
      <c r="H351" s="430"/>
      <c r="I351" s="286"/>
      <c r="J351" s="983"/>
      <c r="K351" s="977"/>
      <c r="L351" s="977"/>
      <c r="M351" s="298"/>
      <c r="N351" s="298"/>
      <c r="O351" s="978"/>
      <c r="P351" s="851"/>
      <c r="Q351" s="979"/>
      <c r="R351" s="978"/>
      <c r="S351" s="980"/>
      <c r="T351" s="981"/>
      <c r="U351" s="982"/>
      <c r="V351" s="980"/>
      <c r="W351" s="981"/>
      <c r="X351" s="982"/>
      <c r="Y351" s="980"/>
      <c r="Z351" s="981"/>
      <c r="AA351" s="979"/>
    </row>
    <row r="352" spans="1:121" s="481" customFormat="1" ht="28.5" customHeight="1" thickBot="1">
      <c r="A352" s="744">
        <v>121</v>
      </c>
      <c r="B352" s="342">
        <v>5511</v>
      </c>
      <c r="C352" s="343">
        <v>6121</v>
      </c>
      <c r="D352" s="319"/>
      <c r="E352" s="745" t="s">
        <v>195</v>
      </c>
      <c r="F352" s="22"/>
      <c r="G352" s="23">
        <v>400</v>
      </c>
      <c r="H352" s="23">
        <v>2019</v>
      </c>
      <c r="I352" s="24">
        <v>2019</v>
      </c>
      <c r="J352" s="25">
        <f>K352+L352+M352+SUM(R352:AA352)</f>
        <v>16000</v>
      </c>
      <c r="K352" s="26">
        <v>0</v>
      </c>
      <c r="L352" s="27">
        <v>0</v>
      </c>
      <c r="M352" s="111">
        <f>N352+O352+P352+Q352</f>
        <v>0</v>
      </c>
      <c r="N352" s="29">
        <v>0</v>
      </c>
      <c r="O352" s="30">
        <f>16000-16000</f>
        <v>0</v>
      </c>
      <c r="P352" s="31">
        <v>0</v>
      </c>
      <c r="Q352" s="27">
        <f>16000-16000</f>
        <v>0</v>
      </c>
      <c r="R352" s="32">
        <v>16000</v>
      </c>
      <c r="S352" s="31">
        <v>0</v>
      </c>
      <c r="T352" s="27">
        <v>0</v>
      </c>
      <c r="U352" s="32">
        <v>0</v>
      </c>
      <c r="V352" s="31">
        <v>0</v>
      </c>
      <c r="W352" s="27">
        <v>0</v>
      </c>
      <c r="X352" s="32">
        <v>0</v>
      </c>
      <c r="Y352" s="31">
        <v>0</v>
      </c>
      <c r="Z352" s="27">
        <v>0</v>
      </c>
      <c r="AA352" s="33">
        <v>0</v>
      </c>
      <c r="AB352" s="245"/>
      <c r="AC352" s="245"/>
      <c r="AD352" s="245"/>
      <c r="AE352" s="245"/>
      <c r="AF352" s="245"/>
      <c r="AG352" s="245"/>
      <c r="AH352" s="245"/>
      <c r="AI352" s="245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</row>
    <row r="353" spans="1:121" s="481" customFormat="1" ht="28.5" customHeight="1" thickBot="1">
      <c r="A353" s="487"/>
      <c r="B353" s="472"/>
      <c r="C353" s="472"/>
      <c r="D353" s="726"/>
      <c r="E353" s="1511" t="s">
        <v>116</v>
      </c>
      <c r="F353" s="1511"/>
      <c r="G353" s="1511"/>
      <c r="H353" s="1511"/>
      <c r="I353" s="1512"/>
      <c r="J353" s="1007">
        <f>SUM(J352)</f>
        <v>16000</v>
      </c>
      <c r="K353" s="1007">
        <f>SUM(K352)</f>
        <v>0</v>
      </c>
      <c r="L353" s="986">
        <f>SUM(L352)</f>
        <v>0</v>
      </c>
      <c r="M353" s="1007">
        <f aca="true" t="shared" si="67" ref="M353:AA353">SUM(M352)</f>
        <v>0</v>
      </c>
      <c r="N353" s="1050">
        <f t="shared" si="67"/>
        <v>0</v>
      </c>
      <c r="O353" s="1051">
        <f t="shared" si="67"/>
        <v>0</v>
      </c>
      <c r="P353" s="1051">
        <f t="shared" si="67"/>
        <v>0</v>
      </c>
      <c r="Q353" s="1052">
        <f t="shared" si="67"/>
        <v>0</v>
      </c>
      <c r="R353" s="1053">
        <f t="shared" si="67"/>
        <v>16000</v>
      </c>
      <c r="S353" s="1051">
        <f t="shared" si="67"/>
        <v>0</v>
      </c>
      <c r="T353" s="1054">
        <f t="shared" si="67"/>
        <v>0</v>
      </c>
      <c r="U353" s="1050">
        <f t="shared" si="67"/>
        <v>0</v>
      </c>
      <c r="V353" s="1051">
        <f t="shared" si="67"/>
        <v>0</v>
      </c>
      <c r="W353" s="1052">
        <f t="shared" si="67"/>
        <v>0</v>
      </c>
      <c r="X353" s="1053">
        <f t="shared" si="67"/>
        <v>0</v>
      </c>
      <c r="Y353" s="1051">
        <f t="shared" si="67"/>
        <v>0</v>
      </c>
      <c r="Z353" s="1054">
        <f t="shared" si="67"/>
        <v>0</v>
      </c>
      <c r="AA353" s="1008">
        <f t="shared" si="67"/>
        <v>0</v>
      </c>
      <c r="AB353" s="245"/>
      <c r="AC353" s="245"/>
      <c r="AD353" s="245"/>
      <c r="AE353" s="245"/>
      <c r="AF353" s="245"/>
      <c r="AG353" s="245"/>
      <c r="AH353" s="245"/>
      <c r="AI353" s="245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</row>
    <row r="354" spans="2:27" ht="28.5" customHeight="1" thickBot="1">
      <c r="B354" s="715"/>
      <c r="C354" s="716"/>
      <c r="D354" s="299" t="s">
        <v>119</v>
      </c>
      <c r="E354" s="299"/>
      <c r="F354" s="286"/>
      <c r="G354" s="286"/>
      <c r="H354" s="430"/>
      <c r="I354" s="286"/>
      <c r="J354" s="983"/>
      <c r="K354" s="977"/>
      <c r="L354" s="977"/>
      <c r="M354" s="298"/>
      <c r="N354" s="298"/>
      <c r="O354" s="978"/>
      <c r="P354" s="851"/>
      <c r="Q354" s="979"/>
      <c r="R354" s="978"/>
      <c r="S354" s="980"/>
      <c r="T354" s="981"/>
      <c r="U354" s="982"/>
      <c r="V354" s="980"/>
      <c r="W354" s="981"/>
      <c r="X354" s="982"/>
      <c r="Y354" s="980"/>
      <c r="Z354" s="981"/>
      <c r="AA354" s="990"/>
    </row>
    <row r="355" spans="1:121" s="16" customFormat="1" ht="28.5" customHeight="1">
      <c r="A355" s="431">
        <v>230</v>
      </c>
      <c r="B355" s="342">
        <v>5522</v>
      </c>
      <c r="C355" s="343">
        <v>6121</v>
      </c>
      <c r="D355" s="542">
        <v>8120</v>
      </c>
      <c r="E355" s="543" t="s">
        <v>367</v>
      </c>
      <c r="F355" s="34" t="s">
        <v>254</v>
      </c>
      <c r="G355" s="35">
        <v>400</v>
      </c>
      <c r="H355" s="35">
        <v>2010</v>
      </c>
      <c r="I355" s="153">
        <v>2021</v>
      </c>
      <c r="J355" s="37">
        <f>K355+L355+M355+SUM(R355:AA355)</f>
        <v>234210</v>
      </c>
      <c r="K355" s="38">
        <f>6381+105</f>
        <v>6486</v>
      </c>
      <c r="L355" s="39">
        <v>261</v>
      </c>
      <c r="M355" s="135">
        <f>N355+O355+P355+Q355</f>
        <v>9134</v>
      </c>
      <c r="N355" s="41">
        <v>8134</v>
      </c>
      <c r="O355" s="85">
        <f>5000-4000</f>
        <v>1000</v>
      </c>
      <c r="P355" s="42">
        <v>0</v>
      </c>
      <c r="Q355" s="39">
        <v>0</v>
      </c>
      <c r="R355" s="43">
        <f>80000-30000</f>
        <v>50000</v>
      </c>
      <c r="S355" s="42">
        <v>30000</v>
      </c>
      <c r="T355" s="39">
        <v>0</v>
      </c>
      <c r="U355" s="43">
        <f>24986+30000</f>
        <v>54986</v>
      </c>
      <c r="V355" s="42">
        <v>83343</v>
      </c>
      <c r="W355" s="39">
        <v>0</v>
      </c>
      <c r="X355" s="43">
        <v>0</v>
      </c>
      <c r="Y355" s="42">
        <v>0</v>
      </c>
      <c r="Z355" s="39">
        <v>0</v>
      </c>
      <c r="AA355" s="44">
        <v>0</v>
      </c>
      <c r="AB355" s="245"/>
      <c r="AC355" s="245"/>
      <c r="AD355" s="245"/>
      <c r="AE355" s="245"/>
      <c r="AF355" s="245"/>
      <c r="AG355" s="245"/>
      <c r="AH355" s="245"/>
      <c r="AI355" s="245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</row>
    <row r="356" spans="1:121" s="16" customFormat="1" ht="28.5" customHeight="1">
      <c r="A356" s="431">
        <v>230</v>
      </c>
      <c r="B356" s="342">
        <v>5522</v>
      </c>
      <c r="C356" s="343">
        <v>6121</v>
      </c>
      <c r="D356" s="330">
        <v>8144</v>
      </c>
      <c r="E356" s="197" t="s">
        <v>368</v>
      </c>
      <c r="F356" s="66" t="s">
        <v>254</v>
      </c>
      <c r="G356" s="67">
        <v>400</v>
      </c>
      <c r="H356" s="67">
        <v>2010</v>
      </c>
      <c r="I356" s="155">
        <v>2023</v>
      </c>
      <c r="J356" s="53">
        <f>K356+L356+M356+SUM(R356:AA356)</f>
        <v>71830</v>
      </c>
      <c r="K356" s="54">
        <f>690+80</f>
        <v>770</v>
      </c>
      <c r="L356" s="55">
        <v>60</v>
      </c>
      <c r="M356" s="56">
        <f>N356+O356+P356+Q356</f>
        <v>0</v>
      </c>
      <c r="N356" s="57">
        <v>0</v>
      </c>
      <c r="O356" s="65">
        <v>0</v>
      </c>
      <c r="P356" s="58">
        <v>0</v>
      </c>
      <c r="Q356" s="55">
        <v>0</v>
      </c>
      <c r="R356" s="59">
        <v>500</v>
      </c>
      <c r="S356" s="58">
        <v>0</v>
      </c>
      <c r="T356" s="55">
        <v>0</v>
      </c>
      <c r="U356" s="59">
        <v>0</v>
      </c>
      <c r="V356" s="58">
        <v>0</v>
      </c>
      <c r="W356" s="55">
        <v>0</v>
      </c>
      <c r="X356" s="59">
        <v>10500</v>
      </c>
      <c r="Y356" s="58">
        <v>0</v>
      </c>
      <c r="Z356" s="55">
        <v>0</v>
      </c>
      <c r="AA356" s="60">
        <v>60000</v>
      </c>
      <c r="AB356" s="245"/>
      <c r="AC356" s="245"/>
      <c r="AD356" s="245"/>
      <c r="AE356" s="245"/>
      <c r="AF356" s="245"/>
      <c r="AG356" s="245"/>
      <c r="AH356" s="245"/>
      <c r="AI356" s="245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</row>
    <row r="357" spans="1:121" s="16" customFormat="1" ht="28.5" customHeight="1">
      <c r="A357" s="431">
        <v>230</v>
      </c>
      <c r="B357" s="342">
        <v>5522</v>
      </c>
      <c r="C357" s="343">
        <v>6121</v>
      </c>
      <c r="D357" s="330">
        <v>8177</v>
      </c>
      <c r="E357" s="194" t="s">
        <v>369</v>
      </c>
      <c r="F357" s="66" t="s">
        <v>254</v>
      </c>
      <c r="G357" s="67">
        <v>400</v>
      </c>
      <c r="H357" s="67">
        <v>2010</v>
      </c>
      <c r="I357" s="155">
        <v>2022</v>
      </c>
      <c r="J357" s="53">
        <f>K357+L357+M357+SUM(R357:AA357)</f>
        <v>12862</v>
      </c>
      <c r="K357" s="54">
        <v>302</v>
      </c>
      <c r="L357" s="55">
        <v>60</v>
      </c>
      <c r="M357" s="56">
        <f>N357+O357+P357+Q357</f>
        <v>0</v>
      </c>
      <c r="N357" s="57">
        <v>0</v>
      </c>
      <c r="O357" s="65">
        <v>0</v>
      </c>
      <c r="P357" s="58">
        <v>0</v>
      </c>
      <c r="Q357" s="55">
        <v>0</v>
      </c>
      <c r="R357" s="59">
        <v>500</v>
      </c>
      <c r="S357" s="58">
        <v>0</v>
      </c>
      <c r="T357" s="55">
        <v>0</v>
      </c>
      <c r="U357" s="59">
        <v>2000</v>
      </c>
      <c r="V357" s="58">
        <v>0</v>
      </c>
      <c r="W357" s="55">
        <v>0</v>
      </c>
      <c r="X357" s="59">
        <v>10000</v>
      </c>
      <c r="Y357" s="58">
        <v>0</v>
      </c>
      <c r="Z357" s="55">
        <v>0</v>
      </c>
      <c r="AA357" s="60">
        <v>0</v>
      </c>
      <c r="AB357" s="245"/>
      <c r="AC357" s="245"/>
      <c r="AD357" s="245"/>
      <c r="AE357" s="245"/>
      <c r="AF357" s="245"/>
      <c r="AG357" s="245"/>
      <c r="AH357" s="245"/>
      <c r="AI357" s="245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</row>
    <row r="358" spans="1:121" s="16" customFormat="1" ht="28.5" customHeight="1">
      <c r="A358" s="431">
        <v>230</v>
      </c>
      <c r="B358" s="342">
        <v>5522</v>
      </c>
      <c r="C358" s="343">
        <v>6121</v>
      </c>
      <c r="D358" s="345">
        <v>8185</v>
      </c>
      <c r="E358" s="975" t="s">
        <v>438</v>
      </c>
      <c r="F358" s="66" t="s">
        <v>310</v>
      </c>
      <c r="G358" s="67">
        <v>400</v>
      </c>
      <c r="H358" s="67">
        <v>2017</v>
      </c>
      <c r="I358" s="155">
        <v>2019</v>
      </c>
      <c r="J358" s="53">
        <f>K358+L358+M358+SUM(R358:AA358)</f>
        <v>23350</v>
      </c>
      <c r="K358" s="54">
        <v>0</v>
      </c>
      <c r="L358" s="55">
        <v>6179</v>
      </c>
      <c r="M358" s="56">
        <f>N358+O358+P358+Q358</f>
        <v>17171</v>
      </c>
      <c r="N358" s="57">
        <v>5421</v>
      </c>
      <c r="O358" s="65">
        <v>7675</v>
      </c>
      <c r="P358" s="58">
        <v>0</v>
      </c>
      <c r="Q358" s="55">
        <v>4075</v>
      </c>
      <c r="R358" s="59">
        <v>0</v>
      </c>
      <c r="S358" s="58">
        <v>0</v>
      </c>
      <c r="T358" s="55">
        <v>0</v>
      </c>
      <c r="U358" s="59">
        <v>0</v>
      </c>
      <c r="V358" s="58">
        <v>0</v>
      </c>
      <c r="W358" s="55">
        <v>0</v>
      </c>
      <c r="X358" s="59">
        <v>0</v>
      </c>
      <c r="Y358" s="58">
        <v>0</v>
      </c>
      <c r="Z358" s="55">
        <v>0</v>
      </c>
      <c r="AA358" s="60">
        <v>0</v>
      </c>
      <c r="AB358" s="245"/>
      <c r="AC358" s="245"/>
      <c r="AD358" s="245"/>
      <c r="AE358" s="245"/>
      <c r="AF358" s="245"/>
      <c r="AG358" s="245"/>
      <c r="AH358" s="245"/>
      <c r="AI358" s="245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</row>
    <row r="359" spans="1:121" s="16" customFormat="1" ht="28.5" customHeight="1" thickBot="1">
      <c r="A359" s="449">
        <v>230</v>
      </c>
      <c r="B359" s="547">
        <v>5522</v>
      </c>
      <c r="C359" s="548">
        <v>6121</v>
      </c>
      <c r="D359" s="545">
        <v>8201</v>
      </c>
      <c r="E359" s="196" t="s">
        <v>370</v>
      </c>
      <c r="F359" s="98" t="s">
        <v>254</v>
      </c>
      <c r="G359" s="99">
        <v>400</v>
      </c>
      <c r="H359" s="1293">
        <v>2016</v>
      </c>
      <c r="I359" s="1294">
        <v>2022</v>
      </c>
      <c r="J359" s="45">
        <f>K359+L359+M359+SUM(R359:AA359)</f>
        <v>191970</v>
      </c>
      <c r="K359" s="46">
        <v>2741</v>
      </c>
      <c r="L359" s="47">
        <v>0</v>
      </c>
      <c r="M359" s="82">
        <f>N359+O359+P359+Q359</f>
        <v>3229</v>
      </c>
      <c r="N359" s="49">
        <v>3229</v>
      </c>
      <c r="O359" s="64">
        <v>0</v>
      </c>
      <c r="P359" s="50">
        <v>0</v>
      </c>
      <c r="Q359" s="47">
        <v>0</v>
      </c>
      <c r="R359" s="51">
        <v>6000</v>
      </c>
      <c r="S359" s="50">
        <v>0</v>
      </c>
      <c r="T359" s="47">
        <v>0</v>
      </c>
      <c r="U359" s="51">
        <v>0</v>
      </c>
      <c r="V359" s="50">
        <v>0</v>
      </c>
      <c r="W359" s="47">
        <v>80000</v>
      </c>
      <c r="X359" s="51">
        <v>0</v>
      </c>
      <c r="Y359" s="50">
        <v>0</v>
      </c>
      <c r="Z359" s="47">
        <v>100000</v>
      </c>
      <c r="AA359" s="52">
        <v>0</v>
      </c>
      <c r="AB359" s="245"/>
      <c r="AC359" s="245"/>
      <c r="AD359" s="245"/>
      <c r="AE359" s="245"/>
      <c r="AF359" s="245"/>
      <c r="AG359" s="245"/>
      <c r="AH359" s="245"/>
      <c r="AI359" s="245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</row>
    <row r="360" spans="1:121" s="481" customFormat="1" ht="28.5" customHeight="1" thickBot="1">
      <c r="A360" s="283"/>
      <c r="B360" s="309"/>
      <c r="C360" s="725"/>
      <c r="D360" s="309"/>
      <c r="E360" s="1509" t="s">
        <v>117</v>
      </c>
      <c r="F360" s="1509"/>
      <c r="G360" s="1509"/>
      <c r="H360" s="1509"/>
      <c r="I360" s="1510"/>
      <c r="J360" s="311">
        <f aca="true" t="shared" si="68" ref="J360:AA360">SUM(J355:J359)</f>
        <v>534222</v>
      </c>
      <c r="K360" s="311">
        <f t="shared" si="68"/>
        <v>10299</v>
      </c>
      <c r="L360" s="311">
        <f t="shared" si="68"/>
        <v>6560</v>
      </c>
      <c r="M360" s="311">
        <f t="shared" si="68"/>
        <v>29534</v>
      </c>
      <c r="N360" s="311">
        <f t="shared" si="68"/>
        <v>16784</v>
      </c>
      <c r="O360" s="311">
        <f t="shared" si="68"/>
        <v>8675</v>
      </c>
      <c r="P360" s="311">
        <f t="shared" si="68"/>
        <v>0</v>
      </c>
      <c r="Q360" s="311">
        <f t="shared" si="68"/>
        <v>4075</v>
      </c>
      <c r="R360" s="311">
        <f t="shared" si="68"/>
        <v>57000</v>
      </c>
      <c r="S360" s="311">
        <f t="shared" si="68"/>
        <v>30000</v>
      </c>
      <c r="T360" s="311">
        <f t="shared" si="68"/>
        <v>0</v>
      </c>
      <c r="U360" s="311">
        <f t="shared" si="68"/>
        <v>56986</v>
      </c>
      <c r="V360" s="311">
        <f t="shared" si="68"/>
        <v>83343</v>
      </c>
      <c r="W360" s="311">
        <f t="shared" si="68"/>
        <v>80000</v>
      </c>
      <c r="X360" s="311">
        <f t="shared" si="68"/>
        <v>20500</v>
      </c>
      <c r="Y360" s="311">
        <f t="shared" si="68"/>
        <v>0</v>
      </c>
      <c r="Z360" s="311">
        <f t="shared" si="68"/>
        <v>100000</v>
      </c>
      <c r="AA360" s="317">
        <f t="shared" si="68"/>
        <v>60000</v>
      </c>
      <c r="AB360" s="245"/>
      <c r="AC360" s="245"/>
      <c r="AD360" s="245"/>
      <c r="AE360" s="245"/>
      <c r="AF360" s="245"/>
      <c r="AG360" s="245"/>
      <c r="AH360" s="245"/>
      <c r="AI360" s="245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</row>
    <row r="361" spans="1:35" s="17" customFormat="1" ht="28.5" customHeight="1">
      <c r="A361" s="253"/>
      <c r="B361" s="309"/>
      <c r="C361" s="309"/>
      <c r="D361" s="539" t="s">
        <v>371</v>
      </c>
      <c r="E361" s="539"/>
      <c r="F361" s="310"/>
      <c r="G361" s="310"/>
      <c r="H361" s="310"/>
      <c r="I361" s="310"/>
      <c r="J361" s="318"/>
      <c r="K361" s="318"/>
      <c r="L361" s="318"/>
      <c r="M361" s="318"/>
      <c r="N361" s="318"/>
      <c r="O361" s="318"/>
      <c r="P361" s="318"/>
      <c r="Q361" s="318"/>
      <c r="R361" s="318"/>
      <c r="S361" s="318"/>
      <c r="T361" s="318"/>
      <c r="U361" s="318"/>
      <c r="V361" s="318"/>
      <c r="W361" s="318"/>
      <c r="X361" s="318"/>
      <c r="Y361" s="318"/>
      <c r="Z361" s="318"/>
      <c r="AA361" s="318"/>
      <c r="AB361" s="270"/>
      <c r="AC361" s="270"/>
      <c r="AD361" s="270"/>
      <c r="AE361" s="270"/>
      <c r="AF361" s="270"/>
      <c r="AG361" s="270"/>
      <c r="AH361" s="270"/>
      <c r="AI361" s="270"/>
    </row>
    <row r="362" spans="2:32" ht="28.5" customHeight="1" thickBot="1">
      <c r="B362" s="715"/>
      <c r="C362" s="716"/>
      <c r="D362" s="299" t="s">
        <v>118</v>
      </c>
      <c r="E362" s="299"/>
      <c r="F362" s="286"/>
      <c r="G362" s="286"/>
      <c r="H362" s="430"/>
      <c r="I362" s="286"/>
      <c r="J362" s="983"/>
      <c r="K362" s="977"/>
      <c r="L362" s="977"/>
      <c r="M362" s="298"/>
      <c r="N362" s="298"/>
      <c r="O362" s="978"/>
      <c r="P362" s="851"/>
      <c r="Q362" s="979"/>
      <c r="R362" s="978"/>
      <c r="S362" s="980"/>
      <c r="T362" s="981"/>
      <c r="U362" s="982"/>
      <c r="V362" s="980"/>
      <c r="W362" s="981"/>
      <c r="X362" s="982"/>
      <c r="Y362" s="980"/>
      <c r="Z362" s="981"/>
      <c r="AA362" s="979"/>
      <c r="AB362" s="17"/>
      <c r="AC362" s="17"/>
      <c r="AD362" s="17"/>
      <c r="AE362" s="17"/>
      <c r="AF362" s="17"/>
    </row>
    <row r="363" spans="1:121" s="16" customFormat="1" ht="28.5" customHeight="1">
      <c r="A363" s="431">
        <v>230</v>
      </c>
      <c r="B363" s="342">
        <v>6171</v>
      </c>
      <c r="C363" s="343">
        <v>6121</v>
      </c>
      <c r="D363" s="747">
        <v>8099</v>
      </c>
      <c r="E363" s="1321" t="s">
        <v>151</v>
      </c>
      <c r="F363" s="121" t="s">
        <v>248</v>
      </c>
      <c r="G363" s="35">
        <v>400</v>
      </c>
      <c r="H363" s="35">
        <v>2006</v>
      </c>
      <c r="I363" s="36">
        <v>2019</v>
      </c>
      <c r="J363" s="37">
        <f>K363+L363+M363+SUM(R363:AA363)</f>
        <v>68954</v>
      </c>
      <c r="K363" s="38">
        <v>50724</v>
      </c>
      <c r="L363" s="39">
        <v>9500</v>
      </c>
      <c r="M363" s="97">
        <f>N363+O363+P363+Q363</f>
        <v>8730</v>
      </c>
      <c r="N363" s="41">
        <f>5400+3330</f>
        <v>8730</v>
      </c>
      <c r="O363" s="85">
        <v>0</v>
      </c>
      <c r="P363" s="42">
        <v>0</v>
      </c>
      <c r="Q363" s="39">
        <v>0</v>
      </c>
      <c r="R363" s="43">
        <v>0</v>
      </c>
      <c r="S363" s="42">
        <v>0</v>
      </c>
      <c r="T363" s="39">
        <v>0</v>
      </c>
      <c r="U363" s="43">
        <v>0</v>
      </c>
      <c r="V363" s="42">
        <v>0</v>
      </c>
      <c r="W363" s="39">
        <v>0</v>
      </c>
      <c r="X363" s="43">
        <v>0</v>
      </c>
      <c r="Y363" s="42">
        <v>0</v>
      </c>
      <c r="Z363" s="39">
        <v>0</v>
      </c>
      <c r="AA363" s="44">
        <v>0</v>
      </c>
      <c r="AB363" s="14"/>
      <c r="AC363" s="14"/>
      <c r="AD363" s="14"/>
      <c r="AE363" s="14"/>
      <c r="AF363" s="17"/>
      <c r="AG363" s="245"/>
      <c r="AH363" s="245"/>
      <c r="AI363" s="245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</row>
    <row r="364" spans="1:121" s="16" customFormat="1" ht="28.5" customHeight="1">
      <c r="A364" s="431">
        <v>230</v>
      </c>
      <c r="B364" s="342">
        <v>6171</v>
      </c>
      <c r="C364" s="343">
        <v>6121</v>
      </c>
      <c r="D364" s="748">
        <v>8179</v>
      </c>
      <c r="E364" s="1322" t="s">
        <v>152</v>
      </c>
      <c r="F364" s="83" t="s">
        <v>248</v>
      </c>
      <c r="G364" s="67">
        <v>400</v>
      </c>
      <c r="H364" s="67">
        <v>2014</v>
      </c>
      <c r="I364" s="68">
        <v>2020</v>
      </c>
      <c r="J364" s="53">
        <f>K364+L364+M364+SUM(R364:AA364)</f>
        <v>98155</v>
      </c>
      <c r="K364" s="54">
        <v>27955</v>
      </c>
      <c r="L364" s="55">
        <v>16800</v>
      </c>
      <c r="M364" s="56">
        <f>N364+O364+P364+Q364</f>
        <v>41400</v>
      </c>
      <c r="N364" s="57">
        <f>2200-800</f>
        <v>1400</v>
      </c>
      <c r="O364" s="65">
        <v>40000</v>
      </c>
      <c r="P364" s="58">
        <v>0</v>
      </c>
      <c r="Q364" s="55">
        <v>0</v>
      </c>
      <c r="R364" s="59">
        <v>12000</v>
      </c>
      <c r="S364" s="58">
        <v>0</v>
      </c>
      <c r="T364" s="55">
        <v>0</v>
      </c>
      <c r="U364" s="59">
        <v>0</v>
      </c>
      <c r="V364" s="58">
        <v>0</v>
      </c>
      <c r="W364" s="55">
        <v>0</v>
      </c>
      <c r="X364" s="59">
        <v>0</v>
      </c>
      <c r="Y364" s="58">
        <v>0</v>
      </c>
      <c r="Z364" s="55">
        <v>0</v>
      </c>
      <c r="AA364" s="60">
        <v>0</v>
      </c>
      <c r="AB364" s="245"/>
      <c r="AC364" s="245"/>
      <c r="AD364" s="245"/>
      <c r="AE364" s="245"/>
      <c r="AF364" s="245"/>
      <c r="AG364" s="245"/>
      <c r="AH364" s="245"/>
      <c r="AI364" s="245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</row>
    <row r="365" spans="1:121" s="16" customFormat="1" ht="28.5" customHeight="1">
      <c r="A365" s="431">
        <v>230</v>
      </c>
      <c r="B365" s="342">
        <v>6171</v>
      </c>
      <c r="C365" s="343">
        <v>6121</v>
      </c>
      <c r="D365" s="748">
        <v>8186</v>
      </c>
      <c r="E365" s="1322" t="s">
        <v>153</v>
      </c>
      <c r="F365" s="83" t="s">
        <v>248</v>
      </c>
      <c r="G365" s="67">
        <v>400</v>
      </c>
      <c r="H365" s="67">
        <v>2013</v>
      </c>
      <c r="I365" s="68">
        <v>2019</v>
      </c>
      <c r="J365" s="53">
        <f aca="true" t="shared" si="69" ref="J365:J370">K365+L365+M365+SUM(R365:AA365)</f>
        <v>10350</v>
      </c>
      <c r="K365" s="54">
        <v>530</v>
      </c>
      <c r="L365" s="55">
        <v>8820</v>
      </c>
      <c r="M365" s="56">
        <f aca="true" t="shared" si="70" ref="M365:M370">N365+O365+P365+Q365</f>
        <v>1000</v>
      </c>
      <c r="N365" s="57">
        <v>0</v>
      </c>
      <c r="O365" s="65">
        <v>1000</v>
      </c>
      <c r="P365" s="58">
        <v>0</v>
      </c>
      <c r="Q365" s="55">
        <v>0</v>
      </c>
      <c r="R365" s="59">
        <v>0</v>
      </c>
      <c r="S365" s="58">
        <v>0</v>
      </c>
      <c r="T365" s="55">
        <v>0</v>
      </c>
      <c r="U365" s="59">
        <v>0</v>
      </c>
      <c r="V365" s="58">
        <v>0</v>
      </c>
      <c r="W365" s="55">
        <v>0</v>
      </c>
      <c r="X365" s="59">
        <v>0</v>
      </c>
      <c r="Y365" s="58">
        <v>0</v>
      </c>
      <c r="Z365" s="55">
        <v>0</v>
      </c>
      <c r="AA365" s="60">
        <v>0</v>
      </c>
      <c r="AB365" s="245"/>
      <c r="AC365" s="245"/>
      <c r="AD365" s="245"/>
      <c r="AE365" s="245"/>
      <c r="AF365" s="245"/>
      <c r="AG365" s="245"/>
      <c r="AH365" s="245"/>
      <c r="AI365" s="245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</row>
    <row r="366" spans="1:121" s="16" customFormat="1" ht="28.5" customHeight="1">
      <c r="A366" s="431">
        <v>230</v>
      </c>
      <c r="B366" s="342">
        <v>6171</v>
      </c>
      <c r="C366" s="343">
        <v>6121</v>
      </c>
      <c r="D366" s="749">
        <v>8192</v>
      </c>
      <c r="E366" s="1323" t="s">
        <v>154</v>
      </c>
      <c r="F366" s="81" t="s">
        <v>248</v>
      </c>
      <c r="G366" s="62">
        <v>400</v>
      </c>
      <c r="H366" s="62">
        <v>2016</v>
      </c>
      <c r="I366" s="63">
        <v>2019</v>
      </c>
      <c r="J366" s="45">
        <f t="shared" si="69"/>
        <v>31734</v>
      </c>
      <c r="K366" s="46">
        <v>525</v>
      </c>
      <c r="L366" s="47">
        <v>1309</v>
      </c>
      <c r="M366" s="82">
        <f t="shared" si="70"/>
        <v>29900</v>
      </c>
      <c r="N366" s="49">
        <f>8643+5571</f>
        <v>14214</v>
      </c>
      <c r="O366" s="64">
        <v>15686</v>
      </c>
      <c r="P366" s="50">
        <v>0</v>
      </c>
      <c r="Q366" s="47">
        <v>0</v>
      </c>
      <c r="R366" s="51">
        <v>0</v>
      </c>
      <c r="S366" s="50">
        <v>0</v>
      </c>
      <c r="T366" s="47">
        <v>0</v>
      </c>
      <c r="U366" s="51">
        <v>0</v>
      </c>
      <c r="V366" s="50">
        <v>0</v>
      </c>
      <c r="W366" s="47">
        <v>0</v>
      </c>
      <c r="X366" s="51">
        <v>0</v>
      </c>
      <c r="Y366" s="50">
        <v>0</v>
      </c>
      <c r="Z366" s="47">
        <v>0</v>
      </c>
      <c r="AA366" s="52">
        <v>0</v>
      </c>
      <c r="AB366" s="245"/>
      <c r="AC366" s="245"/>
      <c r="AD366" s="245"/>
      <c r="AE366" s="245"/>
      <c r="AF366" s="245"/>
      <c r="AG366" s="245"/>
      <c r="AH366" s="245"/>
      <c r="AI366" s="245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</row>
    <row r="367" spans="1:121" s="16" customFormat="1" ht="28.5" customHeight="1">
      <c r="A367" s="431">
        <v>230</v>
      </c>
      <c r="B367" s="342">
        <v>6171</v>
      </c>
      <c r="C367" s="343">
        <v>6121</v>
      </c>
      <c r="D367" s="330">
        <v>8193</v>
      </c>
      <c r="E367" s="193" t="s">
        <v>155</v>
      </c>
      <c r="F367" s="83" t="s">
        <v>248</v>
      </c>
      <c r="G367" s="67">
        <v>400</v>
      </c>
      <c r="H367" s="750">
        <v>2016</v>
      </c>
      <c r="I367" s="722">
        <v>2020</v>
      </c>
      <c r="J367" s="53">
        <f t="shared" si="69"/>
        <v>5500</v>
      </c>
      <c r="K367" s="54">
        <v>0</v>
      </c>
      <c r="L367" s="55">
        <v>0</v>
      </c>
      <c r="M367" s="136">
        <f t="shared" si="70"/>
        <v>500</v>
      </c>
      <c r="N367" s="137">
        <v>0</v>
      </c>
      <c r="O367" s="65">
        <v>500</v>
      </c>
      <c r="P367" s="58">
        <v>0</v>
      </c>
      <c r="Q367" s="55">
        <v>0</v>
      </c>
      <c r="R367" s="59">
        <v>5000</v>
      </c>
      <c r="S367" s="58">
        <v>0</v>
      </c>
      <c r="T367" s="55">
        <v>0</v>
      </c>
      <c r="U367" s="59">
        <v>0</v>
      </c>
      <c r="V367" s="58">
        <v>0</v>
      </c>
      <c r="W367" s="55">
        <v>0</v>
      </c>
      <c r="X367" s="59">
        <v>0</v>
      </c>
      <c r="Y367" s="58">
        <v>0</v>
      </c>
      <c r="Z367" s="55">
        <v>0</v>
      </c>
      <c r="AA367" s="60">
        <v>0</v>
      </c>
      <c r="AB367" s="245"/>
      <c r="AC367" s="245"/>
      <c r="AD367" s="245"/>
      <c r="AE367" s="245"/>
      <c r="AF367" s="245"/>
      <c r="AG367" s="245"/>
      <c r="AH367" s="245"/>
      <c r="AI367" s="245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</row>
    <row r="368" spans="1:121" s="16" customFormat="1" ht="28.5" customHeight="1">
      <c r="A368" s="431">
        <v>230</v>
      </c>
      <c r="B368" s="342">
        <v>6171</v>
      </c>
      <c r="C368" s="343">
        <v>6121</v>
      </c>
      <c r="D368" s="330">
        <v>8198</v>
      </c>
      <c r="E368" s="1324" t="s">
        <v>570</v>
      </c>
      <c r="F368" s="83" t="s">
        <v>248</v>
      </c>
      <c r="G368" s="67">
        <v>400</v>
      </c>
      <c r="H368" s="750">
        <v>2016</v>
      </c>
      <c r="I368" s="722">
        <v>2019</v>
      </c>
      <c r="J368" s="53">
        <f t="shared" si="69"/>
        <v>80152</v>
      </c>
      <c r="K368" s="173"/>
      <c r="L368" s="55">
        <v>0</v>
      </c>
      <c r="M368" s="136">
        <f t="shared" si="70"/>
        <v>2152</v>
      </c>
      <c r="N368" s="137">
        <v>1152</v>
      </c>
      <c r="O368" s="65">
        <f>2000-1000</f>
        <v>1000</v>
      </c>
      <c r="P368" s="91"/>
      <c r="Q368" s="55">
        <v>0</v>
      </c>
      <c r="R368" s="92">
        <v>10000</v>
      </c>
      <c r="S368" s="58">
        <v>0</v>
      </c>
      <c r="T368" s="55">
        <v>0</v>
      </c>
      <c r="U368" s="92">
        <v>20000</v>
      </c>
      <c r="V368" s="58">
        <v>0</v>
      </c>
      <c r="W368" s="55">
        <v>0</v>
      </c>
      <c r="X368" s="92">
        <v>20000</v>
      </c>
      <c r="Y368" s="91">
        <v>0</v>
      </c>
      <c r="Z368" s="55">
        <v>0</v>
      </c>
      <c r="AA368" s="60">
        <v>28000</v>
      </c>
      <c r="AB368" s="245"/>
      <c r="AC368" s="245"/>
      <c r="AD368" s="245"/>
      <c r="AE368" s="245"/>
      <c r="AF368" s="245"/>
      <c r="AG368" s="245"/>
      <c r="AH368" s="245"/>
      <c r="AI368" s="245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</row>
    <row r="369" spans="1:121" s="16" customFormat="1" ht="28.5" customHeight="1">
      <c r="A369" s="431">
        <v>230</v>
      </c>
      <c r="B369" s="342">
        <v>6171</v>
      </c>
      <c r="C369" s="343">
        <v>6121</v>
      </c>
      <c r="D369" s="330">
        <v>8206</v>
      </c>
      <c r="E369" s="193" t="s">
        <v>372</v>
      </c>
      <c r="F369" s="83" t="s">
        <v>248</v>
      </c>
      <c r="G369" s="67">
        <v>400</v>
      </c>
      <c r="H369" s="67">
        <v>2016</v>
      </c>
      <c r="I369" s="155">
        <v>2020</v>
      </c>
      <c r="J369" s="53">
        <f t="shared" si="69"/>
        <v>2500</v>
      </c>
      <c r="K369" s="138">
        <v>0</v>
      </c>
      <c r="L369" s="55">
        <v>0</v>
      </c>
      <c r="M369" s="56">
        <f t="shared" si="70"/>
        <v>500</v>
      </c>
      <c r="N369" s="137">
        <v>0</v>
      </c>
      <c r="O369" s="65">
        <v>500</v>
      </c>
      <c r="P369" s="91">
        <v>0</v>
      </c>
      <c r="Q369" s="55">
        <v>0</v>
      </c>
      <c r="R369" s="92">
        <v>2000</v>
      </c>
      <c r="S369" s="58">
        <v>0</v>
      </c>
      <c r="T369" s="55">
        <v>0</v>
      </c>
      <c r="U369" s="92">
        <v>0</v>
      </c>
      <c r="V369" s="58">
        <v>0</v>
      </c>
      <c r="W369" s="55">
        <v>0</v>
      </c>
      <c r="X369" s="92">
        <v>0</v>
      </c>
      <c r="Y369" s="91">
        <v>0</v>
      </c>
      <c r="Z369" s="55">
        <v>0</v>
      </c>
      <c r="AA369" s="60">
        <v>0</v>
      </c>
      <c r="AB369" s="245"/>
      <c r="AC369" s="245"/>
      <c r="AD369" s="245"/>
      <c r="AE369" s="245"/>
      <c r="AF369" s="245"/>
      <c r="AG369" s="245"/>
      <c r="AH369" s="245"/>
      <c r="AI369" s="245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</row>
    <row r="370" spans="1:121" s="16" customFormat="1" ht="28.5" customHeight="1">
      <c r="A370" s="431">
        <v>230</v>
      </c>
      <c r="B370" s="342">
        <v>6171</v>
      </c>
      <c r="C370" s="343">
        <v>6121</v>
      </c>
      <c r="D370" s="330">
        <v>8221</v>
      </c>
      <c r="E370" s="193" t="s">
        <v>156</v>
      </c>
      <c r="F370" s="83" t="s">
        <v>248</v>
      </c>
      <c r="G370" s="67">
        <v>400</v>
      </c>
      <c r="H370" s="67">
        <v>2019</v>
      </c>
      <c r="I370" s="417">
        <v>2021</v>
      </c>
      <c r="J370" s="53">
        <f t="shared" si="69"/>
        <v>30650</v>
      </c>
      <c r="K370" s="173">
        <v>0</v>
      </c>
      <c r="L370" s="55">
        <v>0</v>
      </c>
      <c r="M370" s="56">
        <f t="shared" si="70"/>
        <v>650</v>
      </c>
      <c r="N370" s="137">
        <v>150</v>
      </c>
      <c r="O370" s="65">
        <v>500</v>
      </c>
      <c r="P370" s="91">
        <v>0</v>
      </c>
      <c r="Q370" s="55">
        <v>0</v>
      </c>
      <c r="R370" s="92">
        <v>10000</v>
      </c>
      <c r="S370" s="58">
        <v>0</v>
      </c>
      <c r="T370" s="55">
        <v>0</v>
      </c>
      <c r="U370" s="92">
        <v>10000</v>
      </c>
      <c r="V370" s="58">
        <v>0</v>
      </c>
      <c r="W370" s="55">
        <v>0</v>
      </c>
      <c r="X370" s="92">
        <v>10000</v>
      </c>
      <c r="Y370" s="91">
        <v>0</v>
      </c>
      <c r="Z370" s="55">
        <v>0</v>
      </c>
      <c r="AA370" s="60">
        <v>0</v>
      </c>
      <c r="AB370" s="245"/>
      <c r="AC370" s="245"/>
      <c r="AD370" s="245"/>
      <c r="AE370" s="245"/>
      <c r="AF370" s="245"/>
      <c r="AG370" s="245"/>
      <c r="AH370" s="245"/>
      <c r="AI370" s="245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</row>
    <row r="371" spans="1:35" s="17" customFormat="1" ht="28.5" customHeight="1">
      <c r="A371" s="431">
        <v>230</v>
      </c>
      <c r="B371" s="454">
        <v>6211</v>
      </c>
      <c r="C371" s="758">
        <v>6121</v>
      </c>
      <c r="D371" s="1411">
        <v>8245</v>
      </c>
      <c r="E371" s="69" t="s">
        <v>158</v>
      </c>
      <c r="F371" s="66" t="s">
        <v>248</v>
      </c>
      <c r="G371" s="67">
        <v>400</v>
      </c>
      <c r="H371" s="67">
        <v>2018</v>
      </c>
      <c r="I371" s="68">
        <v>2023</v>
      </c>
      <c r="J371" s="53">
        <f>K371+L371+M371+SUM(R371:AA371)</f>
        <v>33500</v>
      </c>
      <c r="K371" s="54">
        <v>0</v>
      </c>
      <c r="L371" s="55">
        <v>0</v>
      </c>
      <c r="M371" s="56">
        <f>N371+O371+P371+Q371</f>
        <v>500</v>
      </c>
      <c r="N371" s="57">
        <v>0</v>
      </c>
      <c r="O371" s="65">
        <v>500</v>
      </c>
      <c r="P371" s="58">
        <v>0</v>
      </c>
      <c r="Q371" s="55">
        <v>0</v>
      </c>
      <c r="R371" s="59">
        <v>3000</v>
      </c>
      <c r="S371" s="58">
        <v>0</v>
      </c>
      <c r="T371" s="55">
        <v>0</v>
      </c>
      <c r="U371" s="59">
        <v>20000</v>
      </c>
      <c r="V371" s="58">
        <v>0</v>
      </c>
      <c r="W371" s="55">
        <v>0</v>
      </c>
      <c r="X371" s="59">
        <v>10000</v>
      </c>
      <c r="Y371" s="58">
        <v>0</v>
      </c>
      <c r="Z371" s="55">
        <v>0</v>
      </c>
      <c r="AA371" s="60">
        <v>0</v>
      </c>
      <c r="AB371" s="270"/>
      <c r="AC371" s="270"/>
      <c r="AD371" s="270"/>
      <c r="AE371" s="270"/>
      <c r="AF371" s="270"/>
      <c r="AG371" s="270"/>
      <c r="AH371" s="270"/>
      <c r="AI371" s="270"/>
    </row>
    <row r="372" spans="1:121" s="16" customFormat="1" ht="28.5" customHeight="1">
      <c r="A372" s="431">
        <v>230</v>
      </c>
      <c r="B372" s="454">
        <v>6171</v>
      </c>
      <c r="C372" s="455">
        <v>6121</v>
      </c>
      <c r="D372" s="330"/>
      <c r="E372" s="193" t="s">
        <v>157</v>
      </c>
      <c r="F372" s="83" t="s">
        <v>248</v>
      </c>
      <c r="G372" s="67">
        <v>400</v>
      </c>
      <c r="H372" s="67">
        <v>2018</v>
      </c>
      <c r="I372" s="68">
        <v>2025</v>
      </c>
      <c r="J372" s="53">
        <f aca="true" t="shared" si="71" ref="J372:J377">K372+L372+M372+SUM(R372:AA372)</f>
        <v>1000500</v>
      </c>
      <c r="K372" s="54">
        <v>0</v>
      </c>
      <c r="L372" s="55">
        <v>0</v>
      </c>
      <c r="M372" s="56">
        <f aca="true" t="shared" si="72" ref="M372:M377">N372+O372+P372+Q372</f>
        <v>500</v>
      </c>
      <c r="N372" s="57">
        <v>0</v>
      </c>
      <c r="O372" s="65">
        <v>500</v>
      </c>
      <c r="P372" s="58">
        <v>0</v>
      </c>
      <c r="Q372" s="55">
        <v>0</v>
      </c>
      <c r="R372" s="59">
        <f>300000-290000</f>
        <v>10000</v>
      </c>
      <c r="S372" s="58">
        <v>0</v>
      </c>
      <c r="T372" s="55">
        <v>0</v>
      </c>
      <c r="U372" s="59">
        <v>200000</v>
      </c>
      <c r="V372" s="58">
        <v>0</v>
      </c>
      <c r="W372" s="55">
        <v>0</v>
      </c>
      <c r="X372" s="59">
        <v>200000</v>
      </c>
      <c r="Y372" s="58">
        <v>0</v>
      </c>
      <c r="Z372" s="55">
        <v>0</v>
      </c>
      <c r="AA372" s="60">
        <v>590000</v>
      </c>
      <c r="AB372" s="17"/>
      <c r="AC372" s="17"/>
      <c r="AD372" s="17"/>
      <c r="AE372" s="17"/>
      <c r="AF372" s="17"/>
      <c r="AG372" s="245"/>
      <c r="AH372" s="245"/>
      <c r="AI372" s="245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</row>
    <row r="373" spans="1:121" s="16" customFormat="1" ht="28.5" customHeight="1">
      <c r="A373" s="464">
        <v>130</v>
      </c>
      <c r="B373" s="689">
        <v>6171</v>
      </c>
      <c r="C373" s="467"/>
      <c r="D373" s="460">
        <v>5044</v>
      </c>
      <c r="E373" s="1412" t="s">
        <v>590</v>
      </c>
      <c r="F373" s="1413"/>
      <c r="G373" s="1414">
        <v>400</v>
      </c>
      <c r="H373" s="86">
        <v>2019</v>
      </c>
      <c r="I373" s="757">
        <v>2019</v>
      </c>
      <c r="J373" s="53">
        <f t="shared" si="71"/>
        <v>24830</v>
      </c>
      <c r="K373" s="54">
        <v>0</v>
      </c>
      <c r="L373" s="55">
        <v>0</v>
      </c>
      <c r="M373" s="56">
        <f t="shared" si="72"/>
        <v>24830</v>
      </c>
      <c r="N373" s="57">
        <v>3000</v>
      </c>
      <c r="O373" s="1062">
        <f>22300-3000-1900</f>
        <v>17400</v>
      </c>
      <c r="P373" s="58">
        <v>0</v>
      </c>
      <c r="Q373" s="1063">
        <v>4430</v>
      </c>
      <c r="R373" s="1064">
        <v>0</v>
      </c>
      <c r="S373" s="58">
        <v>0</v>
      </c>
      <c r="T373" s="55">
        <v>0</v>
      </c>
      <c r="U373" s="92">
        <v>0</v>
      </c>
      <c r="V373" s="58">
        <v>0</v>
      </c>
      <c r="W373" s="55">
        <v>0</v>
      </c>
      <c r="X373" s="92">
        <v>0</v>
      </c>
      <c r="Y373" s="58">
        <v>0</v>
      </c>
      <c r="Z373" s="55">
        <v>0</v>
      </c>
      <c r="AA373" s="60">
        <v>0</v>
      </c>
      <c r="AB373" s="245"/>
      <c r="AC373" s="245"/>
      <c r="AD373" s="245"/>
      <c r="AE373" s="245"/>
      <c r="AF373" s="245"/>
      <c r="AG373" s="245"/>
      <c r="AH373" s="245"/>
      <c r="AI373" s="245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</row>
    <row r="374" spans="1:121" s="16" customFormat="1" ht="28.5" customHeight="1">
      <c r="A374" s="464">
        <v>130</v>
      </c>
      <c r="B374" s="689">
        <v>6171</v>
      </c>
      <c r="C374" s="467"/>
      <c r="D374" s="641"/>
      <c r="E374" s="1325" t="s">
        <v>590</v>
      </c>
      <c r="F374" s="751"/>
      <c r="G374" s="752">
        <v>400</v>
      </c>
      <c r="H374" s="332">
        <v>2019</v>
      </c>
      <c r="I374" s="753">
        <v>2020</v>
      </c>
      <c r="J374" s="53">
        <f t="shared" si="71"/>
        <v>3545</v>
      </c>
      <c r="K374" s="54"/>
      <c r="L374" s="55"/>
      <c r="M374" s="56">
        <f t="shared" si="72"/>
        <v>3545</v>
      </c>
      <c r="N374" s="57">
        <v>3545</v>
      </c>
      <c r="O374" s="1062">
        <v>0</v>
      </c>
      <c r="P374" s="58">
        <v>0</v>
      </c>
      <c r="Q374" s="1063">
        <v>0</v>
      </c>
      <c r="R374" s="1064">
        <v>0</v>
      </c>
      <c r="S374" s="58">
        <v>0</v>
      </c>
      <c r="T374" s="55">
        <v>0</v>
      </c>
      <c r="U374" s="140">
        <v>0</v>
      </c>
      <c r="V374" s="58">
        <v>0</v>
      </c>
      <c r="W374" s="55">
        <v>0</v>
      </c>
      <c r="X374" s="140">
        <v>0</v>
      </c>
      <c r="Y374" s="58">
        <v>0</v>
      </c>
      <c r="Z374" s="55">
        <v>0</v>
      </c>
      <c r="AA374" s="60">
        <v>0</v>
      </c>
      <c r="AB374" s="245"/>
      <c r="AC374" s="245"/>
      <c r="AD374" s="245"/>
      <c r="AE374" s="245"/>
      <c r="AF374" s="245"/>
      <c r="AG374" s="245"/>
      <c r="AH374" s="245"/>
      <c r="AI374" s="245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</row>
    <row r="375" spans="1:121" s="16" customFormat="1" ht="28.5" customHeight="1">
      <c r="A375" s="464">
        <v>136</v>
      </c>
      <c r="B375" s="689">
        <v>6171</v>
      </c>
      <c r="C375" s="467"/>
      <c r="D375" s="754"/>
      <c r="E375" s="1326" t="s">
        <v>521</v>
      </c>
      <c r="F375" s="751"/>
      <c r="G375" s="752">
        <v>400</v>
      </c>
      <c r="H375" s="332">
        <v>2019</v>
      </c>
      <c r="I375" s="753">
        <v>2020</v>
      </c>
      <c r="J375" s="53">
        <f t="shared" si="71"/>
        <v>15200</v>
      </c>
      <c r="K375" s="54">
        <v>0</v>
      </c>
      <c r="L375" s="55">
        <v>0</v>
      </c>
      <c r="M375" s="56">
        <f t="shared" si="72"/>
        <v>5400</v>
      </c>
      <c r="N375" s="57">
        <v>0</v>
      </c>
      <c r="O375" s="1062">
        <f>8400-3000</f>
        <v>5400</v>
      </c>
      <c r="P375" s="58">
        <v>0</v>
      </c>
      <c r="Q375" s="1063">
        <v>0</v>
      </c>
      <c r="R375" s="1064">
        <f>6800+3000</f>
        <v>9800</v>
      </c>
      <c r="S375" s="58">
        <v>0</v>
      </c>
      <c r="T375" s="55">
        <v>0</v>
      </c>
      <c r="U375" s="140">
        <v>0</v>
      </c>
      <c r="V375" s="58">
        <v>0</v>
      </c>
      <c r="W375" s="55">
        <v>0</v>
      </c>
      <c r="X375" s="140">
        <v>0</v>
      </c>
      <c r="Y375" s="58">
        <v>0</v>
      </c>
      <c r="Z375" s="55">
        <v>0</v>
      </c>
      <c r="AA375" s="60">
        <v>0</v>
      </c>
      <c r="AB375" s="245"/>
      <c r="AC375" s="245"/>
      <c r="AD375" s="245"/>
      <c r="AE375" s="245"/>
      <c r="AF375" s="245"/>
      <c r="AG375" s="245"/>
      <c r="AH375" s="245"/>
      <c r="AI375" s="245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</row>
    <row r="376" spans="1:121" s="16" customFormat="1" ht="28.5" customHeight="1">
      <c r="A376" s="464">
        <v>133</v>
      </c>
      <c r="B376" s="689">
        <v>6171</v>
      </c>
      <c r="C376" s="467"/>
      <c r="D376" s="754"/>
      <c r="E376" s="1327" t="s">
        <v>375</v>
      </c>
      <c r="F376" s="755"/>
      <c r="G376" s="756">
        <v>400</v>
      </c>
      <c r="H376" s="86">
        <v>2019</v>
      </c>
      <c r="I376" s="757">
        <v>2020</v>
      </c>
      <c r="J376" s="53">
        <f>K376+L376+M376+SUM(R376:AA376)</f>
        <v>47630</v>
      </c>
      <c r="K376" s="54">
        <v>0</v>
      </c>
      <c r="L376" s="55">
        <v>0</v>
      </c>
      <c r="M376" s="56">
        <f>N376+O376+P376+Q376</f>
        <v>28450</v>
      </c>
      <c r="N376" s="57">
        <v>0</v>
      </c>
      <c r="O376" s="65">
        <f>30000-10000-500+8950</f>
        <v>28450</v>
      </c>
      <c r="P376" s="58">
        <v>0</v>
      </c>
      <c r="Q376" s="55">
        <v>0</v>
      </c>
      <c r="R376" s="92">
        <v>7760</v>
      </c>
      <c r="S376" s="58">
        <v>0</v>
      </c>
      <c r="T376" s="55">
        <v>0</v>
      </c>
      <c r="U376" s="92">
        <v>5460</v>
      </c>
      <c r="V376" s="58">
        <v>0</v>
      </c>
      <c r="W376" s="55">
        <v>0</v>
      </c>
      <c r="X376" s="92">
        <v>5960</v>
      </c>
      <c r="Y376" s="58">
        <v>0</v>
      </c>
      <c r="Z376" s="55">
        <v>0</v>
      </c>
      <c r="AA376" s="60">
        <v>0</v>
      </c>
      <c r="AB376" s="245"/>
      <c r="AC376" s="245"/>
      <c r="AD376" s="245"/>
      <c r="AE376" s="245"/>
      <c r="AF376" s="245"/>
      <c r="AG376" s="245"/>
      <c r="AH376" s="245"/>
      <c r="AI376" s="245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</row>
    <row r="377" spans="1:121" s="16" customFormat="1" ht="28.5" customHeight="1" thickBot="1">
      <c r="A377" s="464">
        <v>134</v>
      </c>
      <c r="B377" s="689">
        <v>6171</v>
      </c>
      <c r="C377" s="467"/>
      <c r="D377" s="1328"/>
      <c r="E377" s="1329" t="s">
        <v>522</v>
      </c>
      <c r="F377" s="1330"/>
      <c r="G377" s="669">
        <v>400</v>
      </c>
      <c r="H377" s="1331">
        <v>2019</v>
      </c>
      <c r="I377" s="1332">
        <v>2020</v>
      </c>
      <c r="J377" s="72">
        <f t="shared" si="71"/>
        <v>250</v>
      </c>
      <c r="K377" s="73">
        <v>0</v>
      </c>
      <c r="L377" s="74">
        <v>0</v>
      </c>
      <c r="M377" s="75">
        <f t="shared" si="72"/>
        <v>250</v>
      </c>
      <c r="N377" s="76">
        <v>0</v>
      </c>
      <c r="O377" s="106">
        <v>250</v>
      </c>
      <c r="P377" s="78">
        <v>0</v>
      </c>
      <c r="Q377" s="103">
        <v>0</v>
      </c>
      <c r="R377" s="1333">
        <v>0</v>
      </c>
      <c r="S377" s="78">
        <v>0</v>
      </c>
      <c r="T377" s="74">
        <v>0</v>
      </c>
      <c r="U377" s="1333">
        <v>0</v>
      </c>
      <c r="V377" s="78">
        <v>0</v>
      </c>
      <c r="W377" s="74">
        <v>0</v>
      </c>
      <c r="X377" s="1333">
        <v>0</v>
      </c>
      <c r="Y377" s="78">
        <v>0</v>
      </c>
      <c r="Z377" s="74">
        <v>0</v>
      </c>
      <c r="AA377" s="80">
        <v>0</v>
      </c>
      <c r="AB377" s="245"/>
      <c r="AC377" s="245"/>
      <c r="AD377" s="245"/>
      <c r="AE377" s="245"/>
      <c r="AF377" s="245"/>
      <c r="AG377" s="245"/>
      <c r="AH377" s="245"/>
      <c r="AI377" s="245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</row>
    <row r="378" spans="1:121" s="481" customFormat="1" ht="28.5" customHeight="1" thickBot="1">
      <c r="A378" s="283"/>
      <c r="B378" s="725"/>
      <c r="C378" s="725"/>
      <c r="D378" s="309"/>
      <c r="E378" s="1509" t="s">
        <v>542</v>
      </c>
      <c r="F378" s="1509"/>
      <c r="G378" s="1509"/>
      <c r="H378" s="1509"/>
      <c r="I378" s="1509"/>
      <c r="J378" s="311">
        <f aca="true" t="shared" si="73" ref="J378:AA378">SUM(J363:J377)</f>
        <v>1453450</v>
      </c>
      <c r="K378" s="311">
        <f t="shared" si="73"/>
        <v>79734</v>
      </c>
      <c r="L378" s="312">
        <f t="shared" si="73"/>
        <v>36429</v>
      </c>
      <c r="M378" s="311">
        <f t="shared" si="73"/>
        <v>148307</v>
      </c>
      <c r="N378" s="313">
        <f t="shared" si="73"/>
        <v>32191</v>
      </c>
      <c r="O378" s="314">
        <f t="shared" si="73"/>
        <v>111686</v>
      </c>
      <c r="P378" s="314">
        <f t="shared" si="73"/>
        <v>0</v>
      </c>
      <c r="Q378" s="312">
        <f t="shared" si="73"/>
        <v>4430</v>
      </c>
      <c r="R378" s="315">
        <f t="shared" si="73"/>
        <v>69560</v>
      </c>
      <c r="S378" s="314">
        <f t="shared" si="73"/>
        <v>0</v>
      </c>
      <c r="T378" s="316">
        <f t="shared" si="73"/>
        <v>0</v>
      </c>
      <c r="U378" s="313">
        <f t="shared" si="73"/>
        <v>255460</v>
      </c>
      <c r="V378" s="314">
        <f t="shared" si="73"/>
        <v>0</v>
      </c>
      <c r="W378" s="312">
        <f t="shared" si="73"/>
        <v>0</v>
      </c>
      <c r="X378" s="1039">
        <f t="shared" si="73"/>
        <v>245960</v>
      </c>
      <c r="Y378" s="314">
        <f t="shared" si="73"/>
        <v>0</v>
      </c>
      <c r="Z378" s="312">
        <f t="shared" si="73"/>
        <v>0</v>
      </c>
      <c r="AA378" s="988">
        <f t="shared" si="73"/>
        <v>618000</v>
      </c>
      <c r="AB378" s="245"/>
      <c r="AC378" s="245"/>
      <c r="AD378" s="245"/>
      <c r="AE378" s="245"/>
      <c r="AF378" s="245"/>
      <c r="AG378" s="245"/>
      <c r="AH378" s="245"/>
      <c r="AI378" s="245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</row>
    <row r="379" spans="1:27" ht="28.5" customHeight="1" thickBot="1">
      <c r="A379" s="1513"/>
      <c r="B379" s="1513"/>
      <c r="C379" s="1513"/>
      <c r="D379" s="759" t="s">
        <v>121</v>
      </c>
      <c r="E379" s="759"/>
      <c r="F379" s="286"/>
      <c r="G379" s="286"/>
      <c r="H379" s="430"/>
      <c r="I379" s="286"/>
      <c r="J379" s="983"/>
      <c r="K379" s="977"/>
      <c r="L379" s="977"/>
      <c r="M379" s="298"/>
      <c r="N379" s="298"/>
      <c r="O379" s="978"/>
      <c r="P379" s="851"/>
      <c r="Q379" s="979"/>
      <c r="R379" s="978"/>
      <c r="S379" s="980"/>
      <c r="T379" s="981"/>
      <c r="U379" s="982"/>
      <c r="V379" s="980"/>
      <c r="W379" s="981"/>
      <c r="X379" s="982"/>
      <c r="Y379" s="980"/>
      <c r="Z379" s="981"/>
      <c r="AA379" s="979"/>
    </row>
    <row r="380" spans="1:121" s="679" customFormat="1" ht="28.5" customHeight="1">
      <c r="A380" s="303">
        <v>230</v>
      </c>
      <c r="B380" s="760">
        <v>6409</v>
      </c>
      <c r="C380" s="181">
        <v>6901</v>
      </c>
      <c r="D380" s="1415">
        <v>8064</v>
      </c>
      <c r="E380" s="761" t="s">
        <v>431</v>
      </c>
      <c r="F380" s="762"/>
      <c r="G380" s="684">
        <v>400</v>
      </c>
      <c r="H380" s="684">
        <v>2004</v>
      </c>
      <c r="I380" s="685">
        <v>2022</v>
      </c>
      <c r="J380" s="1065">
        <f>K380+L380+M380+SUM(R380:AA380)</f>
        <v>107992</v>
      </c>
      <c r="K380" s="1066">
        <v>0</v>
      </c>
      <c r="L380" s="1067">
        <v>0</v>
      </c>
      <c r="M380" s="1043">
        <f>N380+O380+P380+Q380</f>
        <v>17992</v>
      </c>
      <c r="N380" s="1068">
        <v>0</v>
      </c>
      <c r="O380" s="1360">
        <f>30000-10000-5000-5000+7992</f>
        <v>17992</v>
      </c>
      <c r="P380" s="1066">
        <v>0</v>
      </c>
      <c r="Q380" s="1069">
        <v>0</v>
      </c>
      <c r="R380" s="1070">
        <v>30000</v>
      </c>
      <c r="S380" s="1071">
        <v>0</v>
      </c>
      <c r="T380" s="1072">
        <v>0</v>
      </c>
      <c r="U380" s="1073">
        <v>30000</v>
      </c>
      <c r="V380" s="1066">
        <v>0</v>
      </c>
      <c r="W380" s="1069">
        <v>0</v>
      </c>
      <c r="X380" s="1070">
        <v>30000</v>
      </c>
      <c r="Y380" s="1066">
        <v>0</v>
      </c>
      <c r="Z380" s="1067">
        <v>0</v>
      </c>
      <c r="AA380" s="1074">
        <v>0</v>
      </c>
      <c r="AB380" s="595"/>
      <c r="AC380" s="595"/>
      <c r="AD380" s="595"/>
      <c r="AE380" s="595"/>
      <c r="AF380" s="595"/>
      <c r="AG380" s="595"/>
      <c r="AH380" s="595"/>
      <c r="AI380" s="595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  <c r="CX380" s="21"/>
      <c r="CY380" s="21"/>
      <c r="CZ380" s="21"/>
      <c r="DA380" s="21"/>
      <c r="DB380" s="21"/>
      <c r="DC380" s="21"/>
      <c r="DD380" s="21"/>
      <c r="DE380" s="21"/>
      <c r="DF380" s="21"/>
      <c r="DG380" s="21"/>
      <c r="DH380" s="21"/>
      <c r="DI380" s="21"/>
      <c r="DJ380" s="21"/>
      <c r="DK380" s="21"/>
      <c r="DL380" s="21"/>
      <c r="DM380" s="21"/>
      <c r="DN380" s="21"/>
      <c r="DO380" s="21"/>
      <c r="DP380" s="21"/>
      <c r="DQ380" s="21"/>
    </row>
    <row r="381" spans="1:121" s="679" customFormat="1" ht="28.5" customHeight="1" thickBot="1">
      <c r="A381" s="303">
        <v>230</v>
      </c>
      <c r="B381" s="760">
        <v>6409</v>
      </c>
      <c r="C381" s="182">
        <v>6901</v>
      </c>
      <c r="D381" s="1416" t="s">
        <v>376</v>
      </c>
      <c r="E381" s="763" t="s">
        <v>377</v>
      </c>
      <c r="F381" s="619"/>
      <c r="G381" s="620">
        <v>400</v>
      </c>
      <c r="H381" s="620">
        <v>2004</v>
      </c>
      <c r="I381" s="764">
        <v>2022</v>
      </c>
      <c r="J381" s="1075">
        <f>K381+L381+M381+SUM(R381:AA381)</f>
        <v>200000</v>
      </c>
      <c r="K381" s="1059">
        <v>0</v>
      </c>
      <c r="L381" s="1056">
        <v>0</v>
      </c>
      <c r="M381" s="1076">
        <f>N381+O381+P381+Q381</f>
        <v>20000</v>
      </c>
      <c r="N381" s="1077">
        <v>0</v>
      </c>
      <c r="O381" s="1361">
        <f>60000-20000-10000-10000</f>
        <v>20000</v>
      </c>
      <c r="P381" s="1059">
        <v>0</v>
      </c>
      <c r="Q381" s="1060">
        <v>0</v>
      </c>
      <c r="R381" s="1058">
        <v>60000</v>
      </c>
      <c r="S381" s="627">
        <v>0</v>
      </c>
      <c r="T381" s="628">
        <v>0</v>
      </c>
      <c r="U381" s="1078">
        <v>60000</v>
      </c>
      <c r="V381" s="1059">
        <v>0</v>
      </c>
      <c r="W381" s="1060">
        <v>0</v>
      </c>
      <c r="X381" s="1058">
        <v>60000</v>
      </c>
      <c r="Y381" s="1059">
        <v>0</v>
      </c>
      <c r="Z381" s="1056">
        <v>0</v>
      </c>
      <c r="AA381" s="1036">
        <v>0</v>
      </c>
      <c r="AB381" s="595"/>
      <c r="AC381" s="595"/>
      <c r="AD381" s="595"/>
      <c r="AE381" s="595"/>
      <c r="AF381" s="595"/>
      <c r="AG381" s="595"/>
      <c r="AH381" s="595"/>
      <c r="AI381" s="595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  <c r="CX381" s="21"/>
      <c r="CY381" s="21"/>
      <c r="CZ381" s="21"/>
      <c r="DA381" s="21"/>
      <c r="DB381" s="21"/>
      <c r="DC381" s="21"/>
      <c r="DD381" s="21"/>
      <c r="DE381" s="21"/>
      <c r="DF381" s="21"/>
      <c r="DG381" s="21"/>
      <c r="DH381" s="21"/>
      <c r="DI381" s="21"/>
      <c r="DJ381" s="21"/>
      <c r="DK381" s="21"/>
      <c r="DL381" s="21"/>
      <c r="DM381" s="21"/>
      <c r="DN381" s="21"/>
      <c r="DO381" s="21"/>
      <c r="DP381" s="21"/>
      <c r="DQ381" s="21"/>
    </row>
    <row r="382" spans="1:121" s="481" customFormat="1" ht="28.5" customHeight="1" thickBot="1">
      <c r="A382" s="283"/>
      <c r="B382" s="309"/>
      <c r="C382" s="309"/>
      <c r="D382" s="726"/>
      <c r="E382" s="1511" t="s">
        <v>122</v>
      </c>
      <c r="F382" s="1511"/>
      <c r="G382" s="1511"/>
      <c r="H382" s="1511"/>
      <c r="I382" s="1512"/>
      <c r="J382" s="515">
        <f aca="true" t="shared" si="74" ref="J382:AA382">SUM(J380:J381)</f>
        <v>307992</v>
      </c>
      <c r="K382" s="514">
        <f t="shared" si="74"/>
        <v>0</v>
      </c>
      <c r="L382" s="473">
        <f t="shared" si="74"/>
        <v>0</v>
      </c>
      <c r="M382" s="515">
        <f t="shared" si="74"/>
        <v>37992</v>
      </c>
      <c r="N382" s="730">
        <f t="shared" si="74"/>
        <v>0</v>
      </c>
      <c r="O382" s="728">
        <f t="shared" si="74"/>
        <v>37992</v>
      </c>
      <c r="P382" s="728">
        <f t="shared" si="74"/>
        <v>0</v>
      </c>
      <c r="Q382" s="731">
        <f t="shared" si="74"/>
        <v>0</v>
      </c>
      <c r="R382" s="727">
        <f t="shared" si="74"/>
        <v>90000</v>
      </c>
      <c r="S382" s="728">
        <f t="shared" si="74"/>
        <v>0</v>
      </c>
      <c r="T382" s="729">
        <f t="shared" si="74"/>
        <v>0</v>
      </c>
      <c r="U382" s="727">
        <f t="shared" si="74"/>
        <v>90000</v>
      </c>
      <c r="V382" s="728">
        <f t="shared" si="74"/>
        <v>0</v>
      </c>
      <c r="W382" s="729">
        <f t="shared" si="74"/>
        <v>0</v>
      </c>
      <c r="X382" s="730">
        <f t="shared" si="74"/>
        <v>90000</v>
      </c>
      <c r="Y382" s="728">
        <f t="shared" si="74"/>
        <v>0</v>
      </c>
      <c r="Z382" s="731">
        <f t="shared" si="74"/>
        <v>0</v>
      </c>
      <c r="AA382" s="515">
        <f t="shared" si="74"/>
        <v>0</v>
      </c>
      <c r="AB382" s="245"/>
      <c r="AC382" s="245"/>
      <c r="AD382" s="245"/>
      <c r="AE382" s="245"/>
      <c r="AF382" s="245"/>
      <c r="AG382" s="245"/>
      <c r="AH382" s="245"/>
      <c r="AI382" s="245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</row>
    <row r="383" spans="2:27" ht="7.5" customHeight="1">
      <c r="B383" s="309"/>
      <c r="C383" s="309"/>
      <c r="D383" s="309"/>
      <c r="E383" s="765"/>
      <c r="F383" s="766"/>
      <c r="G383" s="766"/>
      <c r="H383" s="766"/>
      <c r="I383" s="766"/>
      <c r="J383" s="767"/>
      <c r="K383" s="768"/>
      <c r="L383" s="768"/>
      <c r="M383" s="768"/>
      <c r="N383" s="768"/>
      <c r="O383" s="768"/>
      <c r="P383" s="768"/>
      <c r="Q383" s="768"/>
      <c r="R383" s="768"/>
      <c r="S383" s="768"/>
      <c r="T383" s="768"/>
      <c r="U383" s="768"/>
      <c r="V383" s="768"/>
      <c r="W383" s="768"/>
      <c r="X383" s="768"/>
      <c r="Y383" s="768"/>
      <c r="Z383" s="768"/>
      <c r="AA383" s="768"/>
    </row>
    <row r="384" spans="2:27" ht="7.5" customHeight="1">
      <c r="B384" s="309"/>
      <c r="C384" s="309"/>
      <c r="D384" s="309"/>
      <c r="E384" s="765"/>
      <c r="F384" s="766"/>
      <c r="G384" s="766"/>
      <c r="H384" s="766"/>
      <c r="I384" s="766"/>
      <c r="J384" s="767"/>
      <c r="K384" s="768"/>
      <c r="L384" s="768"/>
      <c r="M384" s="768"/>
      <c r="N384" s="768"/>
      <c r="O384" s="768"/>
      <c r="P384" s="768"/>
      <c r="Q384" s="768"/>
      <c r="R384" s="768"/>
      <c r="S384" s="768"/>
      <c r="T384" s="768"/>
      <c r="U384" s="768"/>
      <c r="V384" s="768"/>
      <c r="W384" s="768"/>
      <c r="X384" s="768"/>
      <c r="Y384" s="768"/>
      <c r="Z384" s="768"/>
      <c r="AA384" s="768"/>
    </row>
  </sheetData>
  <sheetProtection selectLockedCells="1" selectUnlockedCells="1"/>
  <mergeCells count="74">
    <mergeCell ref="E16:I16"/>
    <mergeCell ref="E314:I314"/>
    <mergeCell ref="E193:I193"/>
    <mergeCell ref="E58:I58"/>
    <mergeCell ref="E146:I146"/>
    <mergeCell ref="E160:I160"/>
    <mergeCell ref="E166:I166"/>
    <mergeCell ref="E114:I114"/>
    <mergeCell ref="E127:I127"/>
    <mergeCell ref="E218:I218"/>
    <mergeCell ref="E1:AA1"/>
    <mergeCell ref="D5:E5"/>
    <mergeCell ref="AA7:AA9"/>
    <mergeCell ref="L8:L9"/>
    <mergeCell ref="M8:M9"/>
    <mergeCell ref="K8:K9"/>
    <mergeCell ref="N8:N9"/>
    <mergeCell ref="O8:O9"/>
    <mergeCell ref="P8:P9"/>
    <mergeCell ref="Q8:Q9"/>
    <mergeCell ref="R7:Z7"/>
    <mergeCell ref="E13:I13"/>
    <mergeCell ref="R8:T8"/>
    <mergeCell ref="U8:W8"/>
    <mergeCell ref="H8:H9"/>
    <mergeCell ref="I8:I9"/>
    <mergeCell ref="X8:Z8"/>
    <mergeCell ref="J7:J9"/>
    <mergeCell ref="N7:Q7"/>
    <mergeCell ref="B6:C7"/>
    <mergeCell ref="E7:E9"/>
    <mergeCell ref="F7:F9"/>
    <mergeCell ref="G7:G9"/>
    <mergeCell ref="H7:I7"/>
    <mergeCell ref="B8:B9"/>
    <mergeCell ref="C8:C9"/>
    <mergeCell ref="D8:D9"/>
    <mergeCell ref="E133:I133"/>
    <mergeCell ref="E137:I137"/>
    <mergeCell ref="E163:I163"/>
    <mergeCell ref="E100:I100"/>
    <mergeCell ref="E153:I153"/>
    <mergeCell ref="E141:I141"/>
    <mergeCell ref="E157:I157"/>
    <mergeCell ref="E110:I110"/>
    <mergeCell ref="E106:I106"/>
    <mergeCell ref="E169:I169"/>
    <mergeCell ref="E261:I261"/>
    <mergeCell ref="E282:I282"/>
    <mergeCell ref="E295:I295"/>
    <mergeCell ref="E214:I214"/>
    <mergeCell ref="E190:I190"/>
    <mergeCell ref="E196:I196"/>
    <mergeCell ref="E210:I210"/>
    <mergeCell ref="E174:I174"/>
    <mergeCell ref="E221:I221"/>
    <mergeCell ref="E382:I382"/>
    <mergeCell ref="E360:I360"/>
    <mergeCell ref="E378:I378"/>
    <mergeCell ref="E311:I311"/>
    <mergeCell ref="A379:C379"/>
    <mergeCell ref="E336:I336"/>
    <mergeCell ref="E339:I339"/>
    <mergeCell ref="E342:I342"/>
    <mergeCell ref="E346:I346"/>
    <mergeCell ref="E353:I353"/>
    <mergeCell ref="E225:I225"/>
    <mergeCell ref="E228:I228"/>
    <mergeCell ref="E264:I264"/>
    <mergeCell ref="E298:I298"/>
    <mergeCell ref="E350:I350"/>
    <mergeCell ref="E268:I268"/>
    <mergeCell ref="E286:I286"/>
    <mergeCell ref="E289:I28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45" r:id="rId3"/>
  <rowBreaks count="11" manualBreakCount="11">
    <brk id="38" min="2" max="26" man="1"/>
    <brk id="72" min="2" max="26" man="1"/>
    <brk id="106" min="5" max="26" man="1"/>
    <brk id="141" min="5" max="26" man="1"/>
    <brk id="174" min="5" max="26" man="1"/>
    <brk id="207" min="5" max="26" man="1"/>
    <brk id="242" min="5" max="26" man="1"/>
    <brk id="276" min="5" max="26" man="1"/>
    <brk id="309" min="5" max="26" man="1"/>
    <brk id="342" min="2" max="26" man="1"/>
    <brk id="375" min="2" max="2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P46"/>
  <sheetViews>
    <sheetView zoomScaleSheetLayoutView="70" workbookViewId="0" topLeftCell="C1">
      <selection activeCell="F14" sqref="F14"/>
    </sheetView>
  </sheetViews>
  <sheetFormatPr defaultColWidth="9.140625" defaultRowHeight="12.75"/>
  <cols>
    <col min="1" max="1" width="6.28125" style="144" hidden="1" customWidth="1"/>
    <col min="2" max="2" width="8.140625" style="144" hidden="1" customWidth="1"/>
    <col min="3" max="3" width="6.7109375" style="144" customWidth="1"/>
    <col min="4" max="4" width="46.7109375" style="0" customWidth="1"/>
    <col min="5" max="6" width="4.28125" style="0" customWidth="1"/>
    <col min="7" max="7" width="5.8515625" style="0" customWidth="1"/>
    <col min="8" max="8" width="5.57421875" style="0" customWidth="1"/>
    <col min="9" max="9" width="13.57421875" style="0" customWidth="1"/>
    <col min="10" max="26" width="10.7109375" style="0" customWidth="1"/>
  </cols>
  <sheetData>
    <row r="1" spans="1:26" ht="41.25" customHeight="1">
      <c r="A1" s="1"/>
      <c r="B1" s="142"/>
      <c r="C1" s="143"/>
      <c r="D1" s="1573" t="s">
        <v>631</v>
      </c>
      <c r="E1" s="1573"/>
      <c r="F1" s="1573"/>
      <c r="G1" s="1573"/>
      <c r="H1" s="1573"/>
      <c r="I1" s="1573"/>
      <c r="J1" s="1573"/>
      <c r="K1" s="1573"/>
      <c r="L1" s="1573"/>
      <c r="M1" s="1573"/>
      <c r="N1" s="1573"/>
      <c r="O1" s="1573"/>
      <c r="P1" s="1573"/>
      <c r="Q1" s="1573"/>
      <c r="R1" s="1573"/>
      <c r="S1" s="1573"/>
      <c r="T1" s="1573"/>
      <c r="U1" s="1573"/>
      <c r="V1" s="1573"/>
      <c r="W1" s="1573"/>
      <c r="X1" s="1573"/>
      <c r="Y1" s="1573"/>
      <c r="Z1" s="1573"/>
    </row>
    <row r="2" spans="1:26" s="245" customFormat="1" ht="28.5" customHeight="1">
      <c r="A2" s="246"/>
      <c r="B2" s="769"/>
      <c r="C2" s="769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</row>
    <row r="3" spans="1:26" s="245" customFormat="1" ht="28.5" customHeight="1">
      <c r="A3" s="246"/>
      <c r="B3" s="769"/>
      <c r="C3" s="769"/>
      <c r="D3" s="770" t="s">
        <v>197</v>
      </c>
      <c r="E3" s="771"/>
      <c r="F3" s="772"/>
      <c r="G3" s="773"/>
      <c r="H3" s="773"/>
      <c r="I3" s="774" t="s">
        <v>198</v>
      </c>
      <c r="J3" s="17"/>
      <c r="K3" s="17"/>
      <c r="L3" s="17"/>
      <c r="M3" s="270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</row>
    <row r="4" spans="1:26" s="245" customFormat="1" ht="28.5" customHeight="1">
      <c r="A4" s="246"/>
      <c r="B4" s="769"/>
      <c r="C4" s="769"/>
      <c r="D4" s="770"/>
      <c r="E4" s="771"/>
      <c r="F4" s="775"/>
      <c r="G4" s="773"/>
      <c r="H4" s="773"/>
      <c r="I4" s="774" t="s">
        <v>199</v>
      </c>
      <c r="J4" s="17"/>
      <c r="K4" s="17"/>
      <c r="L4" s="17"/>
      <c r="M4" s="270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0"/>
    </row>
    <row r="5" spans="1:26" s="245" customFormat="1" ht="28.5" customHeight="1" thickBot="1">
      <c r="A5" s="776"/>
      <c r="B5" s="776"/>
      <c r="C5" s="776"/>
      <c r="I5" s="271" t="s">
        <v>201</v>
      </c>
      <c r="J5" s="271" t="s">
        <v>202</v>
      </c>
      <c r="K5" s="271" t="s">
        <v>203</v>
      </c>
      <c r="L5" s="271" t="s">
        <v>204</v>
      </c>
      <c r="M5" s="271" t="s">
        <v>205</v>
      </c>
      <c r="N5" s="271" t="s">
        <v>206</v>
      </c>
      <c r="O5" s="777" t="s">
        <v>207</v>
      </c>
      <c r="P5" s="777" t="s">
        <v>208</v>
      </c>
      <c r="Q5" s="777" t="s">
        <v>209</v>
      </c>
      <c r="R5" s="777" t="s">
        <v>210</v>
      </c>
      <c r="S5" s="777" t="s">
        <v>211</v>
      </c>
      <c r="T5" s="777" t="s">
        <v>212</v>
      </c>
      <c r="U5" s="777" t="s">
        <v>213</v>
      </c>
      <c r="V5" s="777" t="s">
        <v>214</v>
      </c>
      <c r="W5" s="777" t="s">
        <v>215</v>
      </c>
      <c r="X5" s="271" t="s">
        <v>216</v>
      </c>
      <c r="Y5" s="271" t="s">
        <v>217</v>
      </c>
      <c r="Z5" s="271" t="s">
        <v>218</v>
      </c>
    </row>
    <row r="6" spans="1:26" s="245" customFormat="1" ht="28.5" customHeight="1" thickBot="1">
      <c r="A6" s="778"/>
      <c r="B6" s="778"/>
      <c r="C6" s="1574" t="s">
        <v>219</v>
      </c>
      <c r="D6" s="1575" t="s">
        <v>220</v>
      </c>
      <c r="E6" s="1576" t="s">
        <v>221</v>
      </c>
      <c r="F6" s="1577" t="s">
        <v>222</v>
      </c>
      <c r="G6" s="1578" t="s">
        <v>223</v>
      </c>
      <c r="H6" s="1578"/>
      <c r="I6" s="1579" t="s">
        <v>224</v>
      </c>
      <c r="J6" s="779" t="s">
        <v>225</v>
      </c>
      <c r="K6" s="779" t="s">
        <v>226</v>
      </c>
      <c r="L6" s="780" t="s">
        <v>227</v>
      </c>
      <c r="M6" s="1580" t="s">
        <v>11</v>
      </c>
      <c r="N6" s="1580"/>
      <c r="O6" s="1580"/>
      <c r="P6" s="1580"/>
      <c r="Q6" s="1581" t="s">
        <v>12</v>
      </c>
      <c r="R6" s="1581"/>
      <c r="S6" s="1581"/>
      <c r="T6" s="1581"/>
      <c r="U6" s="1581"/>
      <c r="V6" s="1581"/>
      <c r="W6" s="1581"/>
      <c r="X6" s="1581"/>
      <c r="Y6" s="1581"/>
      <c r="Z6" s="1582" t="s">
        <v>551</v>
      </c>
    </row>
    <row r="7" spans="1:26" s="245" customFormat="1" ht="24.75" customHeight="1" thickBot="1">
      <c r="A7" s="1565" t="s">
        <v>228</v>
      </c>
      <c r="B7" s="1566" t="s">
        <v>229</v>
      </c>
      <c r="C7" s="1574"/>
      <c r="D7" s="1575"/>
      <c r="E7" s="1576"/>
      <c r="F7" s="1577"/>
      <c r="G7" s="1567" t="s">
        <v>230</v>
      </c>
      <c r="H7" s="1568" t="s">
        <v>231</v>
      </c>
      <c r="I7" s="1579"/>
      <c r="J7" s="1564" t="s">
        <v>552</v>
      </c>
      <c r="K7" s="1564" t="s">
        <v>553</v>
      </c>
      <c r="L7" s="1561" t="s">
        <v>554</v>
      </c>
      <c r="M7" s="1562" t="s">
        <v>555</v>
      </c>
      <c r="N7" s="1563" t="s">
        <v>232</v>
      </c>
      <c r="O7" s="1571" t="s">
        <v>233</v>
      </c>
      <c r="P7" s="1572" t="s">
        <v>436</v>
      </c>
      <c r="Q7" s="1531" t="s">
        <v>234</v>
      </c>
      <c r="R7" s="1531"/>
      <c r="S7" s="1531"/>
      <c r="T7" s="1569" t="s">
        <v>441</v>
      </c>
      <c r="U7" s="1569"/>
      <c r="V7" s="1569"/>
      <c r="W7" s="1570" t="s">
        <v>13</v>
      </c>
      <c r="X7" s="1570"/>
      <c r="Y7" s="1570"/>
      <c r="Z7" s="1582"/>
    </row>
    <row r="8" spans="1:26" s="245" customFormat="1" ht="46.5" customHeight="1" thickBot="1">
      <c r="A8" s="1565"/>
      <c r="B8" s="1566"/>
      <c r="C8" s="1574"/>
      <c r="D8" s="1575"/>
      <c r="E8" s="1576"/>
      <c r="F8" s="1577"/>
      <c r="G8" s="1567"/>
      <c r="H8" s="1568"/>
      <c r="I8" s="1579"/>
      <c r="J8" s="1564"/>
      <c r="K8" s="1564"/>
      <c r="L8" s="1561"/>
      <c r="M8" s="1562"/>
      <c r="N8" s="1563"/>
      <c r="O8" s="1571"/>
      <c r="P8" s="1572"/>
      <c r="Q8" s="781" t="s">
        <v>235</v>
      </c>
      <c r="R8" s="782" t="s">
        <v>236</v>
      </c>
      <c r="S8" s="783" t="s">
        <v>237</v>
      </c>
      <c r="T8" s="781" t="s">
        <v>235</v>
      </c>
      <c r="U8" s="782" t="s">
        <v>236</v>
      </c>
      <c r="V8" s="783" t="s">
        <v>237</v>
      </c>
      <c r="W8" s="781" t="s">
        <v>235</v>
      </c>
      <c r="X8" s="782" t="s">
        <v>236</v>
      </c>
      <c r="Y8" s="783" t="s">
        <v>237</v>
      </c>
      <c r="Z8" s="1582"/>
    </row>
    <row r="9" spans="1:26" s="245" customFormat="1" ht="28.5" customHeight="1" thickBot="1">
      <c r="A9" s="784"/>
      <c r="B9" s="784"/>
      <c r="C9" s="297"/>
      <c r="D9" s="785" t="s">
        <v>291</v>
      </c>
      <c r="E9" s="786"/>
      <c r="F9" s="786"/>
      <c r="G9" s="787"/>
      <c r="H9" s="786"/>
      <c r="I9" s="788"/>
      <c r="J9" s="789"/>
      <c r="K9" s="789"/>
      <c r="L9" s="790"/>
      <c r="M9" s="790"/>
      <c r="N9" s="791"/>
      <c r="O9" s="790"/>
      <c r="P9" s="792"/>
      <c r="Q9" s="793"/>
      <c r="R9" s="794"/>
      <c r="S9" s="795"/>
      <c r="T9" s="791"/>
      <c r="U9" s="796"/>
      <c r="V9" s="797"/>
      <c r="W9" s="791"/>
      <c r="X9" s="796"/>
      <c r="Y9" s="797"/>
      <c r="Z9" s="792"/>
    </row>
    <row r="10" spans="1:42" s="308" customFormat="1" ht="28.5" customHeight="1">
      <c r="A10" s="798">
        <v>2310</v>
      </c>
      <c r="B10" s="823">
        <v>6121</v>
      </c>
      <c r="C10" s="1206">
        <v>857</v>
      </c>
      <c r="D10" s="1214" t="s">
        <v>292</v>
      </c>
      <c r="E10" s="1166" t="s">
        <v>247</v>
      </c>
      <c r="F10" s="1086">
        <v>400</v>
      </c>
      <c r="G10" s="1086">
        <v>2004</v>
      </c>
      <c r="H10" s="1087">
        <v>2021</v>
      </c>
      <c r="I10" s="1167">
        <f>J10+K10+L10+SUM(Q10:Z10)</f>
        <v>321767</v>
      </c>
      <c r="J10" s="1168">
        <v>7004</v>
      </c>
      <c r="K10" s="1223">
        <v>0</v>
      </c>
      <c r="L10" s="839">
        <f>M10+N10+O10+P10</f>
        <v>9000</v>
      </c>
      <c r="M10" s="1224">
        <v>0</v>
      </c>
      <c r="N10" s="1225">
        <v>9000</v>
      </c>
      <c r="O10" s="1226">
        <v>0</v>
      </c>
      <c r="P10" s="1227">
        <v>0</v>
      </c>
      <c r="Q10" s="1228">
        <v>5763</v>
      </c>
      <c r="R10" s="665">
        <v>0</v>
      </c>
      <c r="S10" s="663">
        <v>0</v>
      </c>
      <c r="T10" s="1229">
        <f>200000-170000</f>
        <v>30000</v>
      </c>
      <c r="U10" s="1226">
        <v>0</v>
      </c>
      <c r="V10" s="1223">
        <v>0</v>
      </c>
      <c r="W10" s="1229">
        <f>100000-40000</f>
        <v>60000</v>
      </c>
      <c r="X10" s="1226">
        <v>0</v>
      </c>
      <c r="Y10" s="1230">
        <v>0</v>
      </c>
      <c r="Z10" s="1231">
        <f>170000+40000</f>
        <v>210000</v>
      </c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</row>
    <row r="11" spans="1:42" s="481" customFormat="1" ht="28.5" customHeight="1">
      <c r="A11" s="799">
        <v>2310</v>
      </c>
      <c r="B11" s="800">
        <v>6121</v>
      </c>
      <c r="C11" s="880">
        <v>7025</v>
      </c>
      <c r="D11" s="1215" t="s">
        <v>293</v>
      </c>
      <c r="E11" s="1169" t="s">
        <v>273</v>
      </c>
      <c r="F11" s="1086">
        <v>400</v>
      </c>
      <c r="G11" s="1086">
        <v>2005</v>
      </c>
      <c r="H11" s="1087">
        <v>2021</v>
      </c>
      <c r="I11" s="1126">
        <f aca="true" t="shared" si="0" ref="I11:I34">J11+K11+L11+SUM(Q11:Z11)</f>
        <v>5770</v>
      </c>
      <c r="J11" s="1137">
        <v>170</v>
      </c>
      <c r="K11" s="805">
        <v>0</v>
      </c>
      <c r="L11" s="839">
        <f aca="true" t="shared" si="1" ref="L11:L34">M11+N11+O11+P11</f>
        <v>130</v>
      </c>
      <c r="M11" s="806">
        <v>130</v>
      </c>
      <c r="N11" s="807">
        <v>0</v>
      </c>
      <c r="O11" s="808">
        <v>0</v>
      </c>
      <c r="P11" s="809">
        <v>0</v>
      </c>
      <c r="Q11" s="810">
        <v>2000</v>
      </c>
      <c r="R11" s="808">
        <v>0</v>
      </c>
      <c r="S11" s="811">
        <v>0</v>
      </c>
      <c r="T11" s="812">
        <v>3470</v>
      </c>
      <c r="U11" s="808">
        <v>0</v>
      </c>
      <c r="V11" s="805">
        <v>0</v>
      </c>
      <c r="W11" s="812"/>
      <c r="X11" s="808">
        <v>0</v>
      </c>
      <c r="Y11" s="846">
        <v>0</v>
      </c>
      <c r="Z11" s="847">
        <v>0</v>
      </c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</row>
    <row r="12" spans="1:42" s="481" customFormat="1" ht="28.5" customHeight="1">
      <c r="A12" s="799">
        <v>2310</v>
      </c>
      <c r="B12" s="800">
        <v>6121</v>
      </c>
      <c r="C12" s="1207">
        <v>7174</v>
      </c>
      <c r="D12" s="1216" t="s">
        <v>258</v>
      </c>
      <c r="E12" s="1170" t="s">
        <v>257</v>
      </c>
      <c r="F12" s="1086">
        <v>400</v>
      </c>
      <c r="G12" s="1093">
        <v>2007</v>
      </c>
      <c r="H12" s="1094">
        <v>2017</v>
      </c>
      <c r="I12" s="1126">
        <f t="shared" si="0"/>
        <v>2419</v>
      </c>
      <c r="J12" s="1137">
        <v>422</v>
      </c>
      <c r="K12" s="805">
        <v>247</v>
      </c>
      <c r="L12" s="839">
        <f t="shared" si="1"/>
        <v>1750</v>
      </c>
      <c r="M12" s="806">
        <f>500+1250</f>
        <v>1750</v>
      </c>
      <c r="N12" s="807">
        <v>0</v>
      </c>
      <c r="O12" s="808">
        <v>0</v>
      </c>
      <c r="P12" s="809">
        <v>0</v>
      </c>
      <c r="Q12" s="810">
        <v>0</v>
      </c>
      <c r="R12" s="808">
        <v>0</v>
      </c>
      <c r="S12" s="811">
        <v>0</v>
      </c>
      <c r="T12" s="812">
        <v>0</v>
      </c>
      <c r="U12" s="808">
        <v>0</v>
      </c>
      <c r="V12" s="805">
        <v>0</v>
      </c>
      <c r="W12" s="812">
        <v>0</v>
      </c>
      <c r="X12" s="808">
        <v>0</v>
      </c>
      <c r="Y12" s="846">
        <v>0</v>
      </c>
      <c r="Z12" s="847">
        <v>0</v>
      </c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</row>
    <row r="13" spans="1:42" s="481" customFormat="1" ht="28.5" customHeight="1">
      <c r="A13" s="799">
        <v>2310</v>
      </c>
      <c r="B13" s="800">
        <v>6121</v>
      </c>
      <c r="C13" s="1208">
        <v>7175</v>
      </c>
      <c r="D13" s="1217" t="s">
        <v>294</v>
      </c>
      <c r="E13" s="1170" t="s">
        <v>286</v>
      </c>
      <c r="F13" s="1086">
        <v>400</v>
      </c>
      <c r="G13" s="1086">
        <v>2006</v>
      </c>
      <c r="H13" s="1087">
        <v>2020</v>
      </c>
      <c r="I13" s="1126">
        <f>J13+K13+L13+SUM(Q13:Z13)</f>
        <v>2111</v>
      </c>
      <c r="J13" s="1137">
        <v>131</v>
      </c>
      <c r="K13" s="805">
        <v>0</v>
      </c>
      <c r="L13" s="839">
        <f t="shared" si="1"/>
        <v>65</v>
      </c>
      <c r="M13" s="806">
        <v>65</v>
      </c>
      <c r="N13" s="807">
        <v>0</v>
      </c>
      <c r="O13" s="808">
        <v>0</v>
      </c>
      <c r="P13" s="809">
        <v>0</v>
      </c>
      <c r="Q13" s="810">
        <v>1915</v>
      </c>
      <c r="R13" s="808">
        <v>0</v>
      </c>
      <c r="S13" s="811">
        <v>0</v>
      </c>
      <c r="T13" s="812">
        <v>0</v>
      </c>
      <c r="U13" s="808">
        <v>0</v>
      </c>
      <c r="V13" s="805">
        <v>0</v>
      </c>
      <c r="W13" s="812">
        <v>0</v>
      </c>
      <c r="X13" s="808">
        <v>0</v>
      </c>
      <c r="Y13" s="846">
        <v>0</v>
      </c>
      <c r="Z13" s="847">
        <v>0</v>
      </c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</row>
    <row r="14" spans="1:42" s="481" customFormat="1" ht="28.5" customHeight="1">
      <c r="A14" s="960">
        <v>2321</v>
      </c>
      <c r="B14" s="961">
        <v>6121</v>
      </c>
      <c r="C14" s="1207">
        <v>7201</v>
      </c>
      <c r="D14" s="1171" t="s">
        <v>562</v>
      </c>
      <c r="E14" s="1172" t="s">
        <v>254</v>
      </c>
      <c r="F14" s="1173">
        <v>400</v>
      </c>
      <c r="G14" s="1173">
        <v>2009</v>
      </c>
      <c r="H14" s="1174">
        <v>2020</v>
      </c>
      <c r="I14" s="1175">
        <f>J14+K14+L14+SUM(Q14:Z14)</f>
        <v>14200</v>
      </c>
      <c r="J14" s="1176">
        <v>0</v>
      </c>
      <c r="K14" s="1177">
        <v>0</v>
      </c>
      <c r="L14" s="1178">
        <f t="shared" si="1"/>
        <v>13200</v>
      </c>
      <c r="M14" s="1179">
        <v>4000</v>
      </c>
      <c r="N14" s="1180">
        <v>9200</v>
      </c>
      <c r="O14" s="1181">
        <v>0</v>
      </c>
      <c r="P14" s="1177">
        <v>0</v>
      </c>
      <c r="Q14" s="1182">
        <v>1000</v>
      </c>
      <c r="R14" s="1181">
        <v>0</v>
      </c>
      <c r="S14" s="1177">
        <v>0</v>
      </c>
      <c r="T14" s="1183">
        <v>0</v>
      </c>
      <c r="U14" s="1181">
        <v>0</v>
      </c>
      <c r="V14" s="1177">
        <v>0</v>
      </c>
      <c r="W14" s="1183">
        <v>0</v>
      </c>
      <c r="X14" s="1181">
        <v>0</v>
      </c>
      <c r="Y14" s="962">
        <v>0</v>
      </c>
      <c r="Z14" s="963">
        <v>0</v>
      </c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</row>
    <row r="15" spans="1:42" s="481" customFormat="1" ht="28.5" customHeight="1">
      <c r="A15" s="799">
        <v>2310</v>
      </c>
      <c r="B15" s="800">
        <v>6121</v>
      </c>
      <c r="C15" s="1209">
        <v>7204</v>
      </c>
      <c r="D15" s="1215" t="s">
        <v>295</v>
      </c>
      <c r="E15" s="1184" t="s">
        <v>296</v>
      </c>
      <c r="F15" s="1093">
        <v>400</v>
      </c>
      <c r="G15" s="1093">
        <v>2003</v>
      </c>
      <c r="H15" s="1094">
        <v>2019</v>
      </c>
      <c r="I15" s="1126">
        <f>J15+K15+L15+SUM(Q15:Z15)</f>
        <v>2101</v>
      </c>
      <c r="J15" s="1137">
        <v>441</v>
      </c>
      <c r="K15" s="805">
        <v>50</v>
      </c>
      <c r="L15" s="839">
        <f t="shared" si="1"/>
        <v>1610</v>
      </c>
      <c r="M15" s="806">
        <v>1610</v>
      </c>
      <c r="N15" s="807">
        <v>0</v>
      </c>
      <c r="O15" s="808">
        <v>0</v>
      </c>
      <c r="P15" s="809">
        <v>0</v>
      </c>
      <c r="Q15" s="810">
        <v>0</v>
      </c>
      <c r="R15" s="808">
        <v>0</v>
      </c>
      <c r="S15" s="811">
        <v>0</v>
      </c>
      <c r="T15" s="812">
        <v>0</v>
      </c>
      <c r="U15" s="808">
        <v>0</v>
      </c>
      <c r="V15" s="805">
        <v>0</v>
      </c>
      <c r="W15" s="812">
        <v>0</v>
      </c>
      <c r="X15" s="808">
        <v>0</v>
      </c>
      <c r="Y15" s="846">
        <v>0</v>
      </c>
      <c r="Z15" s="847">
        <v>0</v>
      </c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</row>
    <row r="16" spans="1:42" s="481" customFormat="1" ht="28.5" customHeight="1">
      <c r="A16" s="799">
        <v>2310</v>
      </c>
      <c r="B16" s="800">
        <v>6121</v>
      </c>
      <c r="C16" s="1209">
        <v>7205</v>
      </c>
      <c r="D16" s="1215" t="s">
        <v>297</v>
      </c>
      <c r="E16" s="1184" t="s">
        <v>248</v>
      </c>
      <c r="F16" s="1093">
        <v>400</v>
      </c>
      <c r="G16" s="1093">
        <v>2005</v>
      </c>
      <c r="H16" s="1094">
        <v>2020</v>
      </c>
      <c r="I16" s="1126">
        <f t="shared" si="0"/>
        <v>6640</v>
      </c>
      <c r="J16" s="1137">
        <v>214</v>
      </c>
      <c r="K16" s="805">
        <v>200</v>
      </c>
      <c r="L16" s="839">
        <f t="shared" si="1"/>
        <v>300</v>
      </c>
      <c r="M16" s="806">
        <v>100</v>
      </c>
      <c r="N16" s="807">
        <v>200</v>
      </c>
      <c r="O16" s="808">
        <v>0</v>
      </c>
      <c r="P16" s="809">
        <v>0</v>
      </c>
      <c r="Q16" s="810">
        <v>5926</v>
      </c>
      <c r="R16" s="808">
        <v>0</v>
      </c>
      <c r="S16" s="811">
        <v>0</v>
      </c>
      <c r="T16" s="812">
        <v>0</v>
      </c>
      <c r="U16" s="808">
        <v>0</v>
      </c>
      <c r="V16" s="805">
        <v>0</v>
      </c>
      <c r="W16" s="812">
        <v>0</v>
      </c>
      <c r="X16" s="808">
        <v>0</v>
      </c>
      <c r="Y16" s="846">
        <v>0</v>
      </c>
      <c r="Z16" s="847">
        <v>0</v>
      </c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</row>
    <row r="17" spans="1:42" s="481" customFormat="1" ht="28.5" customHeight="1">
      <c r="A17" s="799">
        <v>2310</v>
      </c>
      <c r="B17" s="800">
        <v>6121</v>
      </c>
      <c r="C17" s="1209">
        <v>7231</v>
      </c>
      <c r="D17" s="1215" t="s">
        <v>262</v>
      </c>
      <c r="E17" s="1169" t="s">
        <v>263</v>
      </c>
      <c r="F17" s="1086">
        <v>400</v>
      </c>
      <c r="G17" s="1086">
        <v>2012</v>
      </c>
      <c r="H17" s="1087">
        <v>2021</v>
      </c>
      <c r="I17" s="1126">
        <f t="shared" si="0"/>
        <v>12029</v>
      </c>
      <c r="J17" s="1137">
        <v>4027</v>
      </c>
      <c r="K17" s="805">
        <v>2</v>
      </c>
      <c r="L17" s="839">
        <f t="shared" si="1"/>
        <v>2000</v>
      </c>
      <c r="M17" s="806">
        <v>0</v>
      </c>
      <c r="N17" s="807">
        <v>2000</v>
      </c>
      <c r="O17" s="808">
        <v>0</v>
      </c>
      <c r="P17" s="809">
        <v>0</v>
      </c>
      <c r="Q17" s="810">
        <v>2000</v>
      </c>
      <c r="R17" s="808">
        <v>0</v>
      </c>
      <c r="S17" s="811">
        <v>0</v>
      </c>
      <c r="T17" s="812">
        <v>2000</v>
      </c>
      <c r="U17" s="808">
        <v>0</v>
      </c>
      <c r="V17" s="805">
        <v>0</v>
      </c>
      <c r="W17" s="812">
        <v>2000</v>
      </c>
      <c r="X17" s="808">
        <v>0</v>
      </c>
      <c r="Y17" s="846">
        <v>0</v>
      </c>
      <c r="Z17" s="847">
        <v>0</v>
      </c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</row>
    <row r="18" spans="1:42" s="481" customFormat="1" ht="28.5" customHeight="1">
      <c r="A18" s="799">
        <v>2310</v>
      </c>
      <c r="B18" s="800">
        <v>6121</v>
      </c>
      <c r="C18" s="1209">
        <v>7232</v>
      </c>
      <c r="D18" s="1215" t="s">
        <v>556</v>
      </c>
      <c r="E18" s="1169" t="s">
        <v>263</v>
      </c>
      <c r="F18" s="1086">
        <v>400</v>
      </c>
      <c r="G18" s="1086">
        <v>2012</v>
      </c>
      <c r="H18" s="1087">
        <v>2022</v>
      </c>
      <c r="I18" s="1126">
        <f t="shared" si="0"/>
        <v>9800</v>
      </c>
      <c r="J18" s="1137">
        <v>0</v>
      </c>
      <c r="K18" s="805">
        <v>400</v>
      </c>
      <c r="L18" s="839">
        <f t="shared" si="1"/>
        <v>3400</v>
      </c>
      <c r="M18" s="806">
        <v>500</v>
      </c>
      <c r="N18" s="807">
        <v>2900</v>
      </c>
      <c r="O18" s="1089">
        <v>0</v>
      </c>
      <c r="P18" s="1088">
        <v>0</v>
      </c>
      <c r="Q18" s="810">
        <v>2000</v>
      </c>
      <c r="R18" s="1089">
        <v>0</v>
      </c>
      <c r="S18" s="1232">
        <v>0</v>
      </c>
      <c r="T18" s="1091">
        <v>2000</v>
      </c>
      <c r="U18" s="1089">
        <v>0</v>
      </c>
      <c r="V18" s="1090">
        <v>0</v>
      </c>
      <c r="W18" s="812">
        <v>2000</v>
      </c>
      <c r="X18" s="808">
        <v>0</v>
      </c>
      <c r="Y18" s="846">
        <v>0</v>
      </c>
      <c r="Z18" s="847">
        <v>0</v>
      </c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</row>
    <row r="19" spans="1:42" s="481" customFormat="1" ht="28.5" customHeight="1">
      <c r="A19" s="799">
        <v>2310</v>
      </c>
      <c r="B19" s="800">
        <v>6121</v>
      </c>
      <c r="C19" s="1209">
        <v>7233</v>
      </c>
      <c r="D19" s="1215" t="s">
        <v>264</v>
      </c>
      <c r="E19" s="1169" t="s">
        <v>263</v>
      </c>
      <c r="F19" s="1086">
        <v>400</v>
      </c>
      <c r="G19" s="1086">
        <v>2012</v>
      </c>
      <c r="H19" s="1087">
        <v>2021</v>
      </c>
      <c r="I19" s="1126">
        <f t="shared" si="0"/>
        <v>990</v>
      </c>
      <c r="J19" s="1137">
        <v>5</v>
      </c>
      <c r="K19" s="805">
        <v>185</v>
      </c>
      <c r="L19" s="839">
        <f t="shared" si="1"/>
        <v>800</v>
      </c>
      <c r="M19" s="806">
        <v>800</v>
      </c>
      <c r="N19" s="807">
        <v>0</v>
      </c>
      <c r="O19" s="808">
        <v>0</v>
      </c>
      <c r="P19" s="809">
        <v>0</v>
      </c>
      <c r="Q19" s="810">
        <v>0</v>
      </c>
      <c r="R19" s="808">
        <v>0</v>
      </c>
      <c r="S19" s="811">
        <v>0</v>
      </c>
      <c r="T19" s="812">
        <v>0</v>
      </c>
      <c r="U19" s="808">
        <v>0</v>
      </c>
      <c r="V19" s="805">
        <v>0</v>
      </c>
      <c r="W19" s="812">
        <v>0</v>
      </c>
      <c r="X19" s="808">
        <v>0</v>
      </c>
      <c r="Y19" s="846">
        <v>0</v>
      </c>
      <c r="Z19" s="847">
        <v>0</v>
      </c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</row>
    <row r="20" spans="1:42" s="481" customFormat="1" ht="28.5" customHeight="1">
      <c r="A20" s="799">
        <v>2310</v>
      </c>
      <c r="B20" s="800">
        <v>6121</v>
      </c>
      <c r="C20" s="1209">
        <v>7234</v>
      </c>
      <c r="D20" s="1215" t="s">
        <v>265</v>
      </c>
      <c r="E20" s="1170" t="s">
        <v>263</v>
      </c>
      <c r="F20" s="1093">
        <v>400</v>
      </c>
      <c r="G20" s="1093">
        <v>2012</v>
      </c>
      <c r="H20" s="1094">
        <v>2022</v>
      </c>
      <c r="I20" s="1126">
        <f t="shared" si="0"/>
        <v>2750</v>
      </c>
      <c r="J20" s="1137">
        <v>0</v>
      </c>
      <c r="K20" s="805">
        <v>250</v>
      </c>
      <c r="L20" s="839">
        <f t="shared" si="1"/>
        <v>1000</v>
      </c>
      <c r="M20" s="806">
        <v>1000</v>
      </c>
      <c r="N20" s="807">
        <v>0</v>
      </c>
      <c r="O20" s="808">
        <v>0</v>
      </c>
      <c r="P20" s="809">
        <v>0</v>
      </c>
      <c r="Q20" s="810">
        <v>500</v>
      </c>
      <c r="R20" s="808">
        <v>0</v>
      </c>
      <c r="S20" s="811">
        <v>0</v>
      </c>
      <c r="T20" s="812">
        <v>500</v>
      </c>
      <c r="U20" s="808">
        <v>0</v>
      </c>
      <c r="V20" s="805">
        <v>0</v>
      </c>
      <c r="W20" s="812">
        <v>500</v>
      </c>
      <c r="X20" s="808">
        <v>0</v>
      </c>
      <c r="Y20" s="846">
        <v>0</v>
      </c>
      <c r="Z20" s="847">
        <v>0</v>
      </c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</row>
    <row r="21" spans="1:42" s="308" customFormat="1" ht="28.5" customHeight="1">
      <c r="A21" s="802">
        <v>2321</v>
      </c>
      <c r="B21" s="803">
        <v>6121</v>
      </c>
      <c r="C21" s="1209">
        <v>7236</v>
      </c>
      <c r="D21" s="1215" t="s">
        <v>162</v>
      </c>
      <c r="E21" s="1169" t="s">
        <v>263</v>
      </c>
      <c r="F21" s="1086">
        <v>400</v>
      </c>
      <c r="G21" s="1086">
        <v>2012</v>
      </c>
      <c r="H21" s="1087">
        <v>2022</v>
      </c>
      <c r="I21" s="1126">
        <f t="shared" si="0"/>
        <v>5161</v>
      </c>
      <c r="J21" s="1137">
        <v>393</v>
      </c>
      <c r="K21" s="805">
        <v>198</v>
      </c>
      <c r="L21" s="839">
        <f t="shared" si="1"/>
        <v>1570</v>
      </c>
      <c r="M21" s="806">
        <v>670</v>
      </c>
      <c r="N21" s="807">
        <v>900</v>
      </c>
      <c r="O21" s="837">
        <v>0</v>
      </c>
      <c r="P21" s="1233">
        <v>0</v>
      </c>
      <c r="Q21" s="810">
        <v>1000</v>
      </c>
      <c r="R21" s="837">
        <v>0</v>
      </c>
      <c r="S21" s="1234">
        <v>0</v>
      </c>
      <c r="T21" s="838">
        <v>1000</v>
      </c>
      <c r="U21" s="837">
        <v>0</v>
      </c>
      <c r="V21" s="836">
        <v>0</v>
      </c>
      <c r="W21" s="838">
        <v>1000</v>
      </c>
      <c r="X21" s="837">
        <v>0</v>
      </c>
      <c r="Y21" s="1235">
        <v>0</v>
      </c>
      <c r="Z21" s="1236">
        <v>0</v>
      </c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</row>
    <row r="22" spans="1:42" s="481" customFormat="1" ht="28.5" customHeight="1">
      <c r="A22" s="799">
        <v>2310</v>
      </c>
      <c r="B22" s="800">
        <v>6121</v>
      </c>
      <c r="C22" s="1210">
        <v>7238</v>
      </c>
      <c r="D22" s="1218" t="s">
        <v>298</v>
      </c>
      <c r="E22" s="1170" t="s">
        <v>248</v>
      </c>
      <c r="F22" s="1093">
        <v>400</v>
      </c>
      <c r="G22" s="1093">
        <v>2007</v>
      </c>
      <c r="H22" s="1094">
        <v>2018</v>
      </c>
      <c r="I22" s="1126">
        <f t="shared" si="0"/>
        <v>8800</v>
      </c>
      <c r="J22" s="1137">
        <v>435</v>
      </c>
      <c r="K22" s="805">
        <v>7765</v>
      </c>
      <c r="L22" s="839">
        <f t="shared" si="1"/>
        <v>600</v>
      </c>
      <c r="M22" s="806">
        <v>0</v>
      </c>
      <c r="N22" s="807">
        <v>600</v>
      </c>
      <c r="O22" s="808">
        <v>0</v>
      </c>
      <c r="P22" s="809">
        <v>0</v>
      </c>
      <c r="Q22" s="810">
        <v>0</v>
      </c>
      <c r="R22" s="808">
        <v>0</v>
      </c>
      <c r="S22" s="811">
        <v>0</v>
      </c>
      <c r="T22" s="812">
        <v>0</v>
      </c>
      <c r="U22" s="808">
        <v>0</v>
      </c>
      <c r="V22" s="805">
        <v>0</v>
      </c>
      <c r="W22" s="812">
        <v>0</v>
      </c>
      <c r="X22" s="808">
        <v>0</v>
      </c>
      <c r="Y22" s="846">
        <v>0</v>
      </c>
      <c r="Z22" s="847">
        <v>0</v>
      </c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</row>
    <row r="23" spans="1:42" s="481" customFormat="1" ht="28.5" customHeight="1">
      <c r="A23" s="799">
        <v>2310</v>
      </c>
      <c r="B23" s="800">
        <v>6121</v>
      </c>
      <c r="C23" s="1211">
        <v>7286</v>
      </c>
      <c r="D23" s="1219" t="s">
        <v>269</v>
      </c>
      <c r="E23" s="1170" t="s">
        <v>263</v>
      </c>
      <c r="F23" s="1093">
        <v>400</v>
      </c>
      <c r="G23" s="1093">
        <v>2015</v>
      </c>
      <c r="H23" s="1094">
        <v>2021</v>
      </c>
      <c r="I23" s="1126">
        <f t="shared" si="0"/>
        <v>2110</v>
      </c>
      <c r="J23" s="804">
        <v>0</v>
      </c>
      <c r="K23" s="805">
        <v>110</v>
      </c>
      <c r="L23" s="839">
        <f t="shared" si="1"/>
        <v>500</v>
      </c>
      <c r="M23" s="806">
        <v>0</v>
      </c>
      <c r="N23" s="807">
        <v>500</v>
      </c>
      <c r="O23" s="808">
        <v>0</v>
      </c>
      <c r="P23" s="809">
        <v>0</v>
      </c>
      <c r="Q23" s="810">
        <v>500</v>
      </c>
      <c r="R23" s="808">
        <v>0</v>
      </c>
      <c r="S23" s="811">
        <v>0</v>
      </c>
      <c r="T23" s="812">
        <v>500</v>
      </c>
      <c r="U23" s="808">
        <v>0</v>
      </c>
      <c r="V23" s="805">
        <v>0</v>
      </c>
      <c r="W23" s="812">
        <v>500</v>
      </c>
      <c r="X23" s="808">
        <v>0</v>
      </c>
      <c r="Y23" s="805">
        <v>0</v>
      </c>
      <c r="Z23" s="813">
        <v>0</v>
      </c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</row>
    <row r="24" spans="1:42" s="481" customFormat="1" ht="28.5" customHeight="1">
      <c r="A24" s="799">
        <v>2310</v>
      </c>
      <c r="B24" s="800">
        <v>6121</v>
      </c>
      <c r="C24" s="1210">
        <v>7292</v>
      </c>
      <c r="D24" s="1218" t="s">
        <v>299</v>
      </c>
      <c r="E24" s="1170" t="s">
        <v>254</v>
      </c>
      <c r="F24" s="1093">
        <v>400</v>
      </c>
      <c r="G24" s="1093">
        <v>2008</v>
      </c>
      <c r="H24" s="1094">
        <v>2019</v>
      </c>
      <c r="I24" s="1126">
        <f>J24+K24+L24+SUM(Q24:Z24)</f>
        <v>26796</v>
      </c>
      <c r="J24" s="1137">
        <v>17996</v>
      </c>
      <c r="K24" s="805">
        <v>5520</v>
      </c>
      <c r="L24" s="839">
        <f t="shared" si="1"/>
        <v>3280</v>
      </c>
      <c r="M24" s="806">
        <v>3280</v>
      </c>
      <c r="N24" s="807">
        <v>0</v>
      </c>
      <c r="O24" s="808">
        <v>0</v>
      </c>
      <c r="P24" s="809">
        <v>0</v>
      </c>
      <c r="Q24" s="810">
        <v>0</v>
      </c>
      <c r="R24" s="808">
        <v>0</v>
      </c>
      <c r="S24" s="811">
        <v>0</v>
      </c>
      <c r="T24" s="812">
        <v>0</v>
      </c>
      <c r="U24" s="808">
        <v>0</v>
      </c>
      <c r="V24" s="805">
        <v>0</v>
      </c>
      <c r="W24" s="812">
        <v>0</v>
      </c>
      <c r="X24" s="808">
        <v>0</v>
      </c>
      <c r="Y24" s="846">
        <v>0</v>
      </c>
      <c r="Z24" s="847">
        <v>0</v>
      </c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</row>
    <row r="25" spans="1:42" s="481" customFormat="1" ht="28.5" customHeight="1">
      <c r="A25" s="799">
        <v>2310</v>
      </c>
      <c r="B25" s="800">
        <v>6121</v>
      </c>
      <c r="C25" s="1209">
        <v>7302</v>
      </c>
      <c r="D25" s="1215" t="s">
        <v>455</v>
      </c>
      <c r="E25" s="1170" t="s">
        <v>248</v>
      </c>
      <c r="F25" s="1093">
        <v>400</v>
      </c>
      <c r="G25" s="1093">
        <v>2008</v>
      </c>
      <c r="H25" s="1094">
        <v>2019</v>
      </c>
      <c r="I25" s="1126">
        <f t="shared" si="0"/>
        <v>5000</v>
      </c>
      <c r="J25" s="1137">
        <v>0</v>
      </c>
      <c r="K25" s="805">
        <v>0</v>
      </c>
      <c r="L25" s="839">
        <f t="shared" si="1"/>
        <v>5000</v>
      </c>
      <c r="M25" s="806">
        <v>1000</v>
      </c>
      <c r="N25" s="807">
        <v>4000</v>
      </c>
      <c r="O25" s="808">
        <v>0</v>
      </c>
      <c r="P25" s="809">
        <v>0</v>
      </c>
      <c r="Q25" s="810">
        <v>0</v>
      </c>
      <c r="R25" s="808">
        <v>0</v>
      </c>
      <c r="S25" s="811">
        <v>0</v>
      </c>
      <c r="T25" s="812">
        <v>0</v>
      </c>
      <c r="U25" s="808">
        <v>0</v>
      </c>
      <c r="V25" s="805">
        <v>0</v>
      </c>
      <c r="W25" s="812">
        <v>0</v>
      </c>
      <c r="X25" s="808">
        <v>0</v>
      </c>
      <c r="Y25" s="846">
        <v>0</v>
      </c>
      <c r="Z25" s="847">
        <v>0</v>
      </c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</row>
    <row r="26" spans="1:42" s="481" customFormat="1" ht="28.5" customHeight="1">
      <c r="A26" s="799">
        <v>2310</v>
      </c>
      <c r="B26" s="800">
        <v>6121</v>
      </c>
      <c r="C26" s="1209">
        <v>7319</v>
      </c>
      <c r="D26" s="1215" t="s">
        <v>279</v>
      </c>
      <c r="E26" s="1169" t="s">
        <v>273</v>
      </c>
      <c r="F26" s="1086">
        <v>400</v>
      </c>
      <c r="G26" s="1086">
        <v>2014</v>
      </c>
      <c r="H26" s="1087">
        <v>2020</v>
      </c>
      <c r="I26" s="1126">
        <f t="shared" si="0"/>
        <v>5000</v>
      </c>
      <c r="J26" s="1137">
        <v>0</v>
      </c>
      <c r="K26" s="805">
        <v>1000</v>
      </c>
      <c r="L26" s="839">
        <f t="shared" si="1"/>
        <v>2000</v>
      </c>
      <c r="M26" s="806">
        <v>2000</v>
      </c>
      <c r="N26" s="807">
        <v>0</v>
      </c>
      <c r="O26" s="808">
        <v>0</v>
      </c>
      <c r="P26" s="809">
        <v>0</v>
      </c>
      <c r="Q26" s="810">
        <v>2000</v>
      </c>
      <c r="R26" s="808">
        <v>0</v>
      </c>
      <c r="S26" s="811">
        <v>0</v>
      </c>
      <c r="T26" s="812">
        <v>0</v>
      </c>
      <c r="U26" s="808">
        <v>0</v>
      </c>
      <c r="V26" s="805">
        <v>0</v>
      </c>
      <c r="W26" s="812">
        <v>0</v>
      </c>
      <c r="X26" s="808">
        <v>0</v>
      </c>
      <c r="Y26" s="846">
        <v>0</v>
      </c>
      <c r="Z26" s="847">
        <v>0</v>
      </c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</row>
    <row r="27" spans="1:42" s="965" customFormat="1" ht="34.5" customHeight="1">
      <c r="A27" s="964">
        <v>2310</v>
      </c>
      <c r="B27" s="964">
        <v>6121</v>
      </c>
      <c r="C27" s="1209">
        <v>7325</v>
      </c>
      <c r="D27" s="1215" t="s">
        <v>563</v>
      </c>
      <c r="E27" s="1185" t="s">
        <v>263</v>
      </c>
      <c r="F27" s="1186">
        <v>400</v>
      </c>
      <c r="G27" s="1186">
        <v>2016</v>
      </c>
      <c r="H27" s="1187">
        <v>2019</v>
      </c>
      <c r="I27" s="1188">
        <f>J27+K27+L27+SUM(Q27:Z27)</f>
        <v>32200</v>
      </c>
      <c r="J27" s="1176">
        <v>11000</v>
      </c>
      <c r="K27" s="1177">
        <v>20200</v>
      </c>
      <c r="L27" s="1189">
        <f>M27+N27+O27+P27</f>
        <v>1000</v>
      </c>
      <c r="M27" s="1179">
        <v>0</v>
      </c>
      <c r="N27" s="1180">
        <v>1000</v>
      </c>
      <c r="O27" s="1181">
        <v>0</v>
      </c>
      <c r="P27" s="1190">
        <v>0</v>
      </c>
      <c r="Q27" s="1191">
        <v>0</v>
      </c>
      <c r="R27" s="1181">
        <v>0</v>
      </c>
      <c r="S27" s="1192">
        <v>0</v>
      </c>
      <c r="T27" s="1183">
        <v>0</v>
      </c>
      <c r="U27" s="1181">
        <v>0</v>
      </c>
      <c r="V27" s="1177">
        <v>0</v>
      </c>
      <c r="W27" s="1183">
        <v>0</v>
      </c>
      <c r="X27" s="1181">
        <v>0</v>
      </c>
      <c r="Y27" s="962">
        <v>0</v>
      </c>
      <c r="Z27" s="963">
        <v>0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481" customFormat="1" ht="28.5" customHeight="1">
      <c r="A28" s="799">
        <v>2310</v>
      </c>
      <c r="B28" s="800">
        <v>6121</v>
      </c>
      <c r="C28" s="1209">
        <v>7332</v>
      </c>
      <c r="D28" s="1215" t="s">
        <v>284</v>
      </c>
      <c r="E28" s="1170" t="s">
        <v>254</v>
      </c>
      <c r="F28" s="1093">
        <v>400</v>
      </c>
      <c r="G28" s="1093">
        <v>2015</v>
      </c>
      <c r="H28" s="1193">
        <v>2019</v>
      </c>
      <c r="I28" s="1126">
        <f t="shared" si="0"/>
        <v>25000</v>
      </c>
      <c r="J28" s="1137">
        <v>0</v>
      </c>
      <c r="K28" s="805">
        <v>0</v>
      </c>
      <c r="L28" s="839">
        <f t="shared" si="1"/>
        <v>15000</v>
      </c>
      <c r="M28" s="806">
        <f>8000+2000</f>
        <v>10000</v>
      </c>
      <c r="N28" s="807">
        <v>5000</v>
      </c>
      <c r="O28" s="808">
        <v>0</v>
      </c>
      <c r="P28" s="809">
        <v>0</v>
      </c>
      <c r="Q28" s="810">
        <v>10000</v>
      </c>
      <c r="R28" s="808">
        <v>0</v>
      </c>
      <c r="S28" s="811">
        <v>0</v>
      </c>
      <c r="T28" s="812">
        <v>0</v>
      </c>
      <c r="U28" s="808">
        <v>0</v>
      </c>
      <c r="V28" s="805">
        <v>0</v>
      </c>
      <c r="W28" s="812">
        <v>0</v>
      </c>
      <c r="X28" s="808">
        <v>0</v>
      </c>
      <c r="Y28" s="846">
        <v>0</v>
      </c>
      <c r="Z28" s="847">
        <v>0</v>
      </c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</row>
    <row r="29" spans="1:42" s="481" customFormat="1" ht="28.5" customHeight="1">
      <c r="A29" s="799">
        <v>2310</v>
      </c>
      <c r="B29" s="800">
        <v>6121</v>
      </c>
      <c r="C29" s="1210">
        <v>7341</v>
      </c>
      <c r="D29" s="1218" t="s">
        <v>300</v>
      </c>
      <c r="E29" s="1169" t="s">
        <v>241</v>
      </c>
      <c r="F29" s="1086">
        <v>400</v>
      </c>
      <c r="G29" s="1086">
        <v>2017</v>
      </c>
      <c r="H29" s="1194">
        <v>2018</v>
      </c>
      <c r="I29" s="1126">
        <f t="shared" si="0"/>
        <v>20000</v>
      </c>
      <c r="J29" s="1137">
        <v>0</v>
      </c>
      <c r="K29" s="805">
        <v>0</v>
      </c>
      <c r="L29" s="839">
        <f t="shared" si="1"/>
        <v>10000</v>
      </c>
      <c r="M29" s="806">
        <v>0</v>
      </c>
      <c r="N29" s="807">
        <v>10000</v>
      </c>
      <c r="O29" s="808">
        <v>0</v>
      </c>
      <c r="P29" s="809">
        <v>0</v>
      </c>
      <c r="Q29" s="810">
        <v>10000</v>
      </c>
      <c r="R29" s="808">
        <v>0</v>
      </c>
      <c r="S29" s="811">
        <v>0</v>
      </c>
      <c r="T29" s="812">
        <v>0</v>
      </c>
      <c r="U29" s="808">
        <v>0</v>
      </c>
      <c r="V29" s="805">
        <v>0</v>
      </c>
      <c r="W29" s="812">
        <v>0</v>
      </c>
      <c r="X29" s="808">
        <v>0</v>
      </c>
      <c r="Y29" s="846">
        <v>0</v>
      </c>
      <c r="Z29" s="847">
        <v>0</v>
      </c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</row>
    <row r="30" spans="1:42" s="308" customFormat="1" ht="28.5" customHeight="1">
      <c r="A30" s="802">
        <v>2321</v>
      </c>
      <c r="B30" s="803">
        <v>6121</v>
      </c>
      <c r="C30" s="1209">
        <v>7342</v>
      </c>
      <c r="D30" s="1215" t="s">
        <v>163</v>
      </c>
      <c r="E30" s="1169" t="s">
        <v>263</v>
      </c>
      <c r="F30" s="1086">
        <v>400</v>
      </c>
      <c r="G30" s="1086">
        <v>2012</v>
      </c>
      <c r="H30" s="1087">
        <v>2021</v>
      </c>
      <c r="I30" s="1126">
        <f t="shared" si="0"/>
        <v>4060</v>
      </c>
      <c r="J30" s="1137">
        <v>0</v>
      </c>
      <c r="K30" s="805">
        <v>43</v>
      </c>
      <c r="L30" s="839">
        <f t="shared" si="1"/>
        <v>1017</v>
      </c>
      <c r="M30" s="806">
        <v>157</v>
      </c>
      <c r="N30" s="807">
        <v>860</v>
      </c>
      <c r="O30" s="837">
        <v>0</v>
      </c>
      <c r="P30" s="1233">
        <v>0</v>
      </c>
      <c r="Q30" s="810">
        <v>1000</v>
      </c>
      <c r="R30" s="837">
        <v>0</v>
      </c>
      <c r="S30" s="1234">
        <v>0</v>
      </c>
      <c r="T30" s="838">
        <v>1000</v>
      </c>
      <c r="U30" s="837">
        <v>0</v>
      </c>
      <c r="V30" s="836">
        <v>0</v>
      </c>
      <c r="W30" s="838">
        <v>1000</v>
      </c>
      <c r="X30" s="837">
        <v>0</v>
      </c>
      <c r="Y30" s="1235">
        <v>0</v>
      </c>
      <c r="Z30" s="1236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</row>
    <row r="31" spans="1:42" s="481" customFormat="1" ht="28.5" customHeight="1">
      <c r="A31" s="799">
        <v>2310</v>
      </c>
      <c r="B31" s="800">
        <v>6121</v>
      </c>
      <c r="C31" s="1210">
        <v>7343</v>
      </c>
      <c r="D31" s="1220" t="s">
        <v>456</v>
      </c>
      <c r="E31" s="1169" t="s">
        <v>250</v>
      </c>
      <c r="F31" s="1086">
        <v>400</v>
      </c>
      <c r="G31" s="1086">
        <v>2017</v>
      </c>
      <c r="H31" s="1087">
        <v>2019</v>
      </c>
      <c r="I31" s="1126">
        <f t="shared" si="0"/>
        <v>11786</v>
      </c>
      <c r="J31" s="1137">
        <v>925</v>
      </c>
      <c r="K31" s="805">
        <v>8961</v>
      </c>
      <c r="L31" s="839">
        <f t="shared" si="1"/>
        <v>1900</v>
      </c>
      <c r="M31" s="806">
        <v>1900</v>
      </c>
      <c r="N31" s="807">
        <v>0</v>
      </c>
      <c r="O31" s="808">
        <v>0</v>
      </c>
      <c r="P31" s="809">
        <v>0</v>
      </c>
      <c r="Q31" s="810">
        <v>0</v>
      </c>
      <c r="R31" s="808">
        <v>0</v>
      </c>
      <c r="S31" s="811">
        <v>0</v>
      </c>
      <c r="T31" s="812">
        <v>0</v>
      </c>
      <c r="U31" s="808">
        <v>0</v>
      </c>
      <c r="V31" s="805">
        <v>0</v>
      </c>
      <c r="W31" s="812">
        <v>0</v>
      </c>
      <c r="X31" s="808">
        <v>0</v>
      </c>
      <c r="Y31" s="846">
        <v>0</v>
      </c>
      <c r="Z31" s="847">
        <v>0</v>
      </c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</row>
    <row r="32" spans="1:42" s="481" customFormat="1" ht="28.5" customHeight="1">
      <c r="A32" s="802">
        <v>2310</v>
      </c>
      <c r="B32" s="803">
        <v>6121</v>
      </c>
      <c r="C32" s="1210">
        <v>7346</v>
      </c>
      <c r="D32" s="1221" t="s">
        <v>288</v>
      </c>
      <c r="E32" s="1169" t="s">
        <v>261</v>
      </c>
      <c r="F32" s="1086">
        <v>400</v>
      </c>
      <c r="G32" s="1086">
        <v>2013</v>
      </c>
      <c r="H32" s="1087">
        <v>2018</v>
      </c>
      <c r="I32" s="1126">
        <f t="shared" si="0"/>
        <v>902</v>
      </c>
      <c r="J32" s="1137">
        <v>0</v>
      </c>
      <c r="K32" s="805">
        <v>402</v>
      </c>
      <c r="L32" s="839">
        <f t="shared" si="1"/>
        <v>500</v>
      </c>
      <c r="M32" s="806">
        <v>500</v>
      </c>
      <c r="N32" s="807">
        <v>0</v>
      </c>
      <c r="O32" s="808">
        <v>0</v>
      </c>
      <c r="P32" s="809">
        <v>0</v>
      </c>
      <c r="Q32" s="810">
        <v>0</v>
      </c>
      <c r="R32" s="808">
        <v>0</v>
      </c>
      <c r="S32" s="811">
        <v>0</v>
      </c>
      <c r="T32" s="812">
        <v>0</v>
      </c>
      <c r="U32" s="808">
        <v>0</v>
      </c>
      <c r="V32" s="805">
        <v>0</v>
      </c>
      <c r="W32" s="812">
        <v>0</v>
      </c>
      <c r="X32" s="808">
        <v>0</v>
      </c>
      <c r="Y32" s="846">
        <v>0</v>
      </c>
      <c r="Z32" s="847">
        <v>0</v>
      </c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</row>
    <row r="33" spans="1:42" s="16" customFormat="1" ht="56.25" customHeight="1">
      <c r="A33" s="814">
        <v>2310</v>
      </c>
      <c r="B33" s="815">
        <v>6121</v>
      </c>
      <c r="C33" s="1209">
        <v>7352</v>
      </c>
      <c r="D33" s="1215" t="s">
        <v>457</v>
      </c>
      <c r="E33" s="1169" t="s">
        <v>248</v>
      </c>
      <c r="F33" s="1086">
        <v>400</v>
      </c>
      <c r="G33" s="1086">
        <v>2008</v>
      </c>
      <c r="H33" s="1194">
        <v>2020</v>
      </c>
      <c r="I33" s="1126">
        <f t="shared" si="0"/>
        <v>20700</v>
      </c>
      <c r="J33" s="1137">
        <v>0</v>
      </c>
      <c r="K33" s="805">
        <v>100</v>
      </c>
      <c r="L33" s="839">
        <f t="shared" si="1"/>
        <v>10600</v>
      </c>
      <c r="M33" s="806">
        <v>600</v>
      </c>
      <c r="N33" s="807">
        <v>10000</v>
      </c>
      <c r="O33" s="808">
        <v>0</v>
      </c>
      <c r="P33" s="809">
        <v>0</v>
      </c>
      <c r="Q33" s="810">
        <v>10000</v>
      </c>
      <c r="R33" s="808">
        <v>0</v>
      </c>
      <c r="S33" s="811">
        <v>0</v>
      </c>
      <c r="T33" s="812">
        <v>0</v>
      </c>
      <c r="U33" s="808">
        <v>0</v>
      </c>
      <c r="V33" s="805">
        <v>0</v>
      </c>
      <c r="W33" s="812">
        <v>0</v>
      </c>
      <c r="X33" s="808">
        <v>0</v>
      </c>
      <c r="Y33" s="846">
        <v>0</v>
      </c>
      <c r="Z33" s="847">
        <v>0</v>
      </c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</row>
    <row r="34" spans="1:42" s="481" customFormat="1" ht="28.5" customHeight="1">
      <c r="A34" s="799">
        <v>2310</v>
      </c>
      <c r="B34" s="800">
        <v>6121</v>
      </c>
      <c r="C34" s="1210">
        <v>7353</v>
      </c>
      <c r="D34" s="1221" t="s">
        <v>3</v>
      </c>
      <c r="E34" s="1195" t="s">
        <v>254</v>
      </c>
      <c r="F34" s="1086">
        <v>400</v>
      </c>
      <c r="G34" s="1196">
        <v>2010</v>
      </c>
      <c r="H34" s="1197">
        <v>2020</v>
      </c>
      <c r="I34" s="1126">
        <f t="shared" si="0"/>
        <v>34782</v>
      </c>
      <c r="J34" s="1137">
        <v>2392</v>
      </c>
      <c r="K34" s="805">
        <v>100</v>
      </c>
      <c r="L34" s="839">
        <f t="shared" si="1"/>
        <v>18290</v>
      </c>
      <c r="M34" s="806">
        <f>11000+290</f>
        <v>11290</v>
      </c>
      <c r="N34" s="807">
        <v>7000</v>
      </c>
      <c r="O34" s="808">
        <v>0</v>
      </c>
      <c r="P34" s="809">
        <v>0</v>
      </c>
      <c r="Q34" s="810">
        <v>14000</v>
      </c>
      <c r="R34" s="808">
        <v>0</v>
      </c>
      <c r="S34" s="811">
        <v>0</v>
      </c>
      <c r="T34" s="812">
        <v>0</v>
      </c>
      <c r="U34" s="808">
        <v>0</v>
      </c>
      <c r="V34" s="805">
        <v>0</v>
      </c>
      <c r="W34" s="812">
        <v>0</v>
      </c>
      <c r="X34" s="808">
        <v>0</v>
      </c>
      <c r="Y34" s="846">
        <v>0</v>
      </c>
      <c r="Z34" s="847">
        <v>0</v>
      </c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</row>
    <row r="35" spans="1:42" s="481" customFormat="1" ht="28.5" customHeight="1">
      <c r="A35" s="960">
        <v>2321</v>
      </c>
      <c r="B35" s="961">
        <v>6121</v>
      </c>
      <c r="C35" s="1212">
        <v>7363</v>
      </c>
      <c r="D35" s="1198" t="s">
        <v>564</v>
      </c>
      <c r="E35" s="1199" t="s">
        <v>247</v>
      </c>
      <c r="F35" s="1200">
        <v>400</v>
      </c>
      <c r="G35" s="1200">
        <v>2018</v>
      </c>
      <c r="H35" s="1201">
        <v>2022</v>
      </c>
      <c r="I35" s="1202">
        <f>J35+K35+L35+SUM(Q35:Z35)</f>
        <v>40000</v>
      </c>
      <c r="J35" s="1203">
        <v>0</v>
      </c>
      <c r="K35" s="1237">
        <v>0</v>
      </c>
      <c r="L35" s="1178">
        <f>M35+N35+O35+P35</f>
        <v>1000</v>
      </c>
      <c r="M35" s="1238">
        <v>1000</v>
      </c>
      <c r="N35" s="1239">
        <v>0</v>
      </c>
      <c r="O35" s="1240">
        <v>0</v>
      </c>
      <c r="P35" s="1237">
        <v>0</v>
      </c>
      <c r="Q35" s="1241">
        <v>0</v>
      </c>
      <c r="R35" s="1240">
        <v>0</v>
      </c>
      <c r="S35" s="1242">
        <v>0</v>
      </c>
      <c r="T35" s="1243">
        <v>29000</v>
      </c>
      <c r="U35" s="1240">
        <v>0</v>
      </c>
      <c r="V35" s="1242">
        <v>0</v>
      </c>
      <c r="W35" s="1243">
        <v>10000</v>
      </c>
      <c r="X35" s="1240">
        <v>0</v>
      </c>
      <c r="Y35" s="1244">
        <v>0</v>
      </c>
      <c r="Z35" s="1245">
        <v>0</v>
      </c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</row>
    <row r="36" spans="1:42" s="481" customFormat="1" ht="28.5" customHeight="1" thickBot="1">
      <c r="A36" s="816">
        <v>2310</v>
      </c>
      <c r="B36" s="817">
        <v>6121</v>
      </c>
      <c r="C36" s="1213">
        <v>7366</v>
      </c>
      <c r="D36" s="1222" t="s">
        <v>164</v>
      </c>
      <c r="E36" s="818" t="s">
        <v>263</v>
      </c>
      <c r="F36" s="819">
        <v>400</v>
      </c>
      <c r="G36" s="819">
        <v>2019</v>
      </c>
      <c r="H36" s="820">
        <v>2022</v>
      </c>
      <c r="I36" s="1204">
        <f>J36+K36+L36+SUM(Q36:Z36)</f>
        <v>1000</v>
      </c>
      <c r="J36" s="1205">
        <v>0</v>
      </c>
      <c r="K36" s="1246">
        <v>0</v>
      </c>
      <c r="L36" s="1247">
        <f>M36+N36+O36+P36</f>
        <v>1000</v>
      </c>
      <c r="M36" s="1248">
        <v>0</v>
      </c>
      <c r="N36" s="1249">
        <v>1000</v>
      </c>
      <c r="O36" s="1250">
        <v>0</v>
      </c>
      <c r="P36" s="1251">
        <v>0</v>
      </c>
      <c r="Q36" s="1252">
        <v>0</v>
      </c>
      <c r="R36" s="1250">
        <v>0</v>
      </c>
      <c r="S36" s="1253">
        <v>0</v>
      </c>
      <c r="T36" s="1254">
        <v>0</v>
      </c>
      <c r="U36" s="1250">
        <v>0</v>
      </c>
      <c r="V36" s="1246">
        <v>0</v>
      </c>
      <c r="W36" s="1254">
        <v>0</v>
      </c>
      <c r="X36" s="1250">
        <v>0</v>
      </c>
      <c r="Y36" s="1255">
        <v>0</v>
      </c>
      <c r="Z36" s="1256">
        <v>0</v>
      </c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</row>
    <row r="37" spans="1:26" s="245" customFormat="1" ht="28.5" customHeight="1" thickBot="1">
      <c r="A37" s="821"/>
      <c r="B37" s="821"/>
      <c r="C37" s="821"/>
      <c r="D37" s="1559" t="s">
        <v>426</v>
      </c>
      <c r="E37" s="1559"/>
      <c r="F37" s="1559"/>
      <c r="G37" s="1559"/>
      <c r="H37" s="1560"/>
      <c r="I37" s="822">
        <f aca="true" t="shared" si="2" ref="I37:Z37">SUM(I10:I36)</f>
        <v>623874</v>
      </c>
      <c r="J37" s="822">
        <f t="shared" si="2"/>
        <v>45555</v>
      </c>
      <c r="K37" s="1257">
        <f t="shared" si="2"/>
        <v>45733</v>
      </c>
      <c r="L37" s="1257">
        <f t="shared" si="2"/>
        <v>106512</v>
      </c>
      <c r="M37" s="1257">
        <f t="shared" si="2"/>
        <v>42352</v>
      </c>
      <c r="N37" s="1257">
        <f t="shared" si="2"/>
        <v>64160</v>
      </c>
      <c r="O37" s="1257">
        <f t="shared" si="2"/>
        <v>0</v>
      </c>
      <c r="P37" s="1257">
        <f t="shared" si="2"/>
        <v>0</v>
      </c>
      <c r="Q37" s="1257">
        <f t="shared" si="2"/>
        <v>69604</v>
      </c>
      <c r="R37" s="1257">
        <f t="shared" si="2"/>
        <v>0</v>
      </c>
      <c r="S37" s="1257">
        <f t="shared" si="2"/>
        <v>0</v>
      </c>
      <c r="T37" s="1257">
        <f t="shared" si="2"/>
        <v>69470</v>
      </c>
      <c r="U37" s="1257">
        <f t="shared" si="2"/>
        <v>0</v>
      </c>
      <c r="V37" s="1257">
        <f t="shared" si="2"/>
        <v>0</v>
      </c>
      <c r="W37" s="1257">
        <f t="shared" si="2"/>
        <v>77000</v>
      </c>
      <c r="X37" s="1257">
        <f t="shared" si="2"/>
        <v>0</v>
      </c>
      <c r="Y37" s="1257">
        <f t="shared" si="2"/>
        <v>0</v>
      </c>
      <c r="Z37" s="1257">
        <f t="shared" si="2"/>
        <v>210000</v>
      </c>
    </row>
    <row r="38" spans="1:42" s="4" customFormat="1" ht="7.5" customHeight="1">
      <c r="A38" s="146"/>
      <c r="B38" s="146"/>
      <c r="C38" s="146"/>
      <c r="D38" s="10"/>
      <c r="E38" s="10"/>
      <c r="F38" s="10"/>
      <c r="G38" s="10"/>
      <c r="H38" s="10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7" customFormat="1" ht="21.75" customHeight="1">
      <c r="A39" s="145"/>
      <c r="B39" s="145"/>
      <c r="C39" s="145"/>
      <c r="D39" s="147"/>
      <c r="E39" s="148"/>
      <c r="F39" s="148"/>
      <c r="G39" s="148"/>
      <c r="H39" s="148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7" customFormat="1" ht="21.75" customHeight="1">
      <c r="A40" s="145"/>
      <c r="B40" s="145"/>
      <c r="C40" s="145"/>
      <c r="D40" s="149"/>
      <c r="E40" s="148"/>
      <c r="F40" s="148"/>
      <c r="G40" s="148"/>
      <c r="H40" s="148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7" customFormat="1" ht="21.75" customHeight="1">
      <c r="A41" s="145"/>
      <c r="B41" s="145"/>
      <c r="C41" s="145"/>
      <c r="E41"/>
      <c r="F41"/>
      <c r="G41"/>
      <c r="H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7" customFormat="1" ht="21.75" customHeight="1">
      <c r="A42" s="145"/>
      <c r="B42" s="145"/>
      <c r="C42" s="145"/>
      <c r="E42"/>
      <c r="F42"/>
      <c r="G42"/>
      <c r="H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" ht="21.75" customHeight="1">
      <c r="A43" s="145"/>
      <c r="B43" s="145"/>
      <c r="C43" s="145"/>
      <c r="D43" s="7"/>
    </row>
    <row r="44" spans="1:4" ht="21.75" customHeight="1">
      <c r="A44" s="145"/>
      <c r="B44" s="145"/>
      <c r="C44" s="145"/>
      <c r="D44" s="7"/>
    </row>
    <row r="45" spans="1:3" ht="21.75" customHeight="1">
      <c r="A45" s="145"/>
      <c r="B45" s="145"/>
      <c r="C45" s="145"/>
    </row>
    <row r="46" spans="1:3" ht="21.75" customHeight="1">
      <c r="A46" s="145"/>
      <c r="B46" s="145"/>
      <c r="C46" s="145"/>
    </row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</sheetData>
  <sheetProtection selectLockedCells="1" selectUnlockedCells="1"/>
  <mergeCells count="25">
    <mergeCell ref="D1:Z1"/>
    <mergeCell ref="C6:C8"/>
    <mergeCell ref="D6:D8"/>
    <mergeCell ref="E6:E8"/>
    <mergeCell ref="F6:F8"/>
    <mergeCell ref="G6:H6"/>
    <mergeCell ref="I6:I8"/>
    <mergeCell ref="M6:P6"/>
    <mergeCell ref="Q6:Y6"/>
    <mergeCell ref="Z6:Z8"/>
    <mergeCell ref="A7:A8"/>
    <mergeCell ref="B7:B8"/>
    <mergeCell ref="G7:G8"/>
    <mergeCell ref="H7:H8"/>
    <mergeCell ref="T7:V7"/>
    <mergeCell ref="W7:Y7"/>
    <mergeCell ref="O7:O8"/>
    <mergeCell ref="P7:P8"/>
    <mergeCell ref="Q7:S7"/>
    <mergeCell ref="D37:H37"/>
    <mergeCell ref="L7:L8"/>
    <mergeCell ref="M7:M8"/>
    <mergeCell ref="N7:N8"/>
    <mergeCell ref="J7:J8"/>
    <mergeCell ref="K7:K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P84"/>
  <sheetViews>
    <sheetView zoomScaleSheetLayoutView="70" workbookViewId="0" topLeftCell="C1">
      <selection activeCell="I12" sqref="I12"/>
    </sheetView>
  </sheetViews>
  <sheetFormatPr defaultColWidth="9.140625" defaultRowHeight="26.25" customHeight="1"/>
  <cols>
    <col min="1" max="1" width="5.8515625" style="245" hidden="1" customWidth="1"/>
    <col min="2" max="2" width="7.57421875" style="245" hidden="1" customWidth="1"/>
    <col min="3" max="3" width="7.421875" style="245" customWidth="1"/>
    <col min="4" max="4" width="48.8515625" style="245" customWidth="1"/>
    <col min="5" max="6" width="4.28125" style="245" customWidth="1"/>
    <col min="7" max="7" width="6.57421875" style="245" customWidth="1"/>
    <col min="8" max="8" width="6.140625" style="245" customWidth="1"/>
    <col min="9" max="9" width="13.57421875" style="245" customWidth="1"/>
    <col min="10" max="26" width="10.7109375" style="245" customWidth="1"/>
    <col min="27" max="16384" width="9.140625" style="245" customWidth="1"/>
  </cols>
  <sheetData>
    <row r="1" spans="1:26" ht="26.25" customHeight="1">
      <c r="A1" s="246"/>
      <c r="B1" s="247"/>
      <c r="C1" s="247"/>
      <c r="D1" s="1597" t="s">
        <v>630</v>
      </c>
      <c r="E1" s="1597"/>
      <c r="F1" s="1597"/>
      <c r="G1" s="1597"/>
      <c r="H1" s="1597"/>
      <c r="I1" s="1597"/>
      <c r="J1" s="1597"/>
      <c r="K1" s="1597"/>
      <c r="L1" s="1597"/>
      <c r="M1" s="1597"/>
      <c r="N1" s="1597"/>
      <c r="O1" s="1597"/>
      <c r="P1" s="1597"/>
      <c r="Q1" s="1597"/>
      <c r="R1" s="1597"/>
      <c r="S1" s="1597"/>
      <c r="T1" s="1597"/>
      <c r="U1" s="1597"/>
      <c r="V1" s="1597"/>
      <c r="W1" s="1597"/>
      <c r="X1" s="1597"/>
      <c r="Y1" s="1597"/>
      <c r="Z1" s="1597"/>
    </row>
    <row r="2" spans="1:26" ht="26.25" customHeight="1">
      <c r="A2" s="246"/>
      <c r="B2" s="247"/>
      <c r="C2" s="247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</row>
    <row r="3" spans="1:26" ht="25.5" customHeight="1">
      <c r="A3" s="246"/>
      <c r="B3" s="247"/>
      <c r="C3" s="247"/>
      <c r="D3" s="770" t="s">
        <v>197</v>
      </c>
      <c r="E3" s="771"/>
      <c r="F3" s="772"/>
      <c r="G3" s="773"/>
      <c r="H3" s="773"/>
      <c r="I3" s="774" t="s">
        <v>198</v>
      </c>
      <c r="J3" s="17"/>
      <c r="K3" s="17"/>
      <c r="L3" s="17"/>
      <c r="M3" s="270"/>
      <c r="N3" s="248"/>
      <c r="O3" s="824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</row>
    <row r="4" spans="1:26" ht="25.5" customHeight="1">
      <c r="A4" s="246"/>
      <c r="B4" s="247"/>
      <c r="C4" s="247"/>
      <c r="D4" s="770"/>
      <c r="E4" s="771"/>
      <c r="F4" s="825"/>
      <c r="G4" s="773"/>
      <c r="H4" s="773"/>
      <c r="I4" s="774" t="s">
        <v>199</v>
      </c>
      <c r="J4" s="17"/>
      <c r="K4" s="17"/>
      <c r="L4" s="17"/>
      <c r="M4" s="270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</row>
    <row r="5" spans="1:26" ht="26.25" customHeight="1">
      <c r="A5" s="246"/>
      <c r="B5" s="246"/>
      <c r="C5" s="246"/>
      <c r="D5" s="826"/>
      <c r="E5" s="827"/>
      <c r="F5" s="827"/>
      <c r="G5" s="827"/>
      <c r="H5" s="827"/>
      <c r="I5" s="267"/>
      <c r="J5" s="267"/>
      <c r="K5" s="267"/>
      <c r="L5" s="267"/>
      <c r="M5" s="267"/>
      <c r="N5" s="267"/>
      <c r="O5" s="267"/>
      <c r="P5" s="828"/>
      <c r="Z5" s="513" t="s">
        <v>200</v>
      </c>
    </row>
    <row r="6" spans="1:26" ht="26.25" customHeight="1" thickBot="1">
      <c r="A6" s="246"/>
      <c r="B6" s="246"/>
      <c r="C6" s="246"/>
      <c r="I6" s="271" t="s">
        <v>201</v>
      </c>
      <c r="J6" s="271" t="s">
        <v>202</v>
      </c>
      <c r="K6" s="271" t="s">
        <v>203</v>
      </c>
      <c r="L6" s="271" t="s">
        <v>204</v>
      </c>
      <c r="M6" s="271" t="s">
        <v>205</v>
      </c>
      <c r="N6" s="271" t="s">
        <v>206</v>
      </c>
      <c r="O6" s="777" t="s">
        <v>207</v>
      </c>
      <c r="P6" s="777" t="s">
        <v>208</v>
      </c>
      <c r="Q6" s="777" t="s">
        <v>209</v>
      </c>
      <c r="R6" s="777" t="s">
        <v>210</v>
      </c>
      <c r="S6" s="777" t="s">
        <v>211</v>
      </c>
      <c r="T6" s="777" t="s">
        <v>212</v>
      </c>
      <c r="U6" s="777" t="s">
        <v>213</v>
      </c>
      <c r="V6" s="777" t="s">
        <v>214</v>
      </c>
      <c r="W6" s="777" t="s">
        <v>215</v>
      </c>
      <c r="X6" s="271" t="s">
        <v>216</v>
      </c>
      <c r="Y6" s="271" t="s">
        <v>217</v>
      </c>
      <c r="Z6" s="271" t="s">
        <v>218</v>
      </c>
    </row>
    <row r="7" spans="1:26" ht="26.25" customHeight="1" thickBot="1">
      <c r="A7" s="246"/>
      <c r="B7" s="246"/>
      <c r="C7" s="887"/>
      <c r="D7" s="1598" t="s">
        <v>220</v>
      </c>
      <c r="E7" s="1601" t="s">
        <v>221</v>
      </c>
      <c r="F7" s="1602" t="s">
        <v>222</v>
      </c>
      <c r="G7" s="1578" t="s">
        <v>223</v>
      </c>
      <c r="H7" s="1578"/>
      <c r="I7" s="1603" t="s">
        <v>224</v>
      </c>
      <c r="J7" s="779" t="s">
        <v>225</v>
      </c>
      <c r="K7" s="779" t="s">
        <v>226</v>
      </c>
      <c r="L7" s="780" t="s">
        <v>227</v>
      </c>
      <c r="M7" s="1604" t="s">
        <v>11</v>
      </c>
      <c r="N7" s="1604"/>
      <c r="O7" s="1604"/>
      <c r="P7" s="1604"/>
      <c r="Q7" s="1605" t="s">
        <v>12</v>
      </c>
      <c r="R7" s="1605"/>
      <c r="S7" s="1605"/>
      <c r="T7" s="1605"/>
      <c r="U7" s="1605"/>
      <c r="V7" s="1605"/>
      <c r="W7" s="1605"/>
      <c r="X7" s="1605"/>
      <c r="Y7" s="1605"/>
      <c r="Z7" s="1606" t="s">
        <v>551</v>
      </c>
    </row>
    <row r="8" spans="1:26" ht="26.25" customHeight="1" thickBot="1">
      <c r="A8" s="1590" t="s">
        <v>228</v>
      </c>
      <c r="B8" s="1591" t="s">
        <v>229</v>
      </c>
      <c r="C8" s="1592" t="s">
        <v>219</v>
      </c>
      <c r="D8" s="1599"/>
      <c r="E8" s="1601"/>
      <c r="F8" s="1602"/>
      <c r="G8" s="1594" t="s">
        <v>230</v>
      </c>
      <c r="H8" s="1588" t="s">
        <v>231</v>
      </c>
      <c r="I8" s="1603"/>
      <c r="J8" s="1589" t="s">
        <v>552</v>
      </c>
      <c r="K8" s="1607" t="s">
        <v>553</v>
      </c>
      <c r="L8" s="1585" t="s">
        <v>554</v>
      </c>
      <c r="M8" s="1586" t="s">
        <v>555</v>
      </c>
      <c r="N8" s="1587" t="s">
        <v>232</v>
      </c>
      <c r="O8" s="1595" t="s">
        <v>233</v>
      </c>
      <c r="P8" s="1596" t="s">
        <v>436</v>
      </c>
      <c r="Q8" s="1569" t="s">
        <v>234</v>
      </c>
      <c r="R8" s="1569"/>
      <c r="S8" s="1569"/>
      <c r="T8" s="1569" t="s">
        <v>441</v>
      </c>
      <c r="U8" s="1569"/>
      <c r="V8" s="1569"/>
      <c r="W8" s="1569" t="s">
        <v>13</v>
      </c>
      <c r="X8" s="1569"/>
      <c r="Y8" s="1569"/>
      <c r="Z8" s="1606"/>
    </row>
    <row r="9" spans="1:26" ht="26.25" customHeight="1" thickBot="1">
      <c r="A9" s="1590"/>
      <c r="B9" s="1591"/>
      <c r="C9" s="1593"/>
      <c r="D9" s="1600"/>
      <c r="E9" s="1601"/>
      <c r="F9" s="1602"/>
      <c r="G9" s="1594"/>
      <c r="H9" s="1588"/>
      <c r="I9" s="1603"/>
      <c r="J9" s="1589"/>
      <c r="K9" s="1607"/>
      <c r="L9" s="1585"/>
      <c r="M9" s="1586"/>
      <c r="N9" s="1587"/>
      <c r="O9" s="1595"/>
      <c r="P9" s="1596"/>
      <c r="Q9" s="781" t="s">
        <v>235</v>
      </c>
      <c r="R9" s="782" t="s">
        <v>236</v>
      </c>
      <c r="S9" s="783" t="s">
        <v>237</v>
      </c>
      <c r="T9" s="781" t="s">
        <v>235</v>
      </c>
      <c r="U9" s="782" t="s">
        <v>236</v>
      </c>
      <c r="V9" s="783" t="s">
        <v>237</v>
      </c>
      <c r="W9" s="781" t="s">
        <v>235</v>
      </c>
      <c r="X9" s="782" t="s">
        <v>236</v>
      </c>
      <c r="Y9" s="783" t="s">
        <v>237</v>
      </c>
      <c r="Z9" s="1606"/>
    </row>
    <row r="10" spans="1:26" ht="26.25" customHeight="1" thickBot="1">
      <c r="A10" s="784"/>
      <c r="B10" s="829"/>
      <c r="C10" s="298"/>
      <c r="D10" s="888" t="s">
        <v>238</v>
      </c>
      <c r="E10" s="786"/>
      <c r="F10" s="786"/>
      <c r="G10" s="787"/>
      <c r="H10" s="786"/>
      <c r="I10" s="788"/>
      <c r="J10" s="789"/>
      <c r="K10" s="789"/>
      <c r="L10" s="830"/>
      <c r="M10" s="790"/>
      <c r="N10" s="791"/>
      <c r="O10" s="790"/>
      <c r="P10" s="792"/>
      <c r="Q10" s="791"/>
      <c r="R10" s="796"/>
      <c r="S10" s="797"/>
      <c r="T10" s="791"/>
      <c r="U10" s="796"/>
      <c r="V10" s="797"/>
      <c r="W10" s="791"/>
      <c r="X10" s="796"/>
      <c r="Y10" s="797"/>
      <c r="Z10" s="792"/>
    </row>
    <row r="11" spans="1:26" ht="26.25" customHeight="1">
      <c r="A11" s="831">
        <v>2321</v>
      </c>
      <c r="B11" s="832">
        <v>6121</v>
      </c>
      <c r="C11" s="889">
        <v>778</v>
      </c>
      <c r="D11" s="1107" t="s">
        <v>165</v>
      </c>
      <c r="E11" s="833" t="s">
        <v>248</v>
      </c>
      <c r="F11" s="834">
        <v>400</v>
      </c>
      <c r="G11" s="834">
        <v>2004</v>
      </c>
      <c r="H11" s="835">
        <v>2018</v>
      </c>
      <c r="I11" s="1126">
        <f>J11+K11+L11+SUM(Q11:Z11)</f>
        <v>26339</v>
      </c>
      <c r="J11" s="1096">
        <v>789</v>
      </c>
      <c r="K11" s="1097">
        <v>5550</v>
      </c>
      <c r="L11" s="1127">
        <f aca="true" t="shared" si="0" ref="L11:L72">M11+N11+O11+P11</f>
        <v>0</v>
      </c>
      <c r="M11" s="1099">
        <f>5000-5000</f>
        <v>0</v>
      </c>
      <c r="N11" s="1100">
        <v>0</v>
      </c>
      <c r="O11" s="1101">
        <v>0</v>
      </c>
      <c r="P11" s="1097">
        <v>0</v>
      </c>
      <c r="Q11" s="1105">
        <v>20000</v>
      </c>
      <c r="R11" s="1101">
        <v>0</v>
      </c>
      <c r="S11" s="1097">
        <v>0</v>
      </c>
      <c r="T11" s="1105">
        <v>0</v>
      </c>
      <c r="U11" s="1101">
        <v>0</v>
      </c>
      <c r="V11" s="1097">
        <v>0</v>
      </c>
      <c r="W11" s="1105">
        <v>0</v>
      </c>
      <c r="X11" s="1101">
        <v>0</v>
      </c>
      <c r="Y11" s="1097">
        <v>0</v>
      </c>
      <c r="Z11" s="1128">
        <v>0</v>
      </c>
    </row>
    <row r="12" spans="1:42" s="308" customFormat="1" ht="26.25" customHeight="1">
      <c r="A12" s="802">
        <v>2321</v>
      </c>
      <c r="B12" s="803">
        <v>6121</v>
      </c>
      <c r="C12" s="881">
        <v>7039</v>
      </c>
      <c r="D12" s="1108" t="s">
        <v>240</v>
      </c>
      <c r="E12" s="833" t="s">
        <v>241</v>
      </c>
      <c r="F12" s="834">
        <v>400</v>
      </c>
      <c r="G12" s="834">
        <v>2004</v>
      </c>
      <c r="H12" s="835">
        <v>2020</v>
      </c>
      <c r="I12" s="1126">
        <f aca="true" t="shared" si="1" ref="I12:I72">J12+K12+L12+SUM(Q12:Z12)</f>
        <v>99392</v>
      </c>
      <c r="J12" s="1096">
        <v>49684</v>
      </c>
      <c r="K12" s="1097">
        <v>21308</v>
      </c>
      <c r="L12" s="1129">
        <f t="shared" si="0"/>
        <v>18400</v>
      </c>
      <c r="M12" s="1099">
        <v>2400</v>
      </c>
      <c r="N12" s="1100">
        <v>16000</v>
      </c>
      <c r="O12" s="1101">
        <v>0</v>
      </c>
      <c r="P12" s="1097">
        <v>0</v>
      </c>
      <c r="Q12" s="1105">
        <v>10000</v>
      </c>
      <c r="R12" s="1101">
        <v>0</v>
      </c>
      <c r="S12" s="1097">
        <v>0</v>
      </c>
      <c r="T12" s="1105">
        <v>0</v>
      </c>
      <c r="U12" s="1101">
        <v>0</v>
      </c>
      <c r="V12" s="1097">
        <v>0</v>
      </c>
      <c r="W12" s="1105">
        <v>0</v>
      </c>
      <c r="X12" s="1101">
        <v>0</v>
      </c>
      <c r="Y12" s="1097">
        <v>0</v>
      </c>
      <c r="Z12" s="1128">
        <v>0</v>
      </c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</row>
    <row r="13" spans="1:42" s="308" customFormat="1" ht="26.25" customHeight="1">
      <c r="A13" s="802">
        <v>2321</v>
      </c>
      <c r="B13" s="803">
        <v>6121</v>
      </c>
      <c r="C13" s="881">
        <v>7040</v>
      </c>
      <c r="D13" s="1108" t="s">
        <v>536</v>
      </c>
      <c r="E13" s="833" t="s">
        <v>241</v>
      </c>
      <c r="F13" s="834">
        <v>400</v>
      </c>
      <c r="G13" s="834">
        <v>2004</v>
      </c>
      <c r="H13" s="835">
        <v>2020</v>
      </c>
      <c r="I13" s="1126">
        <f t="shared" si="1"/>
        <v>241620</v>
      </c>
      <c r="J13" s="1096">
        <v>32065</v>
      </c>
      <c r="K13" s="1097">
        <v>38131</v>
      </c>
      <c r="L13" s="1129">
        <f t="shared" si="0"/>
        <v>104000</v>
      </c>
      <c r="M13" s="1099">
        <v>53000</v>
      </c>
      <c r="N13" s="1100">
        <v>30000</v>
      </c>
      <c r="O13" s="1101">
        <v>21000</v>
      </c>
      <c r="P13" s="1097">
        <v>0</v>
      </c>
      <c r="Q13" s="1105">
        <v>50000</v>
      </c>
      <c r="R13" s="1101">
        <v>17424</v>
      </c>
      <c r="S13" s="1097">
        <v>0</v>
      </c>
      <c r="T13" s="1105">
        <v>0</v>
      </c>
      <c r="U13" s="1101">
        <v>0</v>
      </c>
      <c r="V13" s="1097">
        <v>0</v>
      </c>
      <c r="W13" s="1105">
        <v>0</v>
      </c>
      <c r="X13" s="1101">
        <v>0</v>
      </c>
      <c r="Y13" s="1097">
        <v>0</v>
      </c>
      <c r="Z13" s="1128">
        <v>0</v>
      </c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</row>
    <row r="14" spans="1:42" s="308" customFormat="1" ht="26.25" customHeight="1">
      <c r="A14" s="802">
        <v>2321</v>
      </c>
      <c r="B14" s="803">
        <v>6121</v>
      </c>
      <c r="C14" s="879">
        <v>7049</v>
      </c>
      <c r="D14" s="884" t="s">
        <v>504</v>
      </c>
      <c r="E14" s="840" t="s">
        <v>241</v>
      </c>
      <c r="F14" s="841">
        <v>400</v>
      </c>
      <c r="G14" s="841">
        <v>2005</v>
      </c>
      <c r="H14" s="842">
        <v>2020</v>
      </c>
      <c r="I14" s="1126">
        <f t="shared" si="1"/>
        <v>25500</v>
      </c>
      <c r="J14" s="1096">
        <v>50</v>
      </c>
      <c r="K14" s="1097">
        <v>450</v>
      </c>
      <c r="L14" s="1129">
        <f t="shared" si="0"/>
        <v>5000</v>
      </c>
      <c r="M14" s="1099">
        <v>0</v>
      </c>
      <c r="N14" s="1100">
        <v>5000</v>
      </c>
      <c r="O14" s="1101">
        <v>0</v>
      </c>
      <c r="P14" s="1097">
        <v>0</v>
      </c>
      <c r="Q14" s="1105">
        <f>10000-10000</f>
        <v>0</v>
      </c>
      <c r="R14" s="1101">
        <v>0</v>
      </c>
      <c r="S14" s="1097">
        <v>0</v>
      </c>
      <c r="T14" s="1105">
        <v>10000</v>
      </c>
      <c r="U14" s="1101">
        <v>0</v>
      </c>
      <c r="V14" s="1097">
        <v>0</v>
      </c>
      <c r="W14" s="1105">
        <v>10000</v>
      </c>
      <c r="X14" s="1101">
        <v>0</v>
      </c>
      <c r="Y14" s="1097">
        <v>0</v>
      </c>
      <c r="Z14" s="1128">
        <v>0</v>
      </c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</row>
    <row r="15" spans="1:42" s="966" customFormat="1" ht="26.25" customHeight="1">
      <c r="A15" s="960">
        <v>2321</v>
      </c>
      <c r="B15" s="961">
        <v>6121</v>
      </c>
      <c r="C15" s="881">
        <v>7080</v>
      </c>
      <c r="D15" s="1108" t="s">
        <v>565</v>
      </c>
      <c r="E15" s="833" t="s">
        <v>243</v>
      </c>
      <c r="F15" s="834">
        <v>400</v>
      </c>
      <c r="G15" s="834">
        <v>2005</v>
      </c>
      <c r="H15" s="835">
        <v>2019</v>
      </c>
      <c r="I15" s="1126">
        <f t="shared" si="1"/>
        <v>29035</v>
      </c>
      <c r="J15" s="1096">
        <v>23436</v>
      </c>
      <c r="K15" s="1097">
        <v>4986</v>
      </c>
      <c r="L15" s="1129">
        <f t="shared" si="0"/>
        <v>613</v>
      </c>
      <c r="M15" s="1099">
        <v>613</v>
      </c>
      <c r="N15" s="1100">
        <v>0</v>
      </c>
      <c r="O15" s="1101">
        <v>0</v>
      </c>
      <c r="P15" s="1097">
        <v>0</v>
      </c>
      <c r="Q15" s="1105">
        <v>0</v>
      </c>
      <c r="R15" s="1101">
        <v>0</v>
      </c>
      <c r="S15" s="1097">
        <v>0</v>
      </c>
      <c r="T15" s="1105">
        <v>0</v>
      </c>
      <c r="U15" s="1101">
        <v>0</v>
      </c>
      <c r="V15" s="1097">
        <v>0</v>
      </c>
      <c r="W15" s="1105">
        <v>0</v>
      </c>
      <c r="X15" s="1101">
        <v>0</v>
      </c>
      <c r="Y15" s="1097">
        <v>0</v>
      </c>
      <c r="Z15" s="1128">
        <v>0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308" customFormat="1" ht="26.25" customHeight="1">
      <c r="A16" s="802">
        <v>2321</v>
      </c>
      <c r="B16" s="803">
        <v>6121</v>
      </c>
      <c r="C16" s="880">
        <v>7081</v>
      </c>
      <c r="D16" s="1109" t="s">
        <v>244</v>
      </c>
      <c r="E16" s="833" t="s">
        <v>245</v>
      </c>
      <c r="F16" s="834">
        <v>400</v>
      </c>
      <c r="G16" s="834">
        <v>2004</v>
      </c>
      <c r="H16" s="835">
        <v>2022</v>
      </c>
      <c r="I16" s="1126">
        <f t="shared" si="1"/>
        <v>297300</v>
      </c>
      <c r="J16" s="1096">
        <v>56380</v>
      </c>
      <c r="K16" s="1097">
        <v>3000</v>
      </c>
      <c r="L16" s="1129">
        <f t="shared" si="0"/>
        <v>7200</v>
      </c>
      <c r="M16" s="1099">
        <v>6200</v>
      </c>
      <c r="N16" s="1100">
        <v>1000</v>
      </c>
      <c r="O16" s="1101">
        <v>0</v>
      </c>
      <c r="P16" s="1097">
        <v>0</v>
      </c>
      <c r="Q16" s="1105">
        <v>52000</v>
      </c>
      <c r="R16" s="1101">
        <v>0</v>
      </c>
      <c r="S16" s="1097">
        <v>0</v>
      </c>
      <c r="T16" s="1105">
        <v>54000</v>
      </c>
      <c r="U16" s="1101">
        <v>0</v>
      </c>
      <c r="V16" s="1097">
        <v>0</v>
      </c>
      <c r="W16" s="1105">
        <v>55000</v>
      </c>
      <c r="X16" s="1101">
        <v>0</v>
      </c>
      <c r="Y16" s="1097">
        <v>0</v>
      </c>
      <c r="Z16" s="1128">
        <v>69720</v>
      </c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</row>
    <row r="17" spans="1:42" s="308" customFormat="1" ht="26.25" customHeight="1">
      <c r="A17" s="802">
        <v>2321</v>
      </c>
      <c r="B17" s="803">
        <v>6121</v>
      </c>
      <c r="C17" s="880">
        <v>7088</v>
      </c>
      <c r="D17" s="1109" t="s">
        <v>249</v>
      </c>
      <c r="E17" s="833" t="s">
        <v>250</v>
      </c>
      <c r="F17" s="834">
        <v>400</v>
      </c>
      <c r="G17" s="834">
        <v>2004</v>
      </c>
      <c r="H17" s="835">
        <v>2021</v>
      </c>
      <c r="I17" s="1126">
        <f t="shared" si="1"/>
        <v>71300</v>
      </c>
      <c r="J17" s="1096">
        <v>17472</v>
      </c>
      <c r="K17" s="1097">
        <v>1000</v>
      </c>
      <c r="L17" s="1129">
        <f t="shared" si="0"/>
        <v>6000</v>
      </c>
      <c r="M17" s="1099">
        <v>5000</v>
      </c>
      <c r="N17" s="1100">
        <v>1000</v>
      </c>
      <c r="O17" s="1101">
        <v>0</v>
      </c>
      <c r="P17" s="1097">
        <v>0</v>
      </c>
      <c r="Q17" s="1105">
        <v>24600</v>
      </c>
      <c r="R17" s="1101">
        <v>0</v>
      </c>
      <c r="S17" s="1097">
        <v>0</v>
      </c>
      <c r="T17" s="1105">
        <v>20000</v>
      </c>
      <c r="U17" s="1101">
        <v>0</v>
      </c>
      <c r="V17" s="1097">
        <v>0</v>
      </c>
      <c r="W17" s="1105">
        <v>2228</v>
      </c>
      <c r="X17" s="1101">
        <v>0</v>
      </c>
      <c r="Y17" s="1097">
        <v>0</v>
      </c>
      <c r="Z17" s="1128">
        <v>0</v>
      </c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</row>
    <row r="18" spans="1:42" s="308" customFormat="1" ht="26.25" customHeight="1">
      <c r="A18" s="802">
        <v>2321</v>
      </c>
      <c r="B18" s="803">
        <v>6121</v>
      </c>
      <c r="C18" s="879">
        <v>7089</v>
      </c>
      <c r="D18" s="884" t="s">
        <v>251</v>
      </c>
      <c r="E18" s="840" t="s">
        <v>248</v>
      </c>
      <c r="F18" s="841">
        <v>400</v>
      </c>
      <c r="G18" s="841">
        <v>2011</v>
      </c>
      <c r="H18" s="842">
        <v>2018</v>
      </c>
      <c r="I18" s="1126">
        <f t="shared" si="1"/>
        <v>61225</v>
      </c>
      <c r="J18" s="1096">
        <v>31125</v>
      </c>
      <c r="K18" s="1097">
        <v>100</v>
      </c>
      <c r="L18" s="1129">
        <f t="shared" si="0"/>
        <v>20000</v>
      </c>
      <c r="M18" s="1099">
        <v>0</v>
      </c>
      <c r="N18" s="1100">
        <v>20000</v>
      </c>
      <c r="O18" s="1101">
        <v>0</v>
      </c>
      <c r="P18" s="1097">
        <v>0</v>
      </c>
      <c r="Q18" s="1105">
        <v>10000</v>
      </c>
      <c r="R18" s="1101">
        <v>0</v>
      </c>
      <c r="S18" s="1097">
        <v>0</v>
      </c>
      <c r="T18" s="1105">
        <v>0</v>
      </c>
      <c r="U18" s="1101">
        <v>0</v>
      </c>
      <c r="V18" s="1097">
        <v>0</v>
      </c>
      <c r="W18" s="1105">
        <v>0</v>
      </c>
      <c r="X18" s="1101">
        <v>0</v>
      </c>
      <c r="Y18" s="1097">
        <v>0</v>
      </c>
      <c r="Z18" s="1128">
        <v>0</v>
      </c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</row>
    <row r="19" spans="1:42" s="308" customFormat="1" ht="26.25" customHeight="1">
      <c r="A19" s="802">
        <v>2321</v>
      </c>
      <c r="B19" s="803">
        <v>6121</v>
      </c>
      <c r="C19" s="880">
        <v>7090</v>
      </c>
      <c r="D19" s="1109" t="s">
        <v>252</v>
      </c>
      <c r="E19" s="840" t="s">
        <v>246</v>
      </c>
      <c r="F19" s="834">
        <v>400</v>
      </c>
      <c r="G19" s="834">
        <v>2016</v>
      </c>
      <c r="H19" s="835">
        <v>2020</v>
      </c>
      <c r="I19" s="1126">
        <f t="shared" si="1"/>
        <v>76829</v>
      </c>
      <c r="J19" s="1096">
        <v>930</v>
      </c>
      <c r="K19" s="1097">
        <v>39</v>
      </c>
      <c r="L19" s="1129">
        <f t="shared" si="0"/>
        <v>860</v>
      </c>
      <c r="M19" s="1099">
        <f>100+760</f>
        <v>860</v>
      </c>
      <c r="N19" s="1100">
        <v>0</v>
      </c>
      <c r="O19" s="1101">
        <v>0</v>
      </c>
      <c r="P19" s="1097">
        <v>0</v>
      </c>
      <c r="Q19" s="1105">
        <v>30000</v>
      </c>
      <c r="R19" s="1101">
        <v>0</v>
      </c>
      <c r="S19" s="1097">
        <v>0</v>
      </c>
      <c r="T19" s="1105">
        <v>30000</v>
      </c>
      <c r="U19" s="1101">
        <v>0</v>
      </c>
      <c r="V19" s="1097">
        <v>0</v>
      </c>
      <c r="W19" s="1105">
        <v>15000</v>
      </c>
      <c r="X19" s="1101">
        <v>0</v>
      </c>
      <c r="Y19" s="1097">
        <v>0</v>
      </c>
      <c r="Z19" s="1128">
        <v>0</v>
      </c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</row>
    <row r="20" spans="1:42" s="308" customFormat="1" ht="26.25" customHeight="1">
      <c r="A20" s="802">
        <v>2321</v>
      </c>
      <c r="B20" s="803">
        <v>6121</v>
      </c>
      <c r="C20" s="879">
        <v>7091</v>
      </c>
      <c r="D20" s="884" t="s">
        <v>253</v>
      </c>
      <c r="E20" s="833" t="s">
        <v>243</v>
      </c>
      <c r="F20" s="834">
        <v>400</v>
      </c>
      <c r="G20" s="834">
        <v>2005</v>
      </c>
      <c r="H20" s="835">
        <v>2021</v>
      </c>
      <c r="I20" s="1126">
        <f t="shared" si="1"/>
        <v>186039</v>
      </c>
      <c r="J20" s="1096">
        <v>4830</v>
      </c>
      <c r="K20" s="1097">
        <v>809</v>
      </c>
      <c r="L20" s="1129">
        <f t="shared" si="0"/>
        <v>30400</v>
      </c>
      <c r="M20" s="1099">
        <v>5400</v>
      </c>
      <c r="N20" s="1100">
        <v>25000</v>
      </c>
      <c r="O20" s="1101">
        <v>0</v>
      </c>
      <c r="P20" s="1097">
        <v>0</v>
      </c>
      <c r="Q20" s="1105">
        <f>100000-100000</f>
        <v>0</v>
      </c>
      <c r="R20" s="1101">
        <v>0</v>
      </c>
      <c r="S20" s="1097">
        <v>0</v>
      </c>
      <c r="T20" s="1105">
        <v>40000</v>
      </c>
      <c r="U20" s="1101">
        <v>0</v>
      </c>
      <c r="V20" s="1097">
        <v>0</v>
      </c>
      <c r="W20" s="1105">
        <v>40000</v>
      </c>
      <c r="X20" s="1101">
        <v>0</v>
      </c>
      <c r="Y20" s="1097">
        <v>0</v>
      </c>
      <c r="Z20" s="1128">
        <v>70000</v>
      </c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</row>
    <row r="21" spans="1:42" s="308" customFormat="1" ht="26.25" customHeight="1">
      <c r="A21" s="802">
        <v>2321</v>
      </c>
      <c r="B21" s="803">
        <v>6121</v>
      </c>
      <c r="C21" s="879">
        <v>7092</v>
      </c>
      <c r="D21" s="885" t="s">
        <v>505</v>
      </c>
      <c r="E21" s="840" t="s">
        <v>254</v>
      </c>
      <c r="F21" s="834">
        <v>400</v>
      </c>
      <c r="G21" s="834">
        <v>2009</v>
      </c>
      <c r="H21" s="835">
        <v>2021</v>
      </c>
      <c r="I21" s="1126">
        <f t="shared" si="1"/>
        <v>162642</v>
      </c>
      <c r="J21" s="1096">
        <v>10642</v>
      </c>
      <c r="K21" s="1097">
        <v>0</v>
      </c>
      <c r="L21" s="1129">
        <f t="shared" si="0"/>
        <v>2000</v>
      </c>
      <c r="M21" s="1099">
        <v>0</v>
      </c>
      <c r="N21" s="1100">
        <v>2000</v>
      </c>
      <c r="O21" s="1101">
        <v>0</v>
      </c>
      <c r="P21" s="1097">
        <v>0</v>
      </c>
      <c r="Q21" s="1105">
        <f>50000-50000</f>
        <v>0</v>
      </c>
      <c r="R21" s="1101">
        <v>0</v>
      </c>
      <c r="S21" s="1097">
        <v>0</v>
      </c>
      <c r="T21" s="1105">
        <v>50000</v>
      </c>
      <c r="U21" s="1101">
        <v>0</v>
      </c>
      <c r="V21" s="1097">
        <v>0</v>
      </c>
      <c r="W21" s="1105">
        <v>50000</v>
      </c>
      <c r="X21" s="1101">
        <v>0</v>
      </c>
      <c r="Y21" s="1097">
        <v>0</v>
      </c>
      <c r="Z21" s="1128">
        <v>50000</v>
      </c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</row>
    <row r="22" spans="1:42" s="308" customFormat="1" ht="26.25" customHeight="1">
      <c r="A22" s="802">
        <v>2321</v>
      </c>
      <c r="B22" s="803">
        <v>6121</v>
      </c>
      <c r="C22" s="880">
        <v>7093</v>
      </c>
      <c r="D22" s="1109" t="s">
        <v>506</v>
      </c>
      <c r="E22" s="840" t="s">
        <v>254</v>
      </c>
      <c r="F22" s="834">
        <v>400</v>
      </c>
      <c r="G22" s="834">
        <v>2005</v>
      </c>
      <c r="H22" s="835">
        <v>2022</v>
      </c>
      <c r="I22" s="1126">
        <f t="shared" si="1"/>
        <v>97857</v>
      </c>
      <c r="J22" s="1096">
        <v>2707</v>
      </c>
      <c r="K22" s="1097">
        <v>0</v>
      </c>
      <c r="L22" s="1129">
        <f t="shared" si="0"/>
        <v>1000</v>
      </c>
      <c r="M22" s="1099">
        <v>1000</v>
      </c>
      <c r="N22" s="1100">
        <v>0</v>
      </c>
      <c r="O22" s="1101">
        <v>0</v>
      </c>
      <c r="P22" s="1097">
        <v>0</v>
      </c>
      <c r="Q22" s="1105">
        <v>5650</v>
      </c>
      <c r="R22" s="1101">
        <v>0</v>
      </c>
      <c r="S22" s="1097">
        <v>0</v>
      </c>
      <c r="T22" s="1105">
        <v>50000</v>
      </c>
      <c r="U22" s="1101">
        <v>0</v>
      </c>
      <c r="V22" s="1097">
        <v>0</v>
      </c>
      <c r="W22" s="1105">
        <v>38500</v>
      </c>
      <c r="X22" s="1101">
        <v>0</v>
      </c>
      <c r="Y22" s="1097">
        <v>0</v>
      </c>
      <c r="Z22" s="1128">
        <v>0</v>
      </c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</row>
    <row r="23" spans="1:42" s="308" customFormat="1" ht="26.25" customHeight="1">
      <c r="A23" s="802">
        <v>2321</v>
      </c>
      <c r="B23" s="803">
        <v>6121</v>
      </c>
      <c r="C23" s="880">
        <v>7095</v>
      </c>
      <c r="D23" s="1109" t="s">
        <v>507</v>
      </c>
      <c r="E23" s="840" t="s">
        <v>255</v>
      </c>
      <c r="F23" s="841">
        <v>400</v>
      </c>
      <c r="G23" s="841">
        <v>2005</v>
      </c>
      <c r="H23" s="842">
        <v>2020</v>
      </c>
      <c r="I23" s="1126">
        <f t="shared" si="1"/>
        <v>81934</v>
      </c>
      <c r="J23" s="1096">
        <v>3434</v>
      </c>
      <c r="K23" s="1097">
        <v>170</v>
      </c>
      <c r="L23" s="1129">
        <f t="shared" si="0"/>
        <v>36490</v>
      </c>
      <c r="M23" s="1099">
        <v>12640</v>
      </c>
      <c r="N23" s="1100">
        <v>3850</v>
      </c>
      <c r="O23" s="1101">
        <v>20000</v>
      </c>
      <c r="P23" s="1097">
        <v>0</v>
      </c>
      <c r="Q23" s="1105">
        <v>25840</v>
      </c>
      <c r="R23" s="1101">
        <v>14000</v>
      </c>
      <c r="S23" s="1097">
        <v>0</v>
      </c>
      <c r="T23" s="1105">
        <v>2000</v>
      </c>
      <c r="U23" s="1101">
        <v>0</v>
      </c>
      <c r="V23" s="1097">
        <v>0</v>
      </c>
      <c r="W23" s="1105">
        <v>0</v>
      </c>
      <c r="X23" s="1101">
        <v>0</v>
      </c>
      <c r="Y23" s="1097">
        <v>0</v>
      </c>
      <c r="Z23" s="1128">
        <v>0</v>
      </c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</row>
    <row r="24" spans="1:42" s="308" customFormat="1" ht="26.25" customHeight="1">
      <c r="A24" s="802">
        <v>2321</v>
      </c>
      <c r="B24" s="803">
        <v>6121</v>
      </c>
      <c r="C24" s="879">
        <v>7096</v>
      </c>
      <c r="D24" s="886" t="s">
        <v>508</v>
      </c>
      <c r="E24" s="833" t="s">
        <v>254</v>
      </c>
      <c r="F24" s="834">
        <v>400</v>
      </c>
      <c r="G24" s="834">
        <v>2010</v>
      </c>
      <c r="H24" s="835">
        <v>2021</v>
      </c>
      <c r="I24" s="1126">
        <f t="shared" si="1"/>
        <v>122795</v>
      </c>
      <c r="J24" s="1096">
        <v>745</v>
      </c>
      <c r="K24" s="1097">
        <v>0</v>
      </c>
      <c r="L24" s="1129">
        <f t="shared" si="0"/>
        <v>3000</v>
      </c>
      <c r="M24" s="1099">
        <v>3000</v>
      </c>
      <c r="N24" s="1100">
        <v>0</v>
      </c>
      <c r="O24" s="1101">
        <v>0</v>
      </c>
      <c r="P24" s="1097">
        <v>0</v>
      </c>
      <c r="Q24" s="1105">
        <f>27050-27050</f>
        <v>0</v>
      </c>
      <c r="R24" s="1101">
        <v>0</v>
      </c>
      <c r="S24" s="1097">
        <v>0</v>
      </c>
      <c r="T24" s="1105">
        <v>30000</v>
      </c>
      <c r="U24" s="1101">
        <v>31000</v>
      </c>
      <c r="V24" s="1097">
        <v>0</v>
      </c>
      <c r="W24" s="1105">
        <v>27050</v>
      </c>
      <c r="X24" s="1101">
        <v>31000</v>
      </c>
      <c r="Y24" s="1097">
        <v>0</v>
      </c>
      <c r="Z24" s="1128">
        <v>0</v>
      </c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</row>
    <row r="25" spans="1:42" s="308" customFormat="1" ht="26.25" customHeight="1">
      <c r="A25" s="802">
        <v>2321</v>
      </c>
      <c r="B25" s="803">
        <v>6121</v>
      </c>
      <c r="C25" s="879">
        <v>7097</v>
      </c>
      <c r="D25" s="1110" t="s">
        <v>509</v>
      </c>
      <c r="E25" s="833" t="s">
        <v>254</v>
      </c>
      <c r="F25" s="834">
        <v>400</v>
      </c>
      <c r="G25" s="834">
        <v>2010</v>
      </c>
      <c r="H25" s="835">
        <v>2022</v>
      </c>
      <c r="I25" s="1126">
        <f t="shared" si="1"/>
        <v>3600</v>
      </c>
      <c r="J25" s="1096">
        <v>100</v>
      </c>
      <c r="K25" s="1097">
        <v>0</v>
      </c>
      <c r="L25" s="1129">
        <f t="shared" si="0"/>
        <v>3500</v>
      </c>
      <c r="M25" s="1099">
        <v>2500</v>
      </c>
      <c r="N25" s="1100">
        <v>1000</v>
      </c>
      <c r="O25" s="1101">
        <v>0</v>
      </c>
      <c r="P25" s="1097">
        <v>0</v>
      </c>
      <c r="Q25" s="1105">
        <v>0</v>
      </c>
      <c r="R25" s="1101">
        <v>0</v>
      </c>
      <c r="S25" s="1097">
        <v>0</v>
      </c>
      <c r="T25" s="1105">
        <v>0</v>
      </c>
      <c r="U25" s="1101">
        <v>0</v>
      </c>
      <c r="V25" s="1097">
        <v>0</v>
      </c>
      <c r="W25" s="1105">
        <v>0</v>
      </c>
      <c r="X25" s="1101">
        <v>0</v>
      </c>
      <c r="Y25" s="1097">
        <v>0</v>
      </c>
      <c r="Z25" s="1128">
        <v>0</v>
      </c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</row>
    <row r="26" spans="1:42" s="308" customFormat="1" ht="26.25" customHeight="1">
      <c r="A26" s="802">
        <v>2321</v>
      </c>
      <c r="B26" s="803">
        <v>6121</v>
      </c>
      <c r="C26" s="879">
        <v>7120</v>
      </c>
      <c r="D26" s="1111" t="s">
        <v>256</v>
      </c>
      <c r="E26" s="840" t="s">
        <v>257</v>
      </c>
      <c r="F26" s="841">
        <v>400</v>
      </c>
      <c r="G26" s="841">
        <v>2007</v>
      </c>
      <c r="H26" s="842">
        <v>2021</v>
      </c>
      <c r="I26" s="1126">
        <f t="shared" si="1"/>
        <v>38423</v>
      </c>
      <c r="J26" s="1096">
        <v>1180</v>
      </c>
      <c r="K26" s="1097">
        <v>81</v>
      </c>
      <c r="L26" s="1129">
        <f t="shared" si="0"/>
        <v>1162</v>
      </c>
      <c r="M26" s="1099">
        <v>662</v>
      </c>
      <c r="N26" s="1100">
        <v>500</v>
      </c>
      <c r="O26" s="1101">
        <v>0</v>
      </c>
      <c r="P26" s="1097">
        <v>0</v>
      </c>
      <c r="Q26" s="1105">
        <v>17000</v>
      </c>
      <c r="R26" s="1101">
        <v>0</v>
      </c>
      <c r="S26" s="1097">
        <v>0</v>
      </c>
      <c r="T26" s="1105">
        <v>19000</v>
      </c>
      <c r="U26" s="1101">
        <v>0</v>
      </c>
      <c r="V26" s="1097">
        <v>0</v>
      </c>
      <c r="W26" s="1105">
        <v>0</v>
      </c>
      <c r="X26" s="1101">
        <v>0</v>
      </c>
      <c r="Y26" s="1097">
        <v>0</v>
      </c>
      <c r="Z26" s="1128">
        <v>0</v>
      </c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</row>
    <row r="27" spans="1:42" s="308" customFormat="1" ht="26.25" customHeight="1">
      <c r="A27" s="802">
        <v>2321</v>
      </c>
      <c r="B27" s="803">
        <v>6121</v>
      </c>
      <c r="C27" s="881">
        <v>7174</v>
      </c>
      <c r="D27" s="1108" t="s">
        <v>258</v>
      </c>
      <c r="E27" s="840" t="s">
        <v>257</v>
      </c>
      <c r="F27" s="841">
        <v>400</v>
      </c>
      <c r="G27" s="841">
        <v>2007</v>
      </c>
      <c r="H27" s="842">
        <v>2020</v>
      </c>
      <c r="I27" s="1126">
        <f t="shared" si="1"/>
        <v>55777</v>
      </c>
      <c r="J27" s="1096">
        <v>9980</v>
      </c>
      <c r="K27" s="1097">
        <v>707</v>
      </c>
      <c r="L27" s="1129">
        <f t="shared" si="0"/>
        <v>4090</v>
      </c>
      <c r="M27" s="1099">
        <f>3900+190</f>
        <v>4090</v>
      </c>
      <c r="N27" s="1100">
        <v>0</v>
      </c>
      <c r="O27" s="1101">
        <v>0</v>
      </c>
      <c r="P27" s="1097">
        <v>0</v>
      </c>
      <c r="Q27" s="1105">
        <v>1000</v>
      </c>
      <c r="R27" s="1101">
        <v>0</v>
      </c>
      <c r="S27" s="1097">
        <v>0</v>
      </c>
      <c r="T27" s="1105">
        <v>20000</v>
      </c>
      <c r="U27" s="1101">
        <v>0</v>
      </c>
      <c r="V27" s="1097">
        <v>0</v>
      </c>
      <c r="W27" s="1105">
        <v>20000</v>
      </c>
      <c r="X27" s="1101">
        <v>0</v>
      </c>
      <c r="Y27" s="1097">
        <v>0</v>
      </c>
      <c r="Z27" s="1128">
        <v>0</v>
      </c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</row>
    <row r="28" spans="1:42" s="308" customFormat="1" ht="26.25" customHeight="1">
      <c r="A28" s="802">
        <v>2321</v>
      </c>
      <c r="B28" s="803">
        <v>6121</v>
      </c>
      <c r="C28" s="879">
        <v>7187</v>
      </c>
      <c r="D28" s="886" t="s">
        <v>510</v>
      </c>
      <c r="E28" s="833" t="s">
        <v>254</v>
      </c>
      <c r="F28" s="834">
        <v>400</v>
      </c>
      <c r="G28" s="834">
        <v>2005</v>
      </c>
      <c r="H28" s="835">
        <v>2020</v>
      </c>
      <c r="I28" s="1126">
        <f t="shared" si="1"/>
        <v>28621</v>
      </c>
      <c r="J28" s="1096">
        <v>1461</v>
      </c>
      <c r="K28" s="1097">
        <v>0</v>
      </c>
      <c r="L28" s="1129">
        <f t="shared" si="0"/>
        <v>100</v>
      </c>
      <c r="M28" s="1099">
        <v>100</v>
      </c>
      <c r="N28" s="1100">
        <v>0</v>
      </c>
      <c r="O28" s="1101">
        <v>0</v>
      </c>
      <c r="P28" s="1097">
        <v>0</v>
      </c>
      <c r="Q28" s="1105">
        <f>27060-27060</f>
        <v>0</v>
      </c>
      <c r="R28" s="1101">
        <v>0</v>
      </c>
      <c r="S28" s="1097">
        <v>0</v>
      </c>
      <c r="T28" s="1105">
        <v>0</v>
      </c>
      <c r="U28" s="1101">
        <v>0</v>
      </c>
      <c r="V28" s="1097">
        <v>0</v>
      </c>
      <c r="W28" s="1105">
        <v>0</v>
      </c>
      <c r="X28" s="1101">
        <v>0</v>
      </c>
      <c r="Y28" s="1097">
        <v>0</v>
      </c>
      <c r="Z28" s="1128">
        <v>27060</v>
      </c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</row>
    <row r="29" spans="1:42" s="308" customFormat="1" ht="26.25" customHeight="1">
      <c r="A29" s="802">
        <v>2321</v>
      </c>
      <c r="B29" s="803">
        <v>6121</v>
      </c>
      <c r="C29" s="879">
        <v>7200</v>
      </c>
      <c r="D29" s="884" t="s">
        <v>511</v>
      </c>
      <c r="E29" s="840" t="s">
        <v>254</v>
      </c>
      <c r="F29" s="841">
        <v>400</v>
      </c>
      <c r="G29" s="841">
        <v>2005</v>
      </c>
      <c r="H29" s="842">
        <v>2020</v>
      </c>
      <c r="I29" s="1126">
        <f t="shared" si="1"/>
        <v>16700</v>
      </c>
      <c r="J29" s="1096">
        <v>1141</v>
      </c>
      <c r="K29" s="1097">
        <v>0</v>
      </c>
      <c r="L29" s="1129">
        <f t="shared" si="0"/>
        <v>100</v>
      </c>
      <c r="M29" s="1099">
        <v>100</v>
      </c>
      <c r="N29" s="1100">
        <v>0</v>
      </c>
      <c r="O29" s="1101">
        <v>0</v>
      </c>
      <c r="P29" s="1097">
        <v>0</v>
      </c>
      <c r="Q29" s="1105">
        <f>15459-15459</f>
        <v>0</v>
      </c>
      <c r="R29" s="1101">
        <v>0</v>
      </c>
      <c r="S29" s="1097">
        <v>0</v>
      </c>
      <c r="T29" s="1105">
        <v>0</v>
      </c>
      <c r="U29" s="1101">
        <v>0</v>
      </c>
      <c r="V29" s="1097">
        <v>0</v>
      </c>
      <c r="W29" s="1105">
        <v>0</v>
      </c>
      <c r="X29" s="1101">
        <v>0</v>
      </c>
      <c r="Y29" s="1097">
        <v>0</v>
      </c>
      <c r="Z29" s="1128">
        <v>15459</v>
      </c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</row>
    <row r="30" spans="1:42" s="308" customFormat="1" ht="26.25" customHeight="1">
      <c r="A30" s="802">
        <v>2321</v>
      </c>
      <c r="B30" s="803">
        <v>6121</v>
      </c>
      <c r="C30" s="881">
        <v>7201</v>
      </c>
      <c r="D30" s="1108" t="s">
        <v>512</v>
      </c>
      <c r="E30" s="833" t="s">
        <v>254</v>
      </c>
      <c r="F30" s="834">
        <v>400</v>
      </c>
      <c r="G30" s="834">
        <v>2009</v>
      </c>
      <c r="H30" s="835">
        <v>2020</v>
      </c>
      <c r="I30" s="1126">
        <f t="shared" si="1"/>
        <v>68990</v>
      </c>
      <c r="J30" s="1096">
        <v>5940</v>
      </c>
      <c r="K30" s="1097">
        <v>58984</v>
      </c>
      <c r="L30" s="1129">
        <f t="shared" si="0"/>
        <v>66</v>
      </c>
      <c r="M30" s="1099">
        <v>66</v>
      </c>
      <c r="N30" s="1100">
        <v>0</v>
      </c>
      <c r="O30" s="1101">
        <v>0</v>
      </c>
      <c r="P30" s="1097">
        <v>0</v>
      </c>
      <c r="Q30" s="1105">
        <v>4000</v>
      </c>
      <c r="R30" s="1101">
        <v>0</v>
      </c>
      <c r="S30" s="1097">
        <v>0</v>
      </c>
      <c r="T30" s="1105">
        <v>0</v>
      </c>
      <c r="U30" s="1101">
        <v>0</v>
      </c>
      <c r="V30" s="1097">
        <v>0</v>
      </c>
      <c r="W30" s="1105">
        <v>0</v>
      </c>
      <c r="X30" s="1101">
        <v>0</v>
      </c>
      <c r="Y30" s="1097">
        <v>0</v>
      </c>
      <c r="Z30" s="1128">
        <v>0</v>
      </c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</row>
    <row r="31" spans="1:42" s="308" customFormat="1" ht="26.25" customHeight="1">
      <c r="A31" s="802">
        <v>2321</v>
      </c>
      <c r="B31" s="803">
        <v>6121</v>
      </c>
      <c r="C31" s="882">
        <v>7210</v>
      </c>
      <c r="D31" s="886" t="s">
        <v>513</v>
      </c>
      <c r="E31" s="840" t="s">
        <v>239</v>
      </c>
      <c r="F31" s="834">
        <v>400</v>
      </c>
      <c r="G31" s="834">
        <v>2002</v>
      </c>
      <c r="H31" s="835">
        <v>2020</v>
      </c>
      <c r="I31" s="1126">
        <f t="shared" si="1"/>
        <v>13880</v>
      </c>
      <c r="J31" s="1096">
        <v>574</v>
      </c>
      <c r="K31" s="1097">
        <v>50</v>
      </c>
      <c r="L31" s="1129">
        <f t="shared" si="0"/>
        <v>956</v>
      </c>
      <c r="M31" s="1099">
        <v>956</v>
      </c>
      <c r="N31" s="1100">
        <v>0</v>
      </c>
      <c r="O31" s="1101">
        <v>0</v>
      </c>
      <c r="P31" s="1097">
        <v>0</v>
      </c>
      <c r="Q31" s="1105">
        <f>12300-12300</f>
        <v>0</v>
      </c>
      <c r="R31" s="1101">
        <v>0</v>
      </c>
      <c r="S31" s="1097">
        <v>0</v>
      </c>
      <c r="T31" s="1105">
        <v>0</v>
      </c>
      <c r="U31" s="1101">
        <v>0</v>
      </c>
      <c r="V31" s="1097">
        <v>0</v>
      </c>
      <c r="W31" s="1105">
        <v>0</v>
      </c>
      <c r="X31" s="1101">
        <v>0</v>
      </c>
      <c r="Y31" s="1097">
        <v>0</v>
      </c>
      <c r="Z31" s="1128">
        <v>12300</v>
      </c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</row>
    <row r="32" spans="1:42" s="308" customFormat="1" ht="26.25" customHeight="1">
      <c r="A32" s="802">
        <v>2321</v>
      </c>
      <c r="B32" s="803">
        <v>6121</v>
      </c>
      <c r="C32" s="880">
        <v>7213</v>
      </c>
      <c r="D32" s="1109" t="s">
        <v>259</v>
      </c>
      <c r="E32" s="840" t="s">
        <v>260</v>
      </c>
      <c r="F32" s="841">
        <v>400</v>
      </c>
      <c r="G32" s="841">
        <v>2011</v>
      </c>
      <c r="H32" s="842">
        <v>2020</v>
      </c>
      <c r="I32" s="1126">
        <f t="shared" si="1"/>
        <v>155522</v>
      </c>
      <c r="J32" s="1096">
        <v>4403</v>
      </c>
      <c r="K32" s="1097">
        <v>778</v>
      </c>
      <c r="L32" s="1129">
        <f t="shared" si="0"/>
        <v>25341</v>
      </c>
      <c r="M32" s="1099">
        <f>11441+2700</f>
        <v>14141</v>
      </c>
      <c r="N32" s="1100">
        <v>11200</v>
      </c>
      <c r="O32" s="1101">
        <v>0</v>
      </c>
      <c r="P32" s="1097">
        <v>0</v>
      </c>
      <c r="Q32" s="1105">
        <f>65000-50000</f>
        <v>15000</v>
      </c>
      <c r="R32" s="1101">
        <v>0</v>
      </c>
      <c r="S32" s="1097">
        <v>0</v>
      </c>
      <c r="T32" s="1105">
        <v>60000</v>
      </c>
      <c r="U32" s="1101">
        <v>0</v>
      </c>
      <c r="V32" s="1097">
        <v>0</v>
      </c>
      <c r="W32" s="1105">
        <v>50000</v>
      </c>
      <c r="X32" s="1101">
        <v>0</v>
      </c>
      <c r="Y32" s="1097">
        <v>0</v>
      </c>
      <c r="Z32" s="1128">
        <v>0</v>
      </c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</row>
    <row r="33" spans="1:42" s="308" customFormat="1" ht="26.25" customHeight="1">
      <c r="A33" s="802">
        <v>2321</v>
      </c>
      <c r="B33" s="803">
        <v>6121</v>
      </c>
      <c r="C33" s="880">
        <v>7231</v>
      </c>
      <c r="D33" s="1109" t="s">
        <v>262</v>
      </c>
      <c r="E33" s="840" t="s">
        <v>263</v>
      </c>
      <c r="F33" s="841">
        <v>400</v>
      </c>
      <c r="G33" s="841">
        <v>2012</v>
      </c>
      <c r="H33" s="842">
        <v>2021</v>
      </c>
      <c r="I33" s="1126">
        <f t="shared" si="1"/>
        <v>11483</v>
      </c>
      <c r="J33" s="1096">
        <v>4300</v>
      </c>
      <c r="K33" s="1097">
        <v>183</v>
      </c>
      <c r="L33" s="1129">
        <f t="shared" si="0"/>
        <v>1000</v>
      </c>
      <c r="M33" s="1099">
        <v>0</v>
      </c>
      <c r="N33" s="1100">
        <v>1000</v>
      </c>
      <c r="O33" s="1101">
        <v>0</v>
      </c>
      <c r="P33" s="1097">
        <v>0</v>
      </c>
      <c r="Q33" s="1105">
        <v>2000</v>
      </c>
      <c r="R33" s="1101">
        <v>0</v>
      </c>
      <c r="S33" s="1097">
        <v>0</v>
      </c>
      <c r="T33" s="1105">
        <v>2000</v>
      </c>
      <c r="U33" s="1101">
        <v>0</v>
      </c>
      <c r="V33" s="1097">
        <v>0</v>
      </c>
      <c r="W33" s="1105">
        <v>2000</v>
      </c>
      <c r="X33" s="1101">
        <v>0</v>
      </c>
      <c r="Y33" s="1097">
        <v>0</v>
      </c>
      <c r="Z33" s="1128">
        <v>0</v>
      </c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</row>
    <row r="34" spans="1:42" s="308" customFormat="1" ht="26.25" customHeight="1">
      <c r="A34" s="802">
        <v>2321</v>
      </c>
      <c r="B34" s="803">
        <v>6121</v>
      </c>
      <c r="C34" s="880">
        <v>7232</v>
      </c>
      <c r="D34" s="1109" t="s">
        <v>557</v>
      </c>
      <c r="E34" s="833" t="s">
        <v>263</v>
      </c>
      <c r="F34" s="834">
        <v>400</v>
      </c>
      <c r="G34" s="834">
        <v>2012</v>
      </c>
      <c r="H34" s="835">
        <v>2022</v>
      </c>
      <c r="I34" s="1126">
        <f t="shared" si="1"/>
        <v>9200</v>
      </c>
      <c r="J34" s="1096">
        <v>0</v>
      </c>
      <c r="K34" s="1097">
        <v>0</v>
      </c>
      <c r="L34" s="1129">
        <f t="shared" si="0"/>
        <v>3200</v>
      </c>
      <c r="M34" s="1099">
        <v>2200</v>
      </c>
      <c r="N34" s="1100">
        <v>1000</v>
      </c>
      <c r="O34" s="1101">
        <v>0</v>
      </c>
      <c r="P34" s="1097">
        <v>0</v>
      </c>
      <c r="Q34" s="1105">
        <v>2000</v>
      </c>
      <c r="R34" s="1101">
        <v>0</v>
      </c>
      <c r="S34" s="1097">
        <v>0</v>
      </c>
      <c r="T34" s="1105">
        <v>2000</v>
      </c>
      <c r="U34" s="1101">
        <v>0</v>
      </c>
      <c r="V34" s="1097">
        <v>0</v>
      </c>
      <c r="W34" s="1105">
        <v>2000</v>
      </c>
      <c r="X34" s="1101">
        <v>0</v>
      </c>
      <c r="Y34" s="1097">
        <v>0</v>
      </c>
      <c r="Z34" s="1128">
        <v>0</v>
      </c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</row>
    <row r="35" spans="1:42" s="308" customFormat="1" ht="26.25" customHeight="1">
      <c r="A35" s="802">
        <v>2321</v>
      </c>
      <c r="B35" s="803">
        <v>6121</v>
      </c>
      <c r="C35" s="880">
        <v>7233</v>
      </c>
      <c r="D35" s="1109" t="s">
        <v>264</v>
      </c>
      <c r="E35" s="840" t="s">
        <v>263</v>
      </c>
      <c r="F35" s="841">
        <v>400</v>
      </c>
      <c r="G35" s="841">
        <v>2012</v>
      </c>
      <c r="H35" s="842">
        <v>2020</v>
      </c>
      <c r="I35" s="1126">
        <f t="shared" si="1"/>
        <v>9000</v>
      </c>
      <c r="J35" s="1096">
        <v>4917</v>
      </c>
      <c r="K35" s="1097">
        <v>2300</v>
      </c>
      <c r="L35" s="1129">
        <f t="shared" si="0"/>
        <v>1000</v>
      </c>
      <c r="M35" s="1099">
        <v>300</v>
      </c>
      <c r="N35" s="1100">
        <v>700</v>
      </c>
      <c r="O35" s="1101">
        <v>0</v>
      </c>
      <c r="P35" s="1097">
        <v>0</v>
      </c>
      <c r="Q35" s="1105">
        <v>500</v>
      </c>
      <c r="R35" s="1101">
        <v>0</v>
      </c>
      <c r="S35" s="1097">
        <v>0</v>
      </c>
      <c r="T35" s="1105">
        <v>283</v>
      </c>
      <c r="U35" s="1101">
        <v>0</v>
      </c>
      <c r="V35" s="1097">
        <v>0</v>
      </c>
      <c r="W35" s="1105">
        <v>0</v>
      </c>
      <c r="X35" s="1101">
        <v>0</v>
      </c>
      <c r="Y35" s="1097">
        <v>0</v>
      </c>
      <c r="Z35" s="1128">
        <v>0</v>
      </c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</row>
    <row r="36" spans="1:42" s="308" customFormat="1" ht="26.25" customHeight="1">
      <c r="A36" s="802">
        <v>2321</v>
      </c>
      <c r="B36" s="803">
        <v>6121</v>
      </c>
      <c r="C36" s="880">
        <v>7234</v>
      </c>
      <c r="D36" s="1109" t="s">
        <v>265</v>
      </c>
      <c r="E36" s="833" t="s">
        <v>263</v>
      </c>
      <c r="F36" s="834">
        <v>400</v>
      </c>
      <c r="G36" s="834">
        <v>2012</v>
      </c>
      <c r="H36" s="835">
        <v>2022</v>
      </c>
      <c r="I36" s="1126">
        <f t="shared" si="1"/>
        <v>9037</v>
      </c>
      <c r="J36" s="1130">
        <v>1087</v>
      </c>
      <c r="K36" s="1131">
        <v>0</v>
      </c>
      <c r="L36" s="1129">
        <f t="shared" si="0"/>
        <v>1950</v>
      </c>
      <c r="M36" s="1132">
        <v>950</v>
      </c>
      <c r="N36" s="1133">
        <v>1000</v>
      </c>
      <c r="O36" s="1134">
        <v>0</v>
      </c>
      <c r="P36" s="1131">
        <v>0</v>
      </c>
      <c r="Q36" s="1135">
        <v>2000</v>
      </c>
      <c r="R36" s="1134">
        <v>0</v>
      </c>
      <c r="S36" s="1131">
        <v>0</v>
      </c>
      <c r="T36" s="1135">
        <v>2000</v>
      </c>
      <c r="U36" s="1134">
        <v>0</v>
      </c>
      <c r="V36" s="1131">
        <v>0</v>
      </c>
      <c r="W36" s="1135">
        <v>2000</v>
      </c>
      <c r="X36" s="1134">
        <v>0</v>
      </c>
      <c r="Y36" s="1131">
        <v>0</v>
      </c>
      <c r="Z36" s="1136">
        <v>0</v>
      </c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</row>
    <row r="37" spans="1:42" s="308" customFormat="1" ht="26.25" customHeight="1">
      <c r="A37" s="802">
        <v>2321</v>
      </c>
      <c r="B37" s="803">
        <v>6121</v>
      </c>
      <c r="C37" s="880">
        <v>7236</v>
      </c>
      <c r="D37" s="1109" t="s">
        <v>162</v>
      </c>
      <c r="E37" s="840" t="s">
        <v>263</v>
      </c>
      <c r="F37" s="841">
        <v>400</v>
      </c>
      <c r="G37" s="841">
        <v>2012</v>
      </c>
      <c r="H37" s="842">
        <v>2021</v>
      </c>
      <c r="I37" s="1126">
        <f t="shared" si="1"/>
        <v>10900</v>
      </c>
      <c r="J37" s="1130">
        <v>0</v>
      </c>
      <c r="K37" s="1131">
        <v>0</v>
      </c>
      <c r="L37" s="1129">
        <f t="shared" si="0"/>
        <v>4900</v>
      </c>
      <c r="M37" s="1132">
        <v>2500</v>
      </c>
      <c r="N37" s="1133">
        <v>2400</v>
      </c>
      <c r="O37" s="1134">
        <v>0</v>
      </c>
      <c r="P37" s="1131">
        <v>0</v>
      </c>
      <c r="Q37" s="1135">
        <v>2000</v>
      </c>
      <c r="R37" s="1134">
        <v>0</v>
      </c>
      <c r="S37" s="1131">
        <v>0</v>
      </c>
      <c r="T37" s="1135">
        <v>2000</v>
      </c>
      <c r="U37" s="1134">
        <v>0</v>
      </c>
      <c r="V37" s="1131">
        <v>0</v>
      </c>
      <c r="W37" s="1135">
        <v>2000</v>
      </c>
      <c r="X37" s="1134">
        <v>0</v>
      </c>
      <c r="Y37" s="1131">
        <v>0</v>
      </c>
      <c r="Z37" s="1136">
        <v>0</v>
      </c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</row>
    <row r="38" spans="1:42" s="308" customFormat="1" ht="26.25" customHeight="1">
      <c r="A38" s="802">
        <v>2321</v>
      </c>
      <c r="B38" s="803">
        <v>6121</v>
      </c>
      <c r="C38" s="880">
        <v>7254</v>
      </c>
      <c r="D38" s="1109" t="s">
        <v>267</v>
      </c>
      <c r="E38" s="833" t="s">
        <v>254</v>
      </c>
      <c r="F38" s="834">
        <v>400</v>
      </c>
      <c r="G38" s="834">
        <v>2010</v>
      </c>
      <c r="H38" s="835">
        <v>2019</v>
      </c>
      <c r="I38" s="1126">
        <f t="shared" si="1"/>
        <v>7136</v>
      </c>
      <c r="J38" s="1130">
        <v>120</v>
      </c>
      <c r="K38" s="1131">
        <v>23</v>
      </c>
      <c r="L38" s="1129">
        <f t="shared" si="0"/>
        <v>6993</v>
      </c>
      <c r="M38" s="1132">
        <v>127</v>
      </c>
      <c r="N38" s="1133">
        <v>170</v>
      </c>
      <c r="O38" s="1134">
        <v>6696</v>
      </c>
      <c r="P38" s="1131">
        <v>0</v>
      </c>
      <c r="Q38" s="1135">
        <v>0</v>
      </c>
      <c r="R38" s="1134">
        <v>0</v>
      </c>
      <c r="S38" s="1131">
        <v>0</v>
      </c>
      <c r="T38" s="1135">
        <v>0</v>
      </c>
      <c r="U38" s="1134">
        <v>0</v>
      </c>
      <c r="V38" s="1131">
        <v>0</v>
      </c>
      <c r="W38" s="1135">
        <v>0</v>
      </c>
      <c r="X38" s="1134">
        <v>0</v>
      </c>
      <c r="Y38" s="1131">
        <v>0</v>
      </c>
      <c r="Z38" s="1136">
        <v>0</v>
      </c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</row>
    <row r="39" spans="1:42" s="308" customFormat="1" ht="26.25" customHeight="1">
      <c r="A39" s="802">
        <v>2321</v>
      </c>
      <c r="B39" s="803">
        <v>6121</v>
      </c>
      <c r="C39" s="880">
        <v>7255</v>
      </c>
      <c r="D39" s="1109" t="s">
        <v>268</v>
      </c>
      <c r="E39" s="833" t="s">
        <v>248</v>
      </c>
      <c r="F39" s="834">
        <v>400</v>
      </c>
      <c r="G39" s="834">
        <v>2010</v>
      </c>
      <c r="H39" s="835">
        <v>2019</v>
      </c>
      <c r="I39" s="1126">
        <f t="shared" si="1"/>
        <v>1247</v>
      </c>
      <c r="J39" s="1130">
        <v>918</v>
      </c>
      <c r="K39" s="1131">
        <v>35</v>
      </c>
      <c r="L39" s="1129">
        <f t="shared" si="0"/>
        <v>294</v>
      </c>
      <c r="M39" s="1132">
        <v>294</v>
      </c>
      <c r="N39" s="1133">
        <v>0</v>
      </c>
      <c r="O39" s="1134">
        <v>0</v>
      </c>
      <c r="P39" s="1131">
        <v>0</v>
      </c>
      <c r="Q39" s="1135">
        <v>0</v>
      </c>
      <c r="R39" s="1134">
        <v>0</v>
      </c>
      <c r="S39" s="1131">
        <v>0</v>
      </c>
      <c r="T39" s="1135">
        <v>0</v>
      </c>
      <c r="U39" s="1134">
        <v>0</v>
      </c>
      <c r="V39" s="1131">
        <v>0</v>
      </c>
      <c r="W39" s="1135">
        <v>0</v>
      </c>
      <c r="X39" s="1134">
        <v>0</v>
      </c>
      <c r="Y39" s="1131">
        <v>0</v>
      </c>
      <c r="Z39" s="1136">
        <v>0</v>
      </c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</row>
    <row r="40" spans="1:42" s="308" customFormat="1" ht="26.25" customHeight="1">
      <c r="A40" s="802">
        <v>2321</v>
      </c>
      <c r="B40" s="803">
        <v>6121</v>
      </c>
      <c r="C40" s="881">
        <v>7256</v>
      </c>
      <c r="D40" s="1108" t="s">
        <v>514</v>
      </c>
      <c r="E40" s="840" t="s">
        <v>261</v>
      </c>
      <c r="F40" s="841">
        <v>400</v>
      </c>
      <c r="G40" s="841">
        <v>2013</v>
      </c>
      <c r="H40" s="842">
        <v>2020</v>
      </c>
      <c r="I40" s="1126">
        <f t="shared" si="1"/>
        <v>27401</v>
      </c>
      <c r="J40" s="1130">
        <v>5351</v>
      </c>
      <c r="K40" s="1131">
        <v>50</v>
      </c>
      <c r="L40" s="1129">
        <f t="shared" si="0"/>
        <v>2000</v>
      </c>
      <c r="M40" s="1132">
        <v>0</v>
      </c>
      <c r="N40" s="1133">
        <v>2000</v>
      </c>
      <c r="O40" s="1134">
        <v>0</v>
      </c>
      <c r="P40" s="1131">
        <v>0</v>
      </c>
      <c r="Q40" s="1135">
        <v>10000</v>
      </c>
      <c r="R40" s="1134">
        <v>0</v>
      </c>
      <c r="S40" s="1131">
        <v>0</v>
      </c>
      <c r="T40" s="1135">
        <v>10000</v>
      </c>
      <c r="U40" s="1134">
        <v>0</v>
      </c>
      <c r="V40" s="1131">
        <v>0</v>
      </c>
      <c r="W40" s="1135">
        <v>0</v>
      </c>
      <c r="X40" s="1134">
        <v>0</v>
      </c>
      <c r="Y40" s="1131">
        <v>0</v>
      </c>
      <c r="Z40" s="1136">
        <v>0</v>
      </c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</row>
    <row r="41" spans="1:42" s="308" customFormat="1" ht="26.25" customHeight="1">
      <c r="A41" s="802">
        <v>2321</v>
      </c>
      <c r="B41" s="803">
        <v>6121</v>
      </c>
      <c r="C41" s="879">
        <v>7257</v>
      </c>
      <c r="D41" s="885" t="s">
        <v>515</v>
      </c>
      <c r="E41" s="843" t="s">
        <v>254</v>
      </c>
      <c r="F41" s="844">
        <v>400</v>
      </c>
      <c r="G41" s="844">
        <v>2013</v>
      </c>
      <c r="H41" s="845">
        <v>2021</v>
      </c>
      <c r="I41" s="1126">
        <f t="shared" si="1"/>
        <v>6000</v>
      </c>
      <c r="J41" s="1130">
        <v>0</v>
      </c>
      <c r="K41" s="1131">
        <v>0</v>
      </c>
      <c r="L41" s="1129">
        <f t="shared" si="0"/>
        <v>3000</v>
      </c>
      <c r="M41" s="1132">
        <v>1000</v>
      </c>
      <c r="N41" s="1133">
        <v>2000</v>
      </c>
      <c r="O41" s="1134">
        <v>0</v>
      </c>
      <c r="P41" s="1131">
        <v>0</v>
      </c>
      <c r="Q41" s="1135">
        <f>3000-3000</f>
        <v>0</v>
      </c>
      <c r="R41" s="1134">
        <v>0</v>
      </c>
      <c r="S41" s="1131">
        <v>0</v>
      </c>
      <c r="T41" s="1135">
        <v>0</v>
      </c>
      <c r="U41" s="1134">
        <v>0</v>
      </c>
      <c r="V41" s="1131">
        <v>0</v>
      </c>
      <c r="W41" s="1135">
        <v>0</v>
      </c>
      <c r="X41" s="1134">
        <v>0</v>
      </c>
      <c r="Y41" s="1131">
        <v>0</v>
      </c>
      <c r="Z41" s="1136">
        <v>3000</v>
      </c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</row>
    <row r="42" spans="1:42" s="308" customFormat="1" ht="26.25" customHeight="1">
      <c r="A42" s="802">
        <v>2321</v>
      </c>
      <c r="B42" s="803">
        <v>6121</v>
      </c>
      <c r="C42" s="881">
        <v>7267</v>
      </c>
      <c r="D42" s="1112" t="s">
        <v>458</v>
      </c>
      <c r="E42" s="833" t="s">
        <v>248</v>
      </c>
      <c r="F42" s="834">
        <v>400</v>
      </c>
      <c r="G42" s="834">
        <v>2012</v>
      </c>
      <c r="H42" s="835">
        <v>2019</v>
      </c>
      <c r="I42" s="1126">
        <f t="shared" si="1"/>
        <v>18675</v>
      </c>
      <c r="J42" s="1130">
        <v>2005</v>
      </c>
      <c r="K42" s="1131">
        <v>100</v>
      </c>
      <c r="L42" s="1129">
        <f t="shared" si="0"/>
        <v>16570</v>
      </c>
      <c r="M42" s="1132">
        <v>10210</v>
      </c>
      <c r="N42" s="1133">
        <v>6360</v>
      </c>
      <c r="O42" s="1134">
        <v>0</v>
      </c>
      <c r="P42" s="1131">
        <v>0</v>
      </c>
      <c r="Q42" s="1135">
        <v>0</v>
      </c>
      <c r="R42" s="1134">
        <v>0</v>
      </c>
      <c r="S42" s="1131">
        <v>0</v>
      </c>
      <c r="T42" s="1135">
        <v>0</v>
      </c>
      <c r="U42" s="1134">
        <v>0</v>
      </c>
      <c r="V42" s="1131">
        <v>0</v>
      </c>
      <c r="W42" s="1135">
        <v>0</v>
      </c>
      <c r="X42" s="1134">
        <v>0</v>
      </c>
      <c r="Y42" s="1131">
        <v>0</v>
      </c>
      <c r="Z42" s="1136">
        <v>0</v>
      </c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</row>
    <row r="43" spans="1:42" s="308" customFormat="1" ht="26.25" customHeight="1">
      <c r="A43" s="802">
        <v>2321</v>
      </c>
      <c r="B43" s="803">
        <v>6121</v>
      </c>
      <c r="C43" s="879">
        <v>7286</v>
      </c>
      <c r="D43" s="884" t="s">
        <v>269</v>
      </c>
      <c r="E43" s="833" t="s">
        <v>263</v>
      </c>
      <c r="F43" s="834">
        <v>400</v>
      </c>
      <c r="G43" s="834">
        <v>2015</v>
      </c>
      <c r="H43" s="835">
        <v>2021</v>
      </c>
      <c r="I43" s="1126">
        <f t="shared" si="1"/>
        <v>2475</v>
      </c>
      <c r="J43" s="1130">
        <v>0</v>
      </c>
      <c r="K43" s="1131">
        <v>0</v>
      </c>
      <c r="L43" s="1129">
        <f t="shared" si="0"/>
        <v>475</v>
      </c>
      <c r="M43" s="1132">
        <v>0</v>
      </c>
      <c r="N43" s="1133">
        <v>475</v>
      </c>
      <c r="O43" s="1134">
        <v>0</v>
      </c>
      <c r="P43" s="1131">
        <v>0</v>
      </c>
      <c r="Q43" s="1135">
        <v>500</v>
      </c>
      <c r="R43" s="1134">
        <v>0</v>
      </c>
      <c r="S43" s="1131">
        <v>0</v>
      </c>
      <c r="T43" s="1135">
        <v>500</v>
      </c>
      <c r="U43" s="1134">
        <v>0</v>
      </c>
      <c r="V43" s="1131">
        <v>0</v>
      </c>
      <c r="W43" s="1135">
        <v>500</v>
      </c>
      <c r="X43" s="1134">
        <v>0</v>
      </c>
      <c r="Y43" s="1131">
        <v>0</v>
      </c>
      <c r="Z43" s="1136">
        <v>500</v>
      </c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</row>
    <row r="44" spans="1:42" s="308" customFormat="1" ht="26.25" customHeight="1">
      <c r="A44" s="802">
        <v>2321</v>
      </c>
      <c r="B44" s="803">
        <v>6121</v>
      </c>
      <c r="C44" s="881">
        <v>7295</v>
      </c>
      <c r="D44" s="1108" t="s">
        <v>270</v>
      </c>
      <c r="E44" s="833" t="s">
        <v>248</v>
      </c>
      <c r="F44" s="834">
        <v>400</v>
      </c>
      <c r="G44" s="834">
        <v>2015</v>
      </c>
      <c r="H44" s="835">
        <v>2021</v>
      </c>
      <c r="I44" s="1126">
        <f t="shared" si="1"/>
        <v>46322</v>
      </c>
      <c r="J44" s="1130">
        <v>822</v>
      </c>
      <c r="K44" s="1131">
        <v>4000</v>
      </c>
      <c r="L44" s="1129">
        <f t="shared" si="0"/>
        <v>15000</v>
      </c>
      <c r="M44" s="1132">
        <v>0</v>
      </c>
      <c r="N44" s="1133">
        <v>15000</v>
      </c>
      <c r="O44" s="1134">
        <v>0</v>
      </c>
      <c r="P44" s="1131">
        <v>0</v>
      </c>
      <c r="Q44" s="1135">
        <v>19500</v>
      </c>
      <c r="R44" s="1134">
        <v>0</v>
      </c>
      <c r="S44" s="1131">
        <v>0</v>
      </c>
      <c r="T44" s="1135">
        <v>7000</v>
      </c>
      <c r="U44" s="1134">
        <v>0</v>
      </c>
      <c r="V44" s="1131">
        <v>0</v>
      </c>
      <c r="W44" s="1135">
        <v>0</v>
      </c>
      <c r="X44" s="1134">
        <v>0</v>
      </c>
      <c r="Y44" s="1131">
        <v>0</v>
      </c>
      <c r="Z44" s="1136">
        <v>0</v>
      </c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</row>
    <row r="45" spans="1:42" s="308" customFormat="1" ht="26.25" customHeight="1">
      <c r="A45" s="802">
        <v>2321</v>
      </c>
      <c r="B45" s="803">
        <v>6121</v>
      </c>
      <c r="C45" s="881">
        <v>7296</v>
      </c>
      <c r="D45" s="1113" t="s">
        <v>271</v>
      </c>
      <c r="E45" s="833" t="s">
        <v>254</v>
      </c>
      <c r="F45" s="834">
        <v>400</v>
      </c>
      <c r="G45" s="834">
        <v>2008</v>
      </c>
      <c r="H45" s="835">
        <v>2019</v>
      </c>
      <c r="I45" s="1126">
        <f t="shared" si="1"/>
        <v>25851</v>
      </c>
      <c r="J45" s="1130">
        <v>1351</v>
      </c>
      <c r="K45" s="1131">
        <v>1700</v>
      </c>
      <c r="L45" s="1129">
        <f t="shared" si="0"/>
        <v>22800</v>
      </c>
      <c r="M45" s="1132">
        <v>10300</v>
      </c>
      <c r="N45" s="1133">
        <v>12500</v>
      </c>
      <c r="O45" s="1134">
        <v>0</v>
      </c>
      <c r="P45" s="1131">
        <v>0</v>
      </c>
      <c r="Q45" s="1135">
        <v>0</v>
      </c>
      <c r="R45" s="1134">
        <v>0</v>
      </c>
      <c r="S45" s="1131">
        <v>0</v>
      </c>
      <c r="T45" s="1135">
        <v>0</v>
      </c>
      <c r="U45" s="1134">
        <v>0</v>
      </c>
      <c r="V45" s="1131">
        <v>0</v>
      </c>
      <c r="W45" s="1135">
        <v>0</v>
      </c>
      <c r="X45" s="1134">
        <v>0</v>
      </c>
      <c r="Y45" s="1131">
        <v>0</v>
      </c>
      <c r="Z45" s="1136">
        <v>0</v>
      </c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</row>
    <row r="46" spans="1:42" s="308" customFormat="1" ht="26.25" customHeight="1">
      <c r="A46" s="802">
        <v>2321</v>
      </c>
      <c r="B46" s="803">
        <v>6121</v>
      </c>
      <c r="C46" s="880">
        <v>7302</v>
      </c>
      <c r="D46" s="1109" t="s">
        <v>455</v>
      </c>
      <c r="E46" s="833" t="s">
        <v>248</v>
      </c>
      <c r="F46" s="834">
        <v>400</v>
      </c>
      <c r="G46" s="834">
        <v>2008</v>
      </c>
      <c r="H46" s="835">
        <v>2019</v>
      </c>
      <c r="I46" s="1126">
        <f t="shared" si="1"/>
        <v>16866</v>
      </c>
      <c r="J46" s="1130">
        <v>1871</v>
      </c>
      <c r="K46" s="1131">
        <v>100</v>
      </c>
      <c r="L46" s="1129">
        <f t="shared" si="0"/>
        <v>11895</v>
      </c>
      <c r="M46" s="1132">
        <v>4895</v>
      </c>
      <c r="N46" s="1133">
        <v>7000</v>
      </c>
      <c r="O46" s="1134">
        <v>0</v>
      </c>
      <c r="P46" s="1131">
        <v>0</v>
      </c>
      <c r="Q46" s="1135">
        <v>3000</v>
      </c>
      <c r="R46" s="1134">
        <v>0</v>
      </c>
      <c r="S46" s="1131">
        <v>0</v>
      </c>
      <c r="T46" s="1135">
        <v>0</v>
      </c>
      <c r="U46" s="1134">
        <v>0</v>
      </c>
      <c r="V46" s="1131">
        <v>0</v>
      </c>
      <c r="W46" s="1135">
        <v>0</v>
      </c>
      <c r="X46" s="1134">
        <v>0</v>
      </c>
      <c r="Y46" s="1131">
        <v>0</v>
      </c>
      <c r="Z46" s="1136">
        <v>0</v>
      </c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</row>
    <row r="47" spans="1:42" s="308" customFormat="1" ht="26.25" customHeight="1">
      <c r="A47" s="802">
        <v>2321</v>
      </c>
      <c r="B47" s="803">
        <v>6121</v>
      </c>
      <c r="C47" s="879">
        <v>7303</v>
      </c>
      <c r="D47" s="1114" t="s">
        <v>272</v>
      </c>
      <c r="E47" s="833" t="s">
        <v>248</v>
      </c>
      <c r="F47" s="834">
        <v>400</v>
      </c>
      <c r="G47" s="834">
        <v>2009</v>
      </c>
      <c r="H47" s="835">
        <v>2019</v>
      </c>
      <c r="I47" s="1126">
        <f t="shared" si="1"/>
        <v>9208</v>
      </c>
      <c r="J47" s="1130">
        <v>720</v>
      </c>
      <c r="K47" s="1131">
        <v>0</v>
      </c>
      <c r="L47" s="1129">
        <f t="shared" si="0"/>
        <v>50</v>
      </c>
      <c r="M47" s="1132">
        <v>50</v>
      </c>
      <c r="N47" s="1133">
        <v>0</v>
      </c>
      <c r="O47" s="1134">
        <v>0</v>
      </c>
      <c r="P47" s="1131">
        <v>0</v>
      </c>
      <c r="Q47" s="1135">
        <f>8438-8438</f>
        <v>0</v>
      </c>
      <c r="R47" s="1134">
        <v>0</v>
      </c>
      <c r="S47" s="1131">
        <v>0</v>
      </c>
      <c r="T47" s="1135">
        <v>0</v>
      </c>
      <c r="U47" s="1134">
        <v>0</v>
      </c>
      <c r="V47" s="1131">
        <v>0</v>
      </c>
      <c r="W47" s="1135">
        <v>0</v>
      </c>
      <c r="X47" s="1134">
        <v>0</v>
      </c>
      <c r="Y47" s="1131">
        <v>0</v>
      </c>
      <c r="Z47" s="1136">
        <v>8438</v>
      </c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</row>
    <row r="48" spans="1:42" s="308" customFormat="1" ht="26.25" customHeight="1">
      <c r="A48" s="802">
        <v>2321</v>
      </c>
      <c r="B48" s="803">
        <v>6121</v>
      </c>
      <c r="C48" s="879">
        <v>7308</v>
      </c>
      <c r="D48" s="1115" t="s">
        <v>274</v>
      </c>
      <c r="E48" s="833" t="s">
        <v>248</v>
      </c>
      <c r="F48" s="834">
        <v>400</v>
      </c>
      <c r="G48" s="834">
        <v>2010</v>
      </c>
      <c r="H48" s="835">
        <v>2020</v>
      </c>
      <c r="I48" s="1126">
        <f t="shared" si="1"/>
        <v>21735</v>
      </c>
      <c r="J48" s="1130">
        <v>1675</v>
      </c>
      <c r="K48" s="1131">
        <v>0</v>
      </c>
      <c r="L48" s="1129">
        <f t="shared" si="0"/>
        <v>60</v>
      </c>
      <c r="M48" s="1132">
        <v>60</v>
      </c>
      <c r="N48" s="1133">
        <v>0</v>
      </c>
      <c r="O48" s="1134">
        <v>0</v>
      </c>
      <c r="P48" s="1131">
        <v>0</v>
      </c>
      <c r="Q48" s="1135">
        <v>0</v>
      </c>
      <c r="R48" s="1134">
        <v>0</v>
      </c>
      <c r="S48" s="1131">
        <v>0</v>
      </c>
      <c r="T48" s="1135">
        <v>0</v>
      </c>
      <c r="U48" s="1134">
        <v>0</v>
      </c>
      <c r="V48" s="1131">
        <v>0</v>
      </c>
      <c r="W48" s="1135">
        <v>0</v>
      </c>
      <c r="X48" s="1134">
        <v>0</v>
      </c>
      <c r="Y48" s="1131">
        <v>0</v>
      </c>
      <c r="Z48" s="1136">
        <v>20000</v>
      </c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</row>
    <row r="49" spans="1:42" s="308" customFormat="1" ht="26.25" customHeight="1">
      <c r="A49" s="802">
        <v>2321</v>
      </c>
      <c r="B49" s="803">
        <v>6121</v>
      </c>
      <c r="C49" s="880">
        <v>7315</v>
      </c>
      <c r="D49" s="1116" t="s">
        <v>276</v>
      </c>
      <c r="E49" s="833" t="s">
        <v>261</v>
      </c>
      <c r="F49" s="834">
        <v>400</v>
      </c>
      <c r="G49" s="834">
        <v>2011</v>
      </c>
      <c r="H49" s="835">
        <v>2022</v>
      </c>
      <c r="I49" s="1126">
        <f t="shared" si="1"/>
        <v>126050</v>
      </c>
      <c r="J49" s="1130">
        <v>7072</v>
      </c>
      <c r="K49" s="1131">
        <v>4500</v>
      </c>
      <c r="L49" s="1129">
        <f t="shared" si="0"/>
        <v>4000</v>
      </c>
      <c r="M49" s="1132">
        <v>3000</v>
      </c>
      <c r="N49" s="1133">
        <v>1000</v>
      </c>
      <c r="O49" s="1134">
        <v>0</v>
      </c>
      <c r="P49" s="1131">
        <v>0</v>
      </c>
      <c r="Q49" s="1135">
        <f>10000-10000</f>
        <v>0</v>
      </c>
      <c r="R49" s="1134">
        <v>0</v>
      </c>
      <c r="S49" s="1131">
        <v>0</v>
      </c>
      <c r="T49" s="1135">
        <f>40000-40000</f>
        <v>0</v>
      </c>
      <c r="U49" s="1134">
        <v>0</v>
      </c>
      <c r="V49" s="1131">
        <v>0</v>
      </c>
      <c r="W49" s="1135">
        <f>40000+40000</f>
        <v>80000</v>
      </c>
      <c r="X49" s="1134">
        <v>0</v>
      </c>
      <c r="Y49" s="1131">
        <v>0</v>
      </c>
      <c r="Z49" s="1136">
        <f>20478+10000</f>
        <v>30478</v>
      </c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</row>
    <row r="50" spans="1:42" s="308" customFormat="1" ht="26.25" customHeight="1">
      <c r="A50" s="802">
        <v>2321</v>
      </c>
      <c r="B50" s="803">
        <v>6121</v>
      </c>
      <c r="C50" s="881">
        <v>7316</v>
      </c>
      <c r="D50" s="1117" t="s">
        <v>277</v>
      </c>
      <c r="E50" s="833" t="s">
        <v>248</v>
      </c>
      <c r="F50" s="834">
        <v>400</v>
      </c>
      <c r="G50" s="834">
        <v>2011</v>
      </c>
      <c r="H50" s="835">
        <v>2019</v>
      </c>
      <c r="I50" s="1126">
        <f t="shared" si="1"/>
        <v>38000</v>
      </c>
      <c r="J50" s="1130">
        <v>2757</v>
      </c>
      <c r="K50" s="1131">
        <v>6950</v>
      </c>
      <c r="L50" s="1129">
        <f t="shared" si="0"/>
        <v>22000</v>
      </c>
      <c r="M50" s="1132">
        <v>10000</v>
      </c>
      <c r="N50" s="1133">
        <v>12000</v>
      </c>
      <c r="O50" s="1134">
        <v>0</v>
      </c>
      <c r="P50" s="1131">
        <v>0</v>
      </c>
      <c r="Q50" s="1135">
        <v>6293</v>
      </c>
      <c r="R50" s="1134">
        <v>0</v>
      </c>
      <c r="S50" s="1131">
        <v>0</v>
      </c>
      <c r="T50" s="1135">
        <v>0</v>
      </c>
      <c r="U50" s="1134">
        <v>0</v>
      </c>
      <c r="V50" s="1131">
        <v>0</v>
      </c>
      <c r="W50" s="1135">
        <v>0</v>
      </c>
      <c r="X50" s="1134">
        <v>0</v>
      </c>
      <c r="Y50" s="1131">
        <v>0</v>
      </c>
      <c r="Z50" s="1136">
        <v>0</v>
      </c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</row>
    <row r="51" spans="1:42" s="308" customFormat="1" ht="26.25" customHeight="1">
      <c r="A51" s="802">
        <v>2321</v>
      </c>
      <c r="B51" s="803">
        <v>6121</v>
      </c>
      <c r="C51" s="880">
        <v>7318</v>
      </c>
      <c r="D51" s="1116" t="s">
        <v>278</v>
      </c>
      <c r="E51" s="833" t="s">
        <v>254</v>
      </c>
      <c r="F51" s="834">
        <v>400</v>
      </c>
      <c r="G51" s="834">
        <v>2012</v>
      </c>
      <c r="H51" s="835">
        <v>2019</v>
      </c>
      <c r="I51" s="1126">
        <f t="shared" si="1"/>
        <v>3184</v>
      </c>
      <c r="J51" s="1130">
        <v>524</v>
      </c>
      <c r="K51" s="1131">
        <v>500</v>
      </c>
      <c r="L51" s="1129">
        <f t="shared" si="0"/>
        <v>2160</v>
      </c>
      <c r="M51" s="1132">
        <v>1780</v>
      </c>
      <c r="N51" s="1133">
        <v>380</v>
      </c>
      <c r="O51" s="1134">
        <v>0</v>
      </c>
      <c r="P51" s="1131">
        <v>0</v>
      </c>
      <c r="Q51" s="1135">
        <v>0</v>
      </c>
      <c r="R51" s="1134">
        <v>0</v>
      </c>
      <c r="S51" s="1131">
        <v>0</v>
      </c>
      <c r="T51" s="1135">
        <v>0</v>
      </c>
      <c r="U51" s="1134">
        <v>0</v>
      </c>
      <c r="V51" s="1131">
        <v>0</v>
      </c>
      <c r="W51" s="1135">
        <v>0</v>
      </c>
      <c r="X51" s="1134">
        <v>0</v>
      </c>
      <c r="Y51" s="1131">
        <v>0</v>
      </c>
      <c r="Z51" s="1136">
        <v>0</v>
      </c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</row>
    <row r="52" spans="1:42" s="308" customFormat="1" ht="26.25" customHeight="1">
      <c r="A52" s="802">
        <v>2321</v>
      </c>
      <c r="B52" s="803">
        <v>6121</v>
      </c>
      <c r="C52" s="880">
        <v>7319</v>
      </c>
      <c r="D52" s="1116" t="s">
        <v>279</v>
      </c>
      <c r="E52" s="833" t="s">
        <v>273</v>
      </c>
      <c r="F52" s="834">
        <v>400</v>
      </c>
      <c r="G52" s="834">
        <v>2014</v>
      </c>
      <c r="H52" s="835">
        <v>2020</v>
      </c>
      <c r="I52" s="1126">
        <f t="shared" si="1"/>
        <v>35150</v>
      </c>
      <c r="J52" s="1130">
        <v>2012</v>
      </c>
      <c r="K52" s="1131">
        <v>500</v>
      </c>
      <c r="L52" s="1129">
        <f t="shared" si="0"/>
        <v>14500</v>
      </c>
      <c r="M52" s="1132">
        <v>4500</v>
      </c>
      <c r="N52" s="1133">
        <v>10000</v>
      </c>
      <c r="O52" s="1134">
        <v>0</v>
      </c>
      <c r="P52" s="1131">
        <v>0</v>
      </c>
      <c r="Q52" s="1135">
        <v>18138</v>
      </c>
      <c r="R52" s="1134">
        <v>0</v>
      </c>
      <c r="S52" s="1131">
        <v>0</v>
      </c>
      <c r="T52" s="1135">
        <v>0</v>
      </c>
      <c r="U52" s="1134">
        <v>0</v>
      </c>
      <c r="V52" s="1131">
        <v>0</v>
      </c>
      <c r="W52" s="1135">
        <v>0</v>
      </c>
      <c r="X52" s="1134">
        <v>0</v>
      </c>
      <c r="Y52" s="1131">
        <v>0</v>
      </c>
      <c r="Z52" s="1136">
        <v>0</v>
      </c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</row>
    <row r="53" spans="1:42" s="308" customFormat="1" ht="26.25" customHeight="1">
      <c r="A53" s="802">
        <v>2321</v>
      </c>
      <c r="B53" s="803">
        <v>6121</v>
      </c>
      <c r="C53" s="881">
        <v>7320</v>
      </c>
      <c r="D53" s="1117" t="s">
        <v>280</v>
      </c>
      <c r="E53" s="833" t="s">
        <v>250</v>
      </c>
      <c r="F53" s="834">
        <v>400</v>
      </c>
      <c r="G53" s="834">
        <v>2014</v>
      </c>
      <c r="H53" s="835">
        <v>2019</v>
      </c>
      <c r="I53" s="1126">
        <f t="shared" si="1"/>
        <v>8380</v>
      </c>
      <c r="J53" s="1130">
        <v>806</v>
      </c>
      <c r="K53" s="1131">
        <v>6674</v>
      </c>
      <c r="L53" s="1129">
        <f t="shared" si="0"/>
        <v>900</v>
      </c>
      <c r="M53" s="1132">
        <v>900</v>
      </c>
      <c r="N53" s="1133">
        <v>0</v>
      </c>
      <c r="O53" s="1134">
        <v>0</v>
      </c>
      <c r="P53" s="1131">
        <v>0</v>
      </c>
      <c r="Q53" s="1135">
        <v>0</v>
      </c>
      <c r="R53" s="1134">
        <v>0</v>
      </c>
      <c r="S53" s="1131">
        <v>0</v>
      </c>
      <c r="T53" s="1135">
        <v>0</v>
      </c>
      <c r="U53" s="1134">
        <v>0</v>
      </c>
      <c r="V53" s="1131">
        <v>0</v>
      </c>
      <c r="W53" s="1135">
        <v>0</v>
      </c>
      <c r="X53" s="1134">
        <v>0</v>
      </c>
      <c r="Y53" s="1131">
        <v>0</v>
      </c>
      <c r="Z53" s="801">
        <v>0</v>
      </c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</row>
    <row r="54" spans="1:42" s="308" customFormat="1" ht="26.25" customHeight="1">
      <c r="A54" s="802">
        <v>2321</v>
      </c>
      <c r="B54" s="803">
        <v>6121</v>
      </c>
      <c r="C54" s="881">
        <v>7322</v>
      </c>
      <c r="D54" s="1118" t="s">
        <v>281</v>
      </c>
      <c r="E54" s="833" t="s">
        <v>275</v>
      </c>
      <c r="F54" s="834">
        <v>400</v>
      </c>
      <c r="G54" s="834">
        <v>2015</v>
      </c>
      <c r="H54" s="835">
        <v>2019</v>
      </c>
      <c r="I54" s="1126">
        <f t="shared" si="1"/>
        <v>15050</v>
      </c>
      <c r="J54" s="1130">
        <v>50</v>
      </c>
      <c r="K54" s="1131">
        <v>5000</v>
      </c>
      <c r="L54" s="1129">
        <f t="shared" si="0"/>
        <v>10000</v>
      </c>
      <c r="M54" s="1132">
        <v>0</v>
      </c>
      <c r="N54" s="1133">
        <v>10000</v>
      </c>
      <c r="O54" s="1134">
        <v>0</v>
      </c>
      <c r="P54" s="1131">
        <v>0</v>
      </c>
      <c r="Q54" s="1135">
        <v>0</v>
      </c>
      <c r="R54" s="1134">
        <v>0</v>
      </c>
      <c r="S54" s="1131">
        <v>0</v>
      </c>
      <c r="T54" s="1135">
        <v>0</v>
      </c>
      <c r="U54" s="1134">
        <v>0</v>
      </c>
      <c r="V54" s="1131">
        <v>0</v>
      </c>
      <c r="W54" s="1135">
        <v>0</v>
      </c>
      <c r="X54" s="1134">
        <v>0</v>
      </c>
      <c r="Y54" s="1131">
        <v>0</v>
      </c>
      <c r="Z54" s="801">
        <v>0</v>
      </c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</row>
    <row r="55" spans="1:42" s="308" customFormat="1" ht="26.25" customHeight="1">
      <c r="A55" s="802">
        <v>2321</v>
      </c>
      <c r="B55" s="803">
        <v>6121</v>
      </c>
      <c r="C55" s="880">
        <v>7324</v>
      </c>
      <c r="D55" s="1116" t="s">
        <v>282</v>
      </c>
      <c r="E55" s="833" t="s">
        <v>246</v>
      </c>
      <c r="F55" s="834">
        <v>400</v>
      </c>
      <c r="G55" s="834">
        <v>2015</v>
      </c>
      <c r="H55" s="835">
        <v>2018</v>
      </c>
      <c r="I55" s="1126">
        <f t="shared" si="1"/>
        <v>21471</v>
      </c>
      <c r="J55" s="1130">
        <v>621</v>
      </c>
      <c r="K55" s="1131">
        <v>750</v>
      </c>
      <c r="L55" s="1129">
        <f t="shared" si="0"/>
        <v>10100</v>
      </c>
      <c r="M55" s="1132">
        <v>5900</v>
      </c>
      <c r="N55" s="1133">
        <v>4200</v>
      </c>
      <c r="O55" s="1134">
        <v>0</v>
      </c>
      <c r="P55" s="1131">
        <v>0</v>
      </c>
      <c r="Q55" s="1135">
        <v>10000</v>
      </c>
      <c r="R55" s="1134">
        <v>0</v>
      </c>
      <c r="S55" s="1131">
        <v>0</v>
      </c>
      <c r="T55" s="1135">
        <v>0</v>
      </c>
      <c r="U55" s="1134">
        <v>0</v>
      </c>
      <c r="V55" s="1131">
        <v>0</v>
      </c>
      <c r="W55" s="1135">
        <v>0</v>
      </c>
      <c r="X55" s="1134">
        <v>0</v>
      </c>
      <c r="Y55" s="1131">
        <v>0</v>
      </c>
      <c r="Z55" s="801">
        <v>0</v>
      </c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245"/>
    </row>
    <row r="56" spans="1:42" s="308" customFormat="1" ht="26.25" customHeight="1">
      <c r="A56" s="802">
        <v>2321</v>
      </c>
      <c r="B56" s="803">
        <v>6121</v>
      </c>
      <c r="C56" s="879">
        <v>7331</v>
      </c>
      <c r="D56" s="1119" t="s">
        <v>283</v>
      </c>
      <c r="E56" s="833" t="s">
        <v>248</v>
      </c>
      <c r="F56" s="834">
        <v>400</v>
      </c>
      <c r="G56" s="834">
        <v>2015</v>
      </c>
      <c r="H56" s="835">
        <v>2018</v>
      </c>
      <c r="I56" s="1126">
        <f t="shared" si="1"/>
        <v>6100</v>
      </c>
      <c r="J56" s="1130">
        <v>0</v>
      </c>
      <c r="K56" s="1131">
        <v>100</v>
      </c>
      <c r="L56" s="1129">
        <f t="shared" si="0"/>
        <v>1000</v>
      </c>
      <c r="M56" s="1132">
        <v>0</v>
      </c>
      <c r="N56" s="1133">
        <v>1000</v>
      </c>
      <c r="O56" s="1134">
        <v>0</v>
      </c>
      <c r="P56" s="1131">
        <v>0</v>
      </c>
      <c r="Q56" s="1135">
        <f>5000-5000</f>
        <v>0</v>
      </c>
      <c r="R56" s="1134">
        <v>0</v>
      </c>
      <c r="S56" s="1131">
        <v>0</v>
      </c>
      <c r="T56" s="1135">
        <v>0</v>
      </c>
      <c r="U56" s="1134">
        <v>0</v>
      </c>
      <c r="V56" s="1131">
        <v>0</v>
      </c>
      <c r="W56" s="1135">
        <v>0</v>
      </c>
      <c r="X56" s="1134">
        <v>0</v>
      </c>
      <c r="Y56" s="1131">
        <v>0</v>
      </c>
      <c r="Z56" s="801">
        <v>5000</v>
      </c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</row>
    <row r="57" spans="1:42" s="308" customFormat="1" ht="26.25" customHeight="1">
      <c r="A57" s="802">
        <v>2321</v>
      </c>
      <c r="B57" s="803">
        <v>6121</v>
      </c>
      <c r="C57" s="880">
        <v>7332</v>
      </c>
      <c r="D57" s="1116" t="s">
        <v>284</v>
      </c>
      <c r="E57" s="833" t="s">
        <v>285</v>
      </c>
      <c r="F57" s="834">
        <v>400</v>
      </c>
      <c r="G57" s="834">
        <v>2015</v>
      </c>
      <c r="H57" s="835">
        <v>2019</v>
      </c>
      <c r="I57" s="1126">
        <f t="shared" si="1"/>
        <v>41486</v>
      </c>
      <c r="J57" s="1130">
        <v>2553</v>
      </c>
      <c r="K57" s="1131">
        <v>833</v>
      </c>
      <c r="L57" s="1129">
        <f t="shared" si="0"/>
        <v>17100</v>
      </c>
      <c r="M57" s="1132">
        <f>7000+1100</f>
        <v>8100</v>
      </c>
      <c r="N57" s="1133">
        <v>9000</v>
      </c>
      <c r="O57" s="1134">
        <v>0</v>
      </c>
      <c r="P57" s="1131">
        <v>0</v>
      </c>
      <c r="Q57" s="1135">
        <v>20000</v>
      </c>
      <c r="R57" s="1134">
        <v>0</v>
      </c>
      <c r="S57" s="1131">
        <v>0</v>
      </c>
      <c r="T57" s="1135">
        <v>1000</v>
      </c>
      <c r="U57" s="1134">
        <v>0</v>
      </c>
      <c r="V57" s="1131">
        <v>0</v>
      </c>
      <c r="W57" s="1135">
        <v>0</v>
      </c>
      <c r="X57" s="1134">
        <v>0</v>
      </c>
      <c r="Y57" s="1131">
        <v>0</v>
      </c>
      <c r="Z57" s="801">
        <v>0</v>
      </c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</row>
    <row r="58" spans="1:42" s="481" customFormat="1" ht="26.25" customHeight="1">
      <c r="A58" s="802">
        <v>2321</v>
      </c>
      <c r="B58" s="803">
        <v>6121</v>
      </c>
      <c r="C58" s="880">
        <v>7342</v>
      </c>
      <c r="D58" s="1116" t="s">
        <v>287</v>
      </c>
      <c r="E58" s="833" t="s">
        <v>263</v>
      </c>
      <c r="F58" s="834">
        <v>400</v>
      </c>
      <c r="G58" s="834">
        <v>2017</v>
      </c>
      <c r="H58" s="835">
        <v>2021</v>
      </c>
      <c r="I58" s="1126">
        <f t="shared" si="1"/>
        <v>11899</v>
      </c>
      <c r="J58" s="1130">
        <v>1436</v>
      </c>
      <c r="K58" s="1131">
        <v>1388</v>
      </c>
      <c r="L58" s="1129">
        <f t="shared" si="0"/>
        <v>3075</v>
      </c>
      <c r="M58" s="1132">
        <f>2075</f>
        <v>2075</v>
      </c>
      <c r="N58" s="1133">
        <v>1000</v>
      </c>
      <c r="O58" s="1134"/>
      <c r="P58" s="1131"/>
      <c r="Q58" s="1135">
        <v>2000</v>
      </c>
      <c r="R58" s="1134">
        <v>0</v>
      </c>
      <c r="S58" s="1131">
        <v>0</v>
      </c>
      <c r="T58" s="1135">
        <v>2000</v>
      </c>
      <c r="U58" s="1134">
        <v>0</v>
      </c>
      <c r="V58" s="1131">
        <v>0</v>
      </c>
      <c r="W58" s="1135">
        <v>2000</v>
      </c>
      <c r="X58" s="1134">
        <v>0</v>
      </c>
      <c r="Y58" s="1131">
        <v>0</v>
      </c>
      <c r="Z58" s="801">
        <v>0</v>
      </c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</row>
    <row r="59" spans="1:42" s="481" customFormat="1" ht="26.25" customHeight="1">
      <c r="A59" s="802">
        <v>2321</v>
      </c>
      <c r="B59" s="803">
        <v>6121</v>
      </c>
      <c r="C59" s="881">
        <v>7346</v>
      </c>
      <c r="D59" s="1120" t="s">
        <v>288</v>
      </c>
      <c r="E59" s="833" t="s">
        <v>261</v>
      </c>
      <c r="F59" s="834">
        <v>400</v>
      </c>
      <c r="G59" s="834">
        <v>2013</v>
      </c>
      <c r="H59" s="835">
        <v>2019</v>
      </c>
      <c r="I59" s="1126">
        <f t="shared" si="1"/>
        <v>10415</v>
      </c>
      <c r="J59" s="1130">
        <v>743</v>
      </c>
      <c r="K59" s="1131">
        <v>9432</v>
      </c>
      <c r="L59" s="1129">
        <f t="shared" si="0"/>
        <v>240</v>
      </c>
      <c r="M59" s="1132">
        <v>240</v>
      </c>
      <c r="N59" s="1133">
        <v>0</v>
      </c>
      <c r="O59" s="1134">
        <v>0</v>
      </c>
      <c r="P59" s="1131">
        <v>0</v>
      </c>
      <c r="Q59" s="1135">
        <v>0</v>
      </c>
      <c r="R59" s="1134">
        <v>0</v>
      </c>
      <c r="S59" s="1131">
        <v>0</v>
      </c>
      <c r="T59" s="1135">
        <v>0</v>
      </c>
      <c r="U59" s="1134">
        <v>0</v>
      </c>
      <c r="V59" s="1131">
        <v>0</v>
      </c>
      <c r="W59" s="1135">
        <v>0</v>
      </c>
      <c r="X59" s="1134">
        <v>0</v>
      </c>
      <c r="Y59" s="1131">
        <v>0</v>
      </c>
      <c r="Z59" s="801">
        <v>0</v>
      </c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5"/>
    </row>
    <row r="60" spans="1:42" s="481" customFormat="1" ht="26.25" customHeight="1">
      <c r="A60" s="802">
        <v>2321</v>
      </c>
      <c r="B60" s="803">
        <v>6121</v>
      </c>
      <c r="C60" s="881">
        <v>7347</v>
      </c>
      <c r="D60" s="1117" t="s">
        <v>289</v>
      </c>
      <c r="E60" s="833" t="s">
        <v>248</v>
      </c>
      <c r="F60" s="834">
        <v>400</v>
      </c>
      <c r="G60" s="834">
        <v>2016</v>
      </c>
      <c r="H60" s="835">
        <v>2019</v>
      </c>
      <c r="I60" s="1126">
        <f t="shared" si="1"/>
        <v>3027</v>
      </c>
      <c r="J60" s="1130">
        <v>317</v>
      </c>
      <c r="K60" s="1131">
        <v>1800</v>
      </c>
      <c r="L60" s="1129">
        <f t="shared" si="0"/>
        <v>910</v>
      </c>
      <c r="M60" s="1132">
        <v>910</v>
      </c>
      <c r="N60" s="1133">
        <v>0</v>
      </c>
      <c r="O60" s="1134">
        <v>0</v>
      </c>
      <c r="P60" s="1131">
        <v>0</v>
      </c>
      <c r="Q60" s="1135">
        <v>0</v>
      </c>
      <c r="R60" s="1134">
        <v>0</v>
      </c>
      <c r="S60" s="1131">
        <v>0</v>
      </c>
      <c r="T60" s="1135">
        <v>0</v>
      </c>
      <c r="U60" s="1134">
        <v>0</v>
      </c>
      <c r="V60" s="1131">
        <v>0</v>
      </c>
      <c r="W60" s="1135">
        <v>0</v>
      </c>
      <c r="X60" s="1134">
        <v>0</v>
      </c>
      <c r="Y60" s="1131">
        <v>0</v>
      </c>
      <c r="Z60" s="801">
        <v>0</v>
      </c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</row>
    <row r="61" spans="1:42" s="481" customFormat="1" ht="26.25" customHeight="1">
      <c r="A61" s="802">
        <v>2321</v>
      </c>
      <c r="B61" s="803">
        <v>6121</v>
      </c>
      <c r="C61" s="881">
        <v>7349</v>
      </c>
      <c r="D61" s="1117" t="s">
        <v>290</v>
      </c>
      <c r="E61" s="848" t="s">
        <v>266</v>
      </c>
      <c r="F61" s="849">
        <v>400</v>
      </c>
      <c r="G61" s="849">
        <v>2010</v>
      </c>
      <c r="H61" s="850">
        <v>2019</v>
      </c>
      <c r="I61" s="1126">
        <f t="shared" si="1"/>
        <v>7980</v>
      </c>
      <c r="J61" s="1130">
        <v>828</v>
      </c>
      <c r="K61" s="1131">
        <v>2000</v>
      </c>
      <c r="L61" s="1129">
        <f t="shared" si="0"/>
        <v>5152</v>
      </c>
      <c r="M61" s="1132">
        <v>1000</v>
      </c>
      <c r="N61" s="1133">
        <v>4152</v>
      </c>
      <c r="O61" s="1134">
        <v>0</v>
      </c>
      <c r="P61" s="1131">
        <v>0</v>
      </c>
      <c r="Q61" s="1135">
        <v>0</v>
      </c>
      <c r="R61" s="1134">
        <v>0</v>
      </c>
      <c r="S61" s="1131">
        <v>0</v>
      </c>
      <c r="T61" s="1135">
        <v>0</v>
      </c>
      <c r="U61" s="1134">
        <v>0</v>
      </c>
      <c r="V61" s="1131">
        <v>0</v>
      </c>
      <c r="W61" s="1135">
        <v>0</v>
      </c>
      <c r="X61" s="1134">
        <v>0</v>
      </c>
      <c r="Y61" s="1131">
        <v>0</v>
      </c>
      <c r="Z61" s="801">
        <v>0</v>
      </c>
      <c r="AA61" s="851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</row>
    <row r="62" spans="1:42" s="481" customFormat="1" ht="26.25" customHeight="1">
      <c r="A62" s="802">
        <v>2321</v>
      </c>
      <c r="B62" s="803">
        <v>6121</v>
      </c>
      <c r="C62" s="880">
        <v>7352</v>
      </c>
      <c r="D62" s="1116" t="s">
        <v>457</v>
      </c>
      <c r="E62" s="1085" t="s">
        <v>248</v>
      </c>
      <c r="F62" s="1086">
        <v>400</v>
      </c>
      <c r="G62" s="1086">
        <v>2008</v>
      </c>
      <c r="H62" s="1087">
        <v>2019</v>
      </c>
      <c r="I62" s="1126">
        <f t="shared" si="1"/>
        <v>7300</v>
      </c>
      <c r="J62" s="1130">
        <v>0</v>
      </c>
      <c r="K62" s="1131">
        <v>0</v>
      </c>
      <c r="L62" s="1129">
        <f t="shared" si="0"/>
        <v>7300</v>
      </c>
      <c r="M62" s="1132">
        <v>0</v>
      </c>
      <c r="N62" s="1133">
        <v>7300</v>
      </c>
      <c r="O62" s="1134">
        <v>0</v>
      </c>
      <c r="P62" s="1131">
        <v>0</v>
      </c>
      <c r="Q62" s="1135">
        <v>0</v>
      </c>
      <c r="R62" s="1134">
        <v>0</v>
      </c>
      <c r="S62" s="1131">
        <v>0</v>
      </c>
      <c r="T62" s="1135">
        <v>0</v>
      </c>
      <c r="U62" s="1134">
        <v>0</v>
      </c>
      <c r="V62" s="1131">
        <v>0</v>
      </c>
      <c r="W62" s="1135">
        <v>0</v>
      </c>
      <c r="X62" s="1134">
        <v>0</v>
      </c>
      <c r="Y62" s="1131">
        <v>0</v>
      </c>
      <c r="Z62" s="801">
        <v>0</v>
      </c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</row>
    <row r="63" spans="1:42" s="481" customFormat="1" ht="26.25" customHeight="1">
      <c r="A63" s="802">
        <v>2321</v>
      </c>
      <c r="B63" s="803">
        <v>6121</v>
      </c>
      <c r="C63" s="881">
        <v>7354</v>
      </c>
      <c r="D63" s="1117" t="s">
        <v>459</v>
      </c>
      <c r="E63" s="852" t="s">
        <v>239</v>
      </c>
      <c r="F63" s="853">
        <v>400</v>
      </c>
      <c r="G63" s="853">
        <v>2016</v>
      </c>
      <c r="H63" s="854">
        <v>2018</v>
      </c>
      <c r="I63" s="1126">
        <f t="shared" si="1"/>
        <v>4645</v>
      </c>
      <c r="J63" s="1137">
        <v>503</v>
      </c>
      <c r="K63" s="1138">
        <v>1742</v>
      </c>
      <c r="L63" s="1129">
        <f t="shared" si="0"/>
        <v>2400</v>
      </c>
      <c r="M63" s="1132">
        <v>2400</v>
      </c>
      <c r="N63" s="1133">
        <v>0</v>
      </c>
      <c r="O63" s="1134">
        <v>0</v>
      </c>
      <c r="P63" s="1138">
        <v>0</v>
      </c>
      <c r="Q63" s="1139">
        <v>0</v>
      </c>
      <c r="R63" s="1134">
        <v>0</v>
      </c>
      <c r="S63" s="1131">
        <v>0</v>
      </c>
      <c r="T63" s="1135">
        <v>0</v>
      </c>
      <c r="U63" s="1134">
        <v>0</v>
      </c>
      <c r="V63" s="1131">
        <v>0</v>
      </c>
      <c r="W63" s="1135">
        <v>0</v>
      </c>
      <c r="X63" s="1134">
        <v>0</v>
      </c>
      <c r="Y63" s="1131">
        <v>0</v>
      </c>
      <c r="Z63" s="801">
        <v>0</v>
      </c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</row>
    <row r="64" spans="1:42" s="481" customFormat="1" ht="26.25" customHeight="1">
      <c r="A64" s="802">
        <v>2321</v>
      </c>
      <c r="B64" s="803">
        <v>6121</v>
      </c>
      <c r="C64" s="880">
        <v>7355</v>
      </c>
      <c r="D64" s="1116" t="s">
        <v>460</v>
      </c>
      <c r="E64" s="855" t="s">
        <v>248</v>
      </c>
      <c r="F64" s="856">
        <v>400</v>
      </c>
      <c r="G64" s="856">
        <v>2014</v>
      </c>
      <c r="H64" s="857">
        <v>2020</v>
      </c>
      <c r="I64" s="1126">
        <f t="shared" si="1"/>
        <v>38043</v>
      </c>
      <c r="J64" s="1140">
        <v>1043</v>
      </c>
      <c r="K64" s="1141">
        <v>0</v>
      </c>
      <c r="L64" s="1129">
        <f t="shared" si="0"/>
        <v>27000</v>
      </c>
      <c r="M64" s="1142">
        <v>7000</v>
      </c>
      <c r="N64" s="1143">
        <v>20000</v>
      </c>
      <c r="O64" s="1144">
        <v>0</v>
      </c>
      <c r="P64" s="1141">
        <v>0</v>
      </c>
      <c r="Q64" s="1145">
        <v>10000</v>
      </c>
      <c r="R64" s="1144">
        <v>0</v>
      </c>
      <c r="S64" s="1146">
        <v>0</v>
      </c>
      <c r="T64" s="1147">
        <v>0</v>
      </c>
      <c r="U64" s="1144">
        <v>0</v>
      </c>
      <c r="V64" s="1146">
        <v>0</v>
      </c>
      <c r="W64" s="1147">
        <v>0</v>
      </c>
      <c r="X64" s="1144">
        <v>0</v>
      </c>
      <c r="Y64" s="1146">
        <v>0</v>
      </c>
      <c r="Z64" s="1148">
        <v>0</v>
      </c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</row>
    <row r="65" spans="1:42" s="481" customFormat="1" ht="26.25" customHeight="1">
      <c r="A65" s="802">
        <v>2321</v>
      </c>
      <c r="B65" s="803">
        <v>6121</v>
      </c>
      <c r="C65" s="879">
        <v>7356</v>
      </c>
      <c r="D65" s="1121" t="s">
        <v>461</v>
      </c>
      <c r="E65" s="852" t="s">
        <v>273</v>
      </c>
      <c r="F65" s="853">
        <v>400</v>
      </c>
      <c r="G65" s="853">
        <v>2012</v>
      </c>
      <c r="H65" s="854">
        <v>2020</v>
      </c>
      <c r="I65" s="1126">
        <f t="shared" si="1"/>
        <v>27078</v>
      </c>
      <c r="J65" s="1137">
        <v>1778</v>
      </c>
      <c r="K65" s="1138">
        <v>0</v>
      </c>
      <c r="L65" s="1129">
        <f t="shared" si="0"/>
        <v>10300</v>
      </c>
      <c r="M65" s="1132">
        <v>300</v>
      </c>
      <c r="N65" s="1133">
        <v>10000</v>
      </c>
      <c r="O65" s="1134">
        <v>0</v>
      </c>
      <c r="P65" s="1138">
        <v>0</v>
      </c>
      <c r="Q65" s="1139">
        <v>0</v>
      </c>
      <c r="R65" s="1134">
        <v>0</v>
      </c>
      <c r="S65" s="1131">
        <v>0</v>
      </c>
      <c r="T65" s="1135">
        <v>0</v>
      </c>
      <c r="U65" s="1134">
        <v>0</v>
      </c>
      <c r="V65" s="1131">
        <v>0</v>
      </c>
      <c r="W65" s="1135">
        <v>0</v>
      </c>
      <c r="X65" s="1134">
        <v>0</v>
      </c>
      <c r="Y65" s="1131">
        <v>0</v>
      </c>
      <c r="Z65" s="801">
        <v>15000</v>
      </c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</row>
    <row r="66" spans="1:42" s="8" customFormat="1" ht="26.25" customHeight="1">
      <c r="A66" s="802">
        <v>2321</v>
      </c>
      <c r="B66" s="803">
        <v>6121</v>
      </c>
      <c r="C66" s="881">
        <v>7357</v>
      </c>
      <c r="D66" s="1117" t="s">
        <v>499</v>
      </c>
      <c r="E66" s="858" t="s">
        <v>257</v>
      </c>
      <c r="F66" s="859">
        <v>400</v>
      </c>
      <c r="G66" s="859">
        <v>2016</v>
      </c>
      <c r="H66" s="860">
        <v>2019</v>
      </c>
      <c r="I66" s="1126">
        <f t="shared" si="1"/>
        <v>3430</v>
      </c>
      <c r="J66" s="1140">
        <v>421</v>
      </c>
      <c r="K66" s="1141">
        <v>9</v>
      </c>
      <c r="L66" s="1129">
        <f t="shared" si="0"/>
        <v>3000</v>
      </c>
      <c r="M66" s="1142">
        <v>0</v>
      </c>
      <c r="N66" s="1143">
        <v>3000</v>
      </c>
      <c r="O66" s="1144">
        <v>0</v>
      </c>
      <c r="P66" s="1141">
        <v>0</v>
      </c>
      <c r="Q66" s="1145">
        <v>0</v>
      </c>
      <c r="R66" s="1144">
        <v>0</v>
      </c>
      <c r="S66" s="1146">
        <v>0</v>
      </c>
      <c r="T66" s="1147">
        <v>0</v>
      </c>
      <c r="U66" s="1144">
        <v>0</v>
      </c>
      <c r="V66" s="1146">
        <v>0</v>
      </c>
      <c r="W66" s="1147">
        <v>0</v>
      </c>
      <c r="X66" s="1144">
        <v>0</v>
      </c>
      <c r="Y66" s="1146">
        <v>0</v>
      </c>
      <c r="Z66" s="1148">
        <v>0</v>
      </c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</row>
    <row r="67" spans="1:42" s="8" customFormat="1" ht="26.25" customHeight="1">
      <c r="A67" s="802">
        <v>2321</v>
      </c>
      <c r="B67" s="803">
        <v>6121</v>
      </c>
      <c r="C67" s="880">
        <v>7358</v>
      </c>
      <c r="D67" s="1122" t="s">
        <v>166</v>
      </c>
      <c r="E67" s="858" t="s">
        <v>263</v>
      </c>
      <c r="F67" s="859">
        <v>400</v>
      </c>
      <c r="G67" s="859">
        <v>2017</v>
      </c>
      <c r="H67" s="860">
        <v>2022</v>
      </c>
      <c r="I67" s="1126">
        <f t="shared" si="1"/>
        <v>5000</v>
      </c>
      <c r="J67" s="1140">
        <v>0</v>
      </c>
      <c r="K67" s="1141">
        <v>0</v>
      </c>
      <c r="L67" s="1129">
        <f t="shared" si="0"/>
        <v>5000</v>
      </c>
      <c r="M67" s="1142">
        <v>5000</v>
      </c>
      <c r="N67" s="1143">
        <v>0</v>
      </c>
      <c r="O67" s="1144">
        <v>0</v>
      </c>
      <c r="P67" s="1141">
        <v>0</v>
      </c>
      <c r="Q67" s="1145">
        <v>0</v>
      </c>
      <c r="R67" s="1144">
        <v>0</v>
      </c>
      <c r="S67" s="1146">
        <v>0</v>
      </c>
      <c r="T67" s="1147">
        <v>0</v>
      </c>
      <c r="U67" s="1144">
        <v>0</v>
      </c>
      <c r="V67" s="1146">
        <v>0</v>
      </c>
      <c r="W67" s="1147">
        <v>0</v>
      </c>
      <c r="X67" s="1144">
        <v>0</v>
      </c>
      <c r="Y67" s="1146">
        <v>0</v>
      </c>
      <c r="Z67" s="1148">
        <v>0</v>
      </c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</row>
    <row r="68" spans="1:42" s="8" customFormat="1" ht="26.25" customHeight="1">
      <c r="A68" s="861">
        <v>2321</v>
      </c>
      <c r="B68" s="862">
        <v>6121</v>
      </c>
      <c r="C68" s="880">
        <v>7359</v>
      </c>
      <c r="D68" s="1122" t="s">
        <v>167</v>
      </c>
      <c r="E68" s="66" t="s">
        <v>261</v>
      </c>
      <c r="F68" s="67">
        <v>400</v>
      </c>
      <c r="G68" s="67">
        <v>2014</v>
      </c>
      <c r="H68" s="150">
        <v>2020</v>
      </c>
      <c r="I68" s="1126">
        <f t="shared" si="1"/>
        <v>12688</v>
      </c>
      <c r="J68" s="1140">
        <v>793</v>
      </c>
      <c r="K68" s="1141">
        <v>32</v>
      </c>
      <c r="L68" s="1129">
        <f t="shared" si="0"/>
        <v>11563</v>
      </c>
      <c r="M68" s="1142">
        <v>1950</v>
      </c>
      <c r="N68" s="1143">
        <v>9613</v>
      </c>
      <c r="O68" s="1144">
        <v>0</v>
      </c>
      <c r="P68" s="1141">
        <v>0</v>
      </c>
      <c r="Q68" s="1145">
        <v>300</v>
      </c>
      <c r="R68" s="1144">
        <v>0</v>
      </c>
      <c r="S68" s="1146">
        <v>0</v>
      </c>
      <c r="T68" s="1147">
        <v>0</v>
      </c>
      <c r="U68" s="1144">
        <v>0</v>
      </c>
      <c r="V68" s="1146">
        <v>0</v>
      </c>
      <c r="W68" s="1147">
        <v>0</v>
      </c>
      <c r="X68" s="1144">
        <v>0</v>
      </c>
      <c r="Y68" s="1146">
        <v>0</v>
      </c>
      <c r="Z68" s="1148">
        <v>0</v>
      </c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</row>
    <row r="69" spans="1:42" s="8" customFormat="1" ht="26.25" customHeight="1">
      <c r="A69" s="863">
        <v>2321</v>
      </c>
      <c r="B69" s="864">
        <v>6121</v>
      </c>
      <c r="C69" s="882">
        <v>7361</v>
      </c>
      <c r="D69" s="1123" t="s">
        <v>168</v>
      </c>
      <c r="E69" s="865" t="s">
        <v>254</v>
      </c>
      <c r="F69" s="866">
        <v>400</v>
      </c>
      <c r="G69" s="866">
        <v>2008</v>
      </c>
      <c r="H69" s="867">
        <v>2019</v>
      </c>
      <c r="I69" s="1149">
        <f t="shared" si="1"/>
        <v>12609</v>
      </c>
      <c r="J69" s="1150">
        <v>1259</v>
      </c>
      <c r="K69" s="1151">
        <v>50</v>
      </c>
      <c r="L69" s="1152">
        <f t="shared" si="0"/>
        <v>9300</v>
      </c>
      <c r="M69" s="1153">
        <v>0</v>
      </c>
      <c r="N69" s="1154">
        <v>9300</v>
      </c>
      <c r="O69" s="1155">
        <v>0</v>
      </c>
      <c r="P69" s="1151">
        <v>0</v>
      </c>
      <c r="Q69" s="1156">
        <v>2000</v>
      </c>
      <c r="R69" s="1155">
        <v>0</v>
      </c>
      <c r="S69" s="1157">
        <v>0</v>
      </c>
      <c r="T69" s="1158">
        <v>0</v>
      </c>
      <c r="U69" s="1155">
        <v>0</v>
      </c>
      <c r="V69" s="1157">
        <v>0</v>
      </c>
      <c r="W69" s="1158">
        <v>0</v>
      </c>
      <c r="X69" s="1155">
        <v>0</v>
      </c>
      <c r="Y69" s="1157">
        <v>0</v>
      </c>
      <c r="Z69" s="1159">
        <v>0</v>
      </c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</row>
    <row r="70" spans="1:42" s="968" customFormat="1" ht="26.25" customHeight="1">
      <c r="A70" s="964">
        <v>2321</v>
      </c>
      <c r="B70" s="964">
        <v>6121</v>
      </c>
      <c r="C70" s="880">
        <v>7362</v>
      </c>
      <c r="D70" s="1122" t="s">
        <v>566</v>
      </c>
      <c r="E70" s="1092" t="s">
        <v>263</v>
      </c>
      <c r="F70" s="1093">
        <v>400</v>
      </c>
      <c r="G70" s="1093">
        <v>2019</v>
      </c>
      <c r="H70" s="1094">
        <v>2019</v>
      </c>
      <c r="I70" s="1095">
        <f t="shared" si="1"/>
        <v>39000</v>
      </c>
      <c r="J70" s="1096">
        <v>0</v>
      </c>
      <c r="K70" s="1097">
        <v>0</v>
      </c>
      <c r="L70" s="1098">
        <f t="shared" si="0"/>
        <v>7000</v>
      </c>
      <c r="M70" s="1099">
        <v>0</v>
      </c>
      <c r="N70" s="1100">
        <v>7000</v>
      </c>
      <c r="O70" s="1101">
        <v>0</v>
      </c>
      <c r="P70" s="1102">
        <v>0</v>
      </c>
      <c r="Q70" s="1103">
        <v>32000</v>
      </c>
      <c r="R70" s="1101">
        <v>0</v>
      </c>
      <c r="S70" s="1104">
        <v>0</v>
      </c>
      <c r="T70" s="1105">
        <v>0</v>
      </c>
      <c r="U70" s="1101">
        <v>0</v>
      </c>
      <c r="V70" s="1097">
        <v>0</v>
      </c>
      <c r="W70" s="1105">
        <v>0</v>
      </c>
      <c r="X70" s="1101">
        <v>0</v>
      </c>
      <c r="Y70" s="1106">
        <v>0</v>
      </c>
      <c r="Z70" s="967">
        <v>0</v>
      </c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s="8" customFormat="1" ht="26.25" customHeight="1">
      <c r="A71" s="802">
        <v>2321</v>
      </c>
      <c r="B71" s="803">
        <v>6121</v>
      </c>
      <c r="C71" s="879">
        <v>7364</v>
      </c>
      <c r="D71" s="1124" t="s">
        <v>169</v>
      </c>
      <c r="E71" s="855" t="s">
        <v>242</v>
      </c>
      <c r="F71" s="856">
        <v>400</v>
      </c>
      <c r="G71" s="856">
        <v>2018</v>
      </c>
      <c r="H71" s="857">
        <v>2022</v>
      </c>
      <c r="I71" s="1126">
        <f t="shared" si="1"/>
        <v>41200</v>
      </c>
      <c r="J71" s="1140">
        <v>0</v>
      </c>
      <c r="K71" s="1141">
        <v>200</v>
      </c>
      <c r="L71" s="1129">
        <f t="shared" si="0"/>
        <v>2000</v>
      </c>
      <c r="M71" s="1142">
        <v>0</v>
      </c>
      <c r="N71" s="1143">
        <v>2000</v>
      </c>
      <c r="O71" s="1144">
        <v>0</v>
      </c>
      <c r="P71" s="1141">
        <v>0</v>
      </c>
      <c r="Q71" s="1145">
        <v>0</v>
      </c>
      <c r="R71" s="1144">
        <v>0</v>
      </c>
      <c r="S71" s="1146">
        <v>0</v>
      </c>
      <c r="T71" s="1147">
        <f>29000-29000</f>
        <v>0</v>
      </c>
      <c r="U71" s="1144">
        <v>0</v>
      </c>
      <c r="V71" s="1146">
        <v>0</v>
      </c>
      <c r="W71" s="1147">
        <v>10000</v>
      </c>
      <c r="X71" s="1144">
        <v>0</v>
      </c>
      <c r="Y71" s="1146">
        <v>0</v>
      </c>
      <c r="Z71" s="1148">
        <v>29000</v>
      </c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</row>
    <row r="72" spans="1:42" s="8" customFormat="1" ht="26.25" customHeight="1">
      <c r="A72" s="802">
        <v>2321</v>
      </c>
      <c r="B72" s="803">
        <v>6121</v>
      </c>
      <c r="C72" s="879">
        <v>7365</v>
      </c>
      <c r="D72" s="1124" t="s">
        <v>170</v>
      </c>
      <c r="E72" s="855" t="s">
        <v>242</v>
      </c>
      <c r="F72" s="856">
        <v>400</v>
      </c>
      <c r="G72" s="856">
        <v>2018</v>
      </c>
      <c r="H72" s="857">
        <v>2020</v>
      </c>
      <c r="I72" s="1126">
        <f t="shared" si="1"/>
        <v>4600</v>
      </c>
      <c r="J72" s="1140">
        <v>0</v>
      </c>
      <c r="K72" s="1141">
        <v>100</v>
      </c>
      <c r="L72" s="1129">
        <f t="shared" si="0"/>
        <v>800</v>
      </c>
      <c r="M72" s="1142">
        <v>0</v>
      </c>
      <c r="N72" s="1143">
        <v>800</v>
      </c>
      <c r="O72" s="1144">
        <v>0</v>
      </c>
      <c r="P72" s="1141">
        <v>0</v>
      </c>
      <c r="Q72" s="1145">
        <f>3700-3700</f>
        <v>0</v>
      </c>
      <c r="R72" s="1144">
        <v>0</v>
      </c>
      <c r="S72" s="1146">
        <v>0</v>
      </c>
      <c r="T72" s="1147">
        <v>0</v>
      </c>
      <c r="U72" s="1144">
        <v>0</v>
      </c>
      <c r="V72" s="1146">
        <v>0</v>
      </c>
      <c r="W72" s="1147">
        <v>0</v>
      </c>
      <c r="X72" s="1144">
        <v>0</v>
      </c>
      <c r="Y72" s="1146">
        <v>0</v>
      </c>
      <c r="Z72" s="1148">
        <v>3700</v>
      </c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</row>
    <row r="73" spans="1:42" s="8" customFormat="1" ht="26.25" customHeight="1">
      <c r="A73" s="802">
        <v>2321</v>
      </c>
      <c r="B73" s="803">
        <v>6121</v>
      </c>
      <c r="C73" s="969">
        <v>7366</v>
      </c>
      <c r="D73" s="1342" t="s">
        <v>164</v>
      </c>
      <c r="E73" s="858" t="s">
        <v>263</v>
      </c>
      <c r="F73" s="859">
        <v>400</v>
      </c>
      <c r="G73" s="859">
        <v>2018</v>
      </c>
      <c r="H73" s="857">
        <v>2022</v>
      </c>
      <c r="I73" s="1126">
        <f>J73+K73+L73+SUM(Q73:Z73)</f>
        <v>10000</v>
      </c>
      <c r="J73" s="1140">
        <v>0</v>
      </c>
      <c r="K73" s="1141">
        <v>0</v>
      </c>
      <c r="L73" s="1129">
        <f>M73+N73+O73+P73</f>
        <v>2000</v>
      </c>
      <c r="M73" s="1142">
        <v>0</v>
      </c>
      <c r="N73" s="1143">
        <v>2000</v>
      </c>
      <c r="O73" s="1144">
        <v>0</v>
      </c>
      <c r="P73" s="1141">
        <v>0</v>
      </c>
      <c r="Q73" s="1145">
        <v>2000</v>
      </c>
      <c r="R73" s="1144">
        <v>0</v>
      </c>
      <c r="S73" s="1146">
        <v>0</v>
      </c>
      <c r="T73" s="1147">
        <v>2000</v>
      </c>
      <c r="U73" s="1144">
        <v>0</v>
      </c>
      <c r="V73" s="1146">
        <v>0</v>
      </c>
      <c r="W73" s="1147">
        <v>2000</v>
      </c>
      <c r="X73" s="1144">
        <v>0</v>
      </c>
      <c r="Y73" s="1146">
        <v>0</v>
      </c>
      <c r="Z73" s="1148">
        <v>2000</v>
      </c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  <c r="AP73" s="245"/>
    </row>
    <row r="74" spans="1:42" s="8" customFormat="1" ht="26.25" customHeight="1" thickBot="1">
      <c r="A74" s="802">
        <v>2321</v>
      </c>
      <c r="B74" s="803">
        <v>6121</v>
      </c>
      <c r="C74" s="883">
        <v>7375</v>
      </c>
      <c r="D74" s="1125" t="s">
        <v>516</v>
      </c>
      <c r="E74" s="868" t="s">
        <v>241</v>
      </c>
      <c r="F74" s="869">
        <v>400</v>
      </c>
      <c r="G74" s="869">
        <v>2016</v>
      </c>
      <c r="H74" s="870">
        <v>2020</v>
      </c>
      <c r="I74" s="1126">
        <f>J74+K74+L74+SUM(Q74:Z74)</f>
        <v>53300</v>
      </c>
      <c r="J74" s="1140">
        <v>0</v>
      </c>
      <c r="K74" s="1141">
        <v>0</v>
      </c>
      <c r="L74" s="1129">
        <f>M74+N74+O74+P74</f>
        <v>3300</v>
      </c>
      <c r="M74" s="1142">
        <v>0</v>
      </c>
      <c r="N74" s="1143">
        <v>3300</v>
      </c>
      <c r="O74" s="1144">
        <v>0</v>
      </c>
      <c r="P74" s="1141">
        <v>0</v>
      </c>
      <c r="Q74" s="1145">
        <f>5000-5000</f>
        <v>0</v>
      </c>
      <c r="R74" s="1144">
        <v>0</v>
      </c>
      <c r="S74" s="1146">
        <v>0</v>
      </c>
      <c r="T74" s="1147">
        <v>0</v>
      </c>
      <c r="U74" s="1144">
        <v>0</v>
      </c>
      <c r="V74" s="1146">
        <v>0</v>
      </c>
      <c r="W74" s="1147">
        <v>0</v>
      </c>
      <c r="X74" s="1144">
        <v>0</v>
      </c>
      <c r="Y74" s="1146">
        <v>0</v>
      </c>
      <c r="Z74" s="1148">
        <v>50000</v>
      </c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</row>
    <row r="75" spans="1:26" ht="26.25" customHeight="1" thickBot="1">
      <c r="A75" s="871"/>
      <c r="B75" s="871"/>
      <c r="C75" s="872"/>
      <c r="D75" s="1583" t="s">
        <v>427</v>
      </c>
      <c r="E75" s="1583"/>
      <c r="F75" s="1583"/>
      <c r="G75" s="1583"/>
      <c r="H75" s="1584"/>
      <c r="I75" s="1160">
        <f aca="true" t="shared" si="2" ref="I75:Z75">SUM(I11:I74)</f>
        <v>2780941</v>
      </c>
      <c r="J75" s="1161">
        <f t="shared" si="2"/>
        <v>309721</v>
      </c>
      <c r="K75" s="1162">
        <f t="shared" si="2"/>
        <v>187194</v>
      </c>
      <c r="L75" s="1163">
        <f t="shared" si="2"/>
        <v>543565</v>
      </c>
      <c r="M75" s="1161">
        <f t="shared" si="2"/>
        <v>200669</v>
      </c>
      <c r="N75" s="1164">
        <f t="shared" si="2"/>
        <v>295200</v>
      </c>
      <c r="O75" s="1164">
        <f t="shared" si="2"/>
        <v>47696</v>
      </c>
      <c r="P75" s="1164">
        <f t="shared" si="2"/>
        <v>0</v>
      </c>
      <c r="Q75" s="1164">
        <f t="shared" si="2"/>
        <v>409321</v>
      </c>
      <c r="R75" s="1164">
        <f t="shared" si="2"/>
        <v>31424</v>
      </c>
      <c r="S75" s="1164">
        <f t="shared" si="2"/>
        <v>0</v>
      </c>
      <c r="T75" s="1164">
        <f t="shared" si="2"/>
        <v>415783</v>
      </c>
      <c r="U75" s="1164">
        <f t="shared" si="2"/>
        <v>31000</v>
      </c>
      <c r="V75" s="1164">
        <f t="shared" si="2"/>
        <v>0</v>
      </c>
      <c r="W75" s="1164">
        <f t="shared" si="2"/>
        <v>410278</v>
      </c>
      <c r="X75" s="1164">
        <f t="shared" si="2"/>
        <v>31000</v>
      </c>
      <c r="Y75" s="1164">
        <f t="shared" si="2"/>
        <v>0</v>
      </c>
      <c r="Z75" s="1165">
        <f t="shared" si="2"/>
        <v>411655</v>
      </c>
    </row>
    <row r="76" spans="1:26" ht="26.25" customHeight="1">
      <c r="A76" s="309"/>
      <c r="B76" s="309"/>
      <c r="C76" s="309"/>
      <c r="D76" s="766"/>
      <c r="E76" s="766"/>
      <c r="F76" s="766"/>
      <c r="G76" s="766"/>
      <c r="H76" s="766"/>
      <c r="I76" s="767"/>
      <c r="J76" s="768"/>
      <c r="K76" s="768"/>
      <c r="L76" s="768"/>
      <c r="M76" s="768"/>
      <c r="N76" s="768"/>
      <c r="O76" s="873"/>
      <c r="P76" s="873"/>
      <c r="Q76" s="873"/>
      <c r="R76" s="873"/>
      <c r="S76" s="873"/>
      <c r="T76" s="873"/>
      <c r="U76" s="873"/>
      <c r="V76" s="873"/>
      <c r="W76" s="874"/>
      <c r="X76" s="875"/>
      <c r="Y76" s="876"/>
      <c r="Z76" s="876"/>
    </row>
    <row r="77" spans="4:42" s="170" customFormat="1" ht="26.25" customHeight="1">
      <c r="D77" s="877"/>
      <c r="E77" s="878"/>
      <c r="F77" s="878"/>
      <c r="G77" s="878"/>
      <c r="H77" s="878"/>
      <c r="I77" s="877"/>
      <c r="J77" s="877"/>
      <c r="K77" s="877"/>
      <c r="L77" s="877"/>
      <c r="M77" s="877"/>
      <c r="N77" s="877"/>
      <c r="O77" s="877"/>
      <c r="P77" s="877"/>
      <c r="Q77" s="877"/>
      <c r="R77" s="877"/>
      <c r="S77" s="877"/>
      <c r="T77" s="877"/>
      <c r="U77" s="877"/>
      <c r="V77" s="877"/>
      <c r="W77" s="877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</row>
    <row r="78" spans="4:42" s="170" customFormat="1" ht="26.25" customHeight="1">
      <c r="D78" s="149"/>
      <c r="E78" s="878"/>
      <c r="F78" s="878"/>
      <c r="G78" s="878"/>
      <c r="H78" s="878"/>
      <c r="I78" s="877"/>
      <c r="J78" s="877"/>
      <c r="K78" s="877"/>
      <c r="L78" s="877"/>
      <c r="M78" s="877"/>
      <c r="N78" s="877"/>
      <c r="O78" s="877"/>
      <c r="P78" s="877"/>
      <c r="Q78" s="877"/>
      <c r="R78" s="877"/>
      <c r="S78" s="877"/>
      <c r="T78" s="877"/>
      <c r="U78" s="877"/>
      <c r="V78" s="877"/>
      <c r="W78" s="877"/>
      <c r="AA78" s="245"/>
      <c r="AB78" s="245"/>
      <c r="AC78" s="245"/>
      <c r="AD78" s="245"/>
      <c r="AE78" s="245"/>
      <c r="AF78" s="245"/>
      <c r="AG78" s="245"/>
      <c r="AH78" s="245"/>
      <c r="AI78" s="245"/>
      <c r="AJ78" s="245"/>
      <c r="AK78" s="245"/>
      <c r="AL78" s="245"/>
      <c r="AM78" s="245"/>
      <c r="AN78" s="245"/>
      <c r="AO78" s="245"/>
      <c r="AP78" s="245"/>
    </row>
    <row r="79" spans="5:42" s="170" customFormat="1" ht="26.25" customHeight="1">
      <c r="E79" s="245"/>
      <c r="F79" s="245"/>
      <c r="G79" s="245"/>
      <c r="H79" s="245"/>
      <c r="AA79" s="245"/>
      <c r="AB79" s="245"/>
      <c r="AC79" s="245"/>
      <c r="AD79" s="245"/>
      <c r="AE79" s="245"/>
      <c r="AF79" s="245"/>
      <c r="AG79" s="245"/>
      <c r="AH79" s="245"/>
      <c r="AI79" s="245"/>
      <c r="AJ79" s="245"/>
      <c r="AK79" s="245"/>
      <c r="AL79" s="245"/>
      <c r="AM79" s="245"/>
      <c r="AN79" s="245"/>
      <c r="AO79" s="245"/>
      <c r="AP79" s="245"/>
    </row>
    <row r="80" spans="1:14" ht="26.25" customHeight="1">
      <c r="A80" s="170"/>
      <c r="B80" s="170"/>
      <c r="C80" s="170"/>
      <c r="D80" s="170"/>
      <c r="I80" s="170"/>
      <c r="J80" s="170"/>
      <c r="K80" s="170"/>
      <c r="L80" s="170"/>
      <c r="M80" s="170"/>
      <c r="N80" s="170"/>
    </row>
    <row r="81" spans="1:4" ht="26.25" customHeight="1">
      <c r="A81" s="170"/>
      <c r="B81" s="170"/>
      <c r="C81" s="170"/>
      <c r="D81" s="170"/>
    </row>
    <row r="82" spans="1:4" ht="26.25" customHeight="1">
      <c r="A82" s="170"/>
      <c r="B82" s="170"/>
      <c r="C82" s="170"/>
      <c r="D82" s="170"/>
    </row>
    <row r="83" spans="1:4" ht="26.25" customHeight="1">
      <c r="A83" s="170"/>
      <c r="B83" s="170"/>
      <c r="C83" s="170"/>
      <c r="D83" s="170"/>
    </row>
    <row r="84" spans="1:3" ht="26.25" customHeight="1">
      <c r="A84" s="170"/>
      <c r="B84" s="170"/>
      <c r="C84" s="170"/>
    </row>
  </sheetData>
  <sheetProtection selectLockedCells="1" selectUnlockedCells="1"/>
  <mergeCells count="25">
    <mergeCell ref="D1:Z1"/>
    <mergeCell ref="D7:D9"/>
    <mergeCell ref="E7:E9"/>
    <mergeCell ref="F7:F9"/>
    <mergeCell ref="G7:H7"/>
    <mergeCell ref="I7:I9"/>
    <mergeCell ref="M7:P7"/>
    <mergeCell ref="Q7:Y7"/>
    <mergeCell ref="Z7:Z9"/>
    <mergeCell ref="K8:K9"/>
    <mergeCell ref="A8:A9"/>
    <mergeCell ref="B8:B9"/>
    <mergeCell ref="C8:C9"/>
    <mergeCell ref="G8:G9"/>
    <mergeCell ref="T8:V8"/>
    <mergeCell ref="W8:Y8"/>
    <mergeCell ref="O8:O9"/>
    <mergeCell ref="P8:P9"/>
    <mergeCell ref="Q8:S8"/>
    <mergeCell ref="D75:H75"/>
    <mergeCell ref="L8:L9"/>
    <mergeCell ref="M8:M9"/>
    <mergeCell ref="N8:N9"/>
    <mergeCell ref="H8:H9"/>
    <mergeCell ref="J8:J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Korpasová Kateřina</dc:creator>
  <cp:keywords/>
  <dc:description/>
  <cp:lastModifiedBy>Kopitzová Helena</cp:lastModifiedBy>
  <cp:lastPrinted>2019-01-07T09:11:14Z</cp:lastPrinted>
  <dcterms:created xsi:type="dcterms:W3CDTF">2016-09-27T07:37:14Z</dcterms:created>
  <dcterms:modified xsi:type="dcterms:W3CDTF">2019-01-07T09:11:16Z</dcterms:modified>
  <cp:category/>
  <cp:version/>
  <cp:contentType/>
  <cp:contentStatus/>
</cp:coreProperties>
</file>