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15" activeTab="1"/>
  </bookViews>
  <sheets>
    <sheet name="Detaily" sheetId="2" r:id="rId1"/>
    <sheet name="SDV" sheetId="3" r:id="rId2"/>
    <sheet name="rozdělení PVSS" sheetId="4" r:id="rId3"/>
  </sheets>
  <calcPr calcId="145621"/>
</workbook>
</file>

<file path=xl/calcChain.xml><?xml version="1.0" encoding="utf-8"?>
<calcChain xmlns="http://schemas.openxmlformats.org/spreadsheetml/2006/main">
  <c r="H9" i="3" l="1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8" i="3"/>
  <c r="H7" i="3"/>
  <c r="G32" i="3"/>
  <c r="H30" i="3"/>
  <c r="D30" i="3"/>
  <c r="B9" i="4" l="1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 s="1"/>
  <c r="C10" i="4" l="1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9" i="4"/>
  <c r="B43" i="2" l="1"/>
  <c r="B42" i="2"/>
  <c r="F43" i="2"/>
  <c r="E43" i="2"/>
  <c r="D43" i="2"/>
  <c r="C42" i="2"/>
  <c r="D32" i="3"/>
  <c r="F32" i="3"/>
  <c r="E32" i="3"/>
  <c r="D31" i="3"/>
  <c r="H31" i="3" s="1"/>
  <c r="C33" i="4" s="1"/>
  <c r="C32" i="3"/>
  <c r="H32" i="3" s="1"/>
  <c r="B30" i="3"/>
  <c r="G35" i="2"/>
  <c r="C32" i="4" l="1"/>
  <c r="C34" i="4" s="1"/>
  <c r="I4" i="2"/>
  <c r="N21" i="2" l="1"/>
  <c r="F44" i="2"/>
  <c r="I22" i="2" l="1"/>
  <c r="I23" i="2"/>
  <c r="C23" i="2" s="1"/>
  <c r="F32" i="2"/>
  <c r="F35" i="2" s="1"/>
  <c r="D44" i="2" s="1"/>
  <c r="E32" i="2"/>
  <c r="E35" i="2" s="1"/>
  <c r="E44" i="2" s="1"/>
  <c r="D32" i="2"/>
  <c r="D34" i="2" s="1"/>
  <c r="C44" i="2" s="1"/>
  <c r="C16" i="2"/>
  <c r="G16" i="2" s="1"/>
  <c r="I16" i="2" s="1"/>
  <c r="C15" i="2"/>
  <c r="G15" i="2" s="1"/>
  <c r="C13" i="2"/>
  <c r="C4" i="2"/>
  <c r="O4" i="2" s="1"/>
  <c r="O5" i="2" s="1"/>
  <c r="G17" i="2" l="1"/>
  <c r="I15" i="2"/>
  <c r="I17" i="2" s="1"/>
  <c r="F21" i="2"/>
  <c r="C29" i="2" s="1"/>
  <c r="H21" i="2" l="1"/>
  <c r="C31" i="2" s="1"/>
  <c r="D21" i="2"/>
  <c r="C27" i="2" s="1"/>
  <c r="O23" i="2"/>
  <c r="G21" i="2"/>
  <c r="C30" i="2" s="1"/>
  <c r="C21" i="2"/>
  <c r="E21" i="2"/>
  <c r="C28" i="2" s="1"/>
  <c r="C22" i="2" l="1"/>
  <c r="O21" i="2"/>
  <c r="C26" i="2"/>
  <c r="C32" i="2" s="1"/>
  <c r="C33" i="2" s="1"/>
  <c r="O22" i="2"/>
  <c r="C35" i="2" l="1"/>
  <c r="H35" i="2" s="1"/>
  <c r="C34" i="2"/>
  <c r="H34" i="2" s="1"/>
  <c r="H36" i="2" l="1"/>
  <c r="G43" i="2"/>
  <c r="G42" i="2" l="1"/>
  <c r="G44" i="2" s="1"/>
  <c r="B44" i="2"/>
</calcChain>
</file>

<file path=xl/sharedStrings.xml><?xml version="1.0" encoding="utf-8"?>
<sst xmlns="http://schemas.openxmlformats.org/spreadsheetml/2006/main" count="163" uniqueCount="84">
  <si>
    <t>Souhrnný dotační vztah</t>
  </si>
  <si>
    <t>v tis. Kč</t>
  </si>
  <si>
    <t>Městský obvod</t>
  </si>
  <si>
    <t>na rok 2018</t>
  </si>
  <si>
    <t>Moravská Ostrava a Přívoz</t>
  </si>
  <si>
    <t>Slezská Ostrava</t>
  </si>
  <si>
    <t>Ostrava-Jih</t>
  </si>
  <si>
    <t>Poruba</t>
  </si>
  <si>
    <t>Nová Bělá</t>
  </si>
  <si>
    <t>Vítkovice</t>
  </si>
  <si>
    <t>Stará Bělá</t>
  </si>
  <si>
    <t>Pustkovec</t>
  </si>
  <si>
    <t>Petřkovice</t>
  </si>
  <si>
    <t>Lhotka</t>
  </si>
  <si>
    <t>Hošťálkovice</t>
  </si>
  <si>
    <t>Nová Ves</t>
  </si>
  <si>
    <t>Proskovice</t>
  </si>
  <si>
    <t>Michálkovice</t>
  </si>
  <si>
    <t>Radvanice a Bartovice</t>
  </si>
  <si>
    <t>Krásné Pole</t>
  </si>
  <si>
    <t>Martinov</t>
  </si>
  <si>
    <t>Polanka nad Odrou</t>
  </si>
  <si>
    <t>Hrabová</t>
  </si>
  <si>
    <t>Svinov</t>
  </si>
  <si>
    <t>Třebovice</t>
  </si>
  <si>
    <t>Plesná</t>
  </si>
  <si>
    <t>Městské obvody</t>
  </si>
  <si>
    <t>Město</t>
  </si>
  <si>
    <t xml:space="preserve">CELKEM SMO </t>
  </si>
  <si>
    <t>Schválený souhrný dotačný vztah pro rok 2018 (při plánování rozpočtu 2018)</t>
  </si>
  <si>
    <t>Název obce</t>
  </si>
  <si>
    <t>Počet obyvatel 1.10.2017</t>
  </si>
  <si>
    <t>Příspěvek základní působnost</t>
  </si>
  <si>
    <t>Příspěvek matriční působnost</t>
  </si>
  <si>
    <t>Příspěvek stavební působnost</t>
  </si>
  <si>
    <t>Příspěvek pověřený úřad</t>
  </si>
  <si>
    <t>Příspěvek ORP</t>
  </si>
  <si>
    <t>Zvláštní postavení*</t>
  </si>
  <si>
    <t>Počet OP</t>
  </si>
  <si>
    <t>Příspěvek OP</t>
  </si>
  <si>
    <t>JKM</t>
  </si>
  <si>
    <t>Počet opatrovanců</t>
  </si>
  <si>
    <t>Příspěvek opatrovnictví</t>
  </si>
  <si>
    <t>Příspěvek součet včetně JKM, OP, opatrovnictví</t>
  </si>
  <si>
    <t>Příspěvek zaokrouhleno</t>
  </si>
  <si>
    <t>Ostrava</t>
  </si>
  <si>
    <t>Suma</t>
  </si>
  <si>
    <t>Zaokrouhleno na tis. Kč.</t>
  </si>
  <si>
    <t>OP</t>
  </si>
  <si>
    <t>Domeček</t>
  </si>
  <si>
    <t>MOb</t>
  </si>
  <si>
    <t>50:50</t>
  </si>
  <si>
    <t>MMO</t>
  </si>
  <si>
    <t>Celkem</t>
  </si>
  <si>
    <t>Navýšený souhrnný dotační vztah pro rok 2019 (o 8%)</t>
  </si>
  <si>
    <t xml:space="preserve">Počet obyvatel 1.10.2018  </t>
  </si>
  <si>
    <t>2019 (navýšení o 8%)</t>
  </si>
  <si>
    <t>Příspěvek na úřady územního plánování</t>
  </si>
  <si>
    <t>Příspěvek na jednotná kontaktní místa</t>
  </si>
  <si>
    <t>Příspěvek na vydávání občanských průkazů</t>
  </si>
  <si>
    <t>Příspěvek na veřejné opatrovnictví</t>
  </si>
  <si>
    <t>Příspěvek na výkon státní správy</t>
  </si>
  <si>
    <t>Počet obyvatel  k 1.10.2018</t>
  </si>
  <si>
    <t>Přerozdělení  dotací  ze  státního  rozpočtu  v  rámci souhrnného dotačního vztahu mezi statutární město Ostrava a  městské obvody na  rok 2019</t>
  </si>
  <si>
    <t>navýšen o 8%</t>
  </si>
  <si>
    <t>Příspěvek na financování jednotných kontaktních míst obdrží město na základě zaevidovaných a následně řešených dotazů klientů za rok 2017. Každému intervalu počtu dotazů náleží určitá výše finančního příspěvku. Funkci jednotného kontaktního místa plní živnostenský úřad.</t>
  </si>
  <si>
    <t>Příspěvek na vydávání občanských průkazů náleží obcím, kde byla podána žádost o vydání občanského průkazu (tzv. místo nabrání), a to ve výši 118 Kč za každý 1 ks takto „nabraného“ občanského průkazu.</t>
  </si>
  <si>
    <t>Příspěvek na výkon veřejného opatrovnictví je rozdělen městským obvodům a je vypočten paušální platbou 29 tis. Kč násobenou počtem opatrovanců daného obvodu.</t>
  </si>
  <si>
    <t>Příspěvek na financování úřadů územního plánování obdrží Magistrát města Ostravy ve výši 1 451 Kč za každý případ od 1.1. do 31.12.2017, pokud by ve stejném případě vydávala v roce 2018 závazné stanovisko.</t>
  </si>
  <si>
    <t>Souhrnný dotační vztah celkem</t>
  </si>
  <si>
    <t>Magistrát města Ostravy (město)</t>
  </si>
  <si>
    <t>-</t>
  </si>
  <si>
    <t>úřady</t>
  </si>
  <si>
    <t>Dotace ze SR celkem</t>
  </si>
  <si>
    <t>zaokrouhleno</t>
  </si>
  <si>
    <t>Ke dni 24.10. nebyl schválen návrh zákona o SR, z toho důvodu při výpočtu příspěvků a dotací ze státního rozpočtu jsme byli nuceni vycházet z odhadů. Pro rok 2019 má být celkový objem příspěvku valorizován o 10 % (celkový objem za ČR). V takovém případě u některých obcí může být příspěvek valorizován o méně než 10 %, a u některých naopak o více než 10 %. Vzhledem ke zmíněnému byl zvolen postup navýšení stavu z rozpočtu pro rok 2018 o 8%, od kterého jsme odečetli známou sumu jednotlivých příspěvků (JKM, veřejné opatrovnictví, vydávání občanských průkazů a úřady územního plánování), přičemž rozdíl byl podělen mezi městské obvody a Magistrát města Ostravy rovným dílem, tzn. 50/50.</t>
  </si>
  <si>
    <t>Postup pro stanovení výše dotací na financování JKM, vydávání občanských průkazů, veřejného opatrovnictví a financování úřadů územního plánování byl převzat z doposud neschválené přílohy č. 8 návrhu zákona o státním rozpočtu na rok 2019. V těchto bodech nicméně neočekáváme žádné změny.</t>
  </si>
  <si>
    <t>Příspěvek na výkon státní správy celkem</t>
  </si>
  <si>
    <t>Mariánské Hory a Hulváky</t>
  </si>
  <si>
    <t>CELKEM SMO</t>
  </si>
  <si>
    <t xml:space="preserve">Částka pro městské obvody zahrnuje kromě části příspěvku na výkon státní správy také příspěvek na výkon opatrovnictví. </t>
  </si>
  <si>
    <t>Počet obyvatel k 1.10.2018</t>
  </si>
  <si>
    <t>Příspěvek na výkon státní správy na rok 2019</t>
  </si>
  <si>
    <t>Částka pro město zahrnuje kromě části příspěvku na výkon státní správy příspěvek na jednotné kontaktní místo, na vydávání občanských průkazů a na financování úřadů územního plánování.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</si>
</sst>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 CE"/>
      <charset val="238"/>
    </font>
    <font>
      <sz val="10"/>
      <color rgb="FFFF0000"/>
      <name val="Arial CE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00B050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00">
    <xf numFmtId="0" fontId="0" fillId="0" borderId="0" xfId="0"/>
    <xf numFmtId="0" fontId="4" fillId="0" borderId="0" xfId="0" applyFont="1" applyAlignment="1">
      <alignment horizontal="right"/>
    </xf>
    <xf numFmtId="0" fontId="4" fillId="0" borderId="7" xfId="0" quotePrefix="1" applyFont="1" applyBorder="1" applyAlignment="1">
      <alignment horizontal="left"/>
    </xf>
    <xf numFmtId="0" fontId="4" fillId="0" borderId="7" xfId="0" applyFont="1" applyBorder="1"/>
    <xf numFmtId="0" fontId="4" fillId="0" borderId="14" xfId="0" applyFont="1" applyBorder="1"/>
    <xf numFmtId="3" fontId="0" fillId="0" borderId="0" xfId="0" applyNumberFormat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0" xfId="0" applyFont="1" applyFill="1" applyBorder="1" applyAlignment="1">
      <alignment wrapText="1"/>
    </xf>
    <xf numFmtId="3" fontId="2" fillId="0" borderId="0" xfId="0" applyNumberFormat="1" applyFont="1" applyFill="1" applyBorder="1" applyAlignment="1">
      <alignment wrapText="1"/>
    </xf>
    <xf numFmtId="3" fontId="4" fillId="0" borderId="36" xfId="0" applyNumberFormat="1" applyFont="1" applyBorder="1"/>
    <xf numFmtId="3" fontId="5" fillId="0" borderId="37" xfId="0" applyNumberFormat="1" applyFont="1" applyFill="1" applyBorder="1"/>
    <xf numFmtId="3" fontId="4" fillId="0" borderId="23" xfId="0" applyNumberFormat="1" applyFont="1" applyFill="1" applyBorder="1"/>
    <xf numFmtId="3" fontId="4" fillId="0" borderId="23" xfId="0" applyNumberFormat="1" applyFont="1" applyBorder="1"/>
    <xf numFmtId="0" fontId="4" fillId="0" borderId="38" xfId="0" applyFont="1" applyBorder="1"/>
    <xf numFmtId="3" fontId="4" fillId="0" borderId="7" xfId="0" applyNumberFormat="1" applyFont="1" applyBorder="1"/>
    <xf numFmtId="3" fontId="4" fillId="0" borderId="13" xfId="0" applyNumberFormat="1" applyFont="1" applyFill="1" applyBorder="1"/>
    <xf numFmtId="3" fontId="4" fillId="0" borderId="13" xfId="0" applyNumberFormat="1" applyFont="1" applyBorder="1"/>
    <xf numFmtId="0" fontId="4" fillId="0" borderId="16" xfId="0" applyFont="1" applyBorder="1"/>
    <xf numFmtId="3" fontId="4" fillId="0" borderId="14" xfId="0" applyNumberFormat="1" applyFont="1" applyBorder="1"/>
    <xf numFmtId="3" fontId="5" fillId="0" borderId="0" xfId="0" applyNumberFormat="1" applyFont="1" applyFill="1" applyBorder="1"/>
    <xf numFmtId="3" fontId="4" fillId="0" borderId="29" xfId="0" applyNumberFormat="1" applyFont="1" applyBorder="1"/>
    <xf numFmtId="0" fontId="4" fillId="0" borderId="40" xfId="0" applyFont="1" applyBorder="1"/>
    <xf numFmtId="3" fontId="5" fillId="0" borderId="36" xfId="0" applyNumberFormat="1" applyFont="1" applyBorder="1"/>
    <xf numFmtId="3" fontId="5" fillId="0" borderId="7" xfId="0" applyNumberFormat="1" applyFont="1" applyBorder="1"/>
    <xf numFmtId="0" fontId="9" fillId="0" borderId="13" xfId="0" applyFont="1" applyBorder="1"/>
    <xf numFmtId="0" fontId="4" fillId="0" borderId="0" xfId="0" applyFont="1"/>
    <xf numFmtId="49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5" borderId="28" xfId="0" applyFont="1" applyFill="1" applyBorder="1" applyAlignment="1">
      <alignment vertical="center" wrapText="1"/>
    </xf>
    <xf numFmtId="3" fontId="4" fillId="0" borderId="29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3" fontId="4" fillId="0" borderId="51" xfId="0" applyNumberFormat="1" applyFont="1" applyBorder="1" applyAlignment="1">
      <alignment horizontal="center" vertical="center" wrapText="1"/>
    </xf>
    <xf numFmtId="0" fontId="5" fillId="5" borderId="52" xfId="0" applyFont="1" applyFill="1" applyBorder="1" applyAlignment="1">
      <alignment vertical="center" wrapText="1"/>
    </xf>
    <xf numFmtId="3" fontId="4" fillId="0" borderId="49" xfId="0" applyNumberFormat="1" applyFont="1" applyBorder="1" applyAlignment="1">
      <alignment horizontal="center" vertical="center" wrapText="1"/>
    </xf>
    <xf numFmtId="3" fontId="5" fillId="0" borderId="49" xfId="0" applyNumberFormat="1" applyFont="1" applyBorder="1" applyAlignment="1">
      <alignment horizontal="center" vertical="center" wrapText="1"/>
    </xf>
    <xf numFmtId="3" fontId="5" fillId="0" borderId="53" xfId="0" applyNumberFormat="1" applyFont="1" applyBorder="1" applyAlignment="1">
      <alignment horizontal="center" vertical="center" wrapText="1"/>
    </xf>
    <xf numFmtId="0" fontId="5" fillId="5" borderId="54" xfId="0" applyFont="1" applyFill="1" applyBorder="1" applyAlignment="1">
      <alignment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3" fontId="4" fillId="0" borderId="55" xfId="0" applyNumberFormat="1" applyFont="1" applyBorder="1" applyAlignment="1">
      <alignment horizontal="center" vertical="center" wrapText="1"/>
    </xf>
    <xf numFmtId="0" fontId="4" fillId="2" borderId="52" xfId="0" applyFont="1" applyFill="1" applyBorder="1" applyAlignment="1">
      <alignment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right"/>
    </xf>
    <xf numFmtId="0" fontId="6" fillId="0" borderId="58" xfId="1" applyFont="1" applyBorder="1"/>
    <xf numFmtId="3" fontId="4" fillId="9" borderId="55" xfId="1" applyNumberFormat="1" applyFont="1" applyFill="1" applyBorder="1"/>
    <xf numFmtId="0" fontId="12" fillId="0" borderId="0" xfId="0" applyNumberFormat="1" applyFont="1"/>
    <xf numFmtId="0" fontId="4" fillId="0" borderId="59" xfId="1" applyFont="1" applyBorder="1"/>
    <xf numFmtId="3" fontId="12" fillId="0" borderId="0" xfId="0" applyNumberFormat="1" applyFont="1"/>
    <xf numFmtId="0" fontId="6" fillId="0" borderId="59" xfId="1" applyFont="1" applyBorder="1"/>
    <xf numFmtId="0" fontId="6" fillId="0" borderId="60" xfId="1" applyFont="1" applyBorder="1"/>
    <xf numFmtId="0" fontId="7" fillId="7" borderId="33" xfId="1" applyFont="1" applyFill="1" applyBorder="1"/>
    <xf numFmtId="3" fontId="5" fillId="7" borderId="56" xfId="1" applyNumberFormat="1" applyFont="1" applyFill="1" applyBorder="1"/>
    <xf numFmtId="3" fontId="12" fillId="0" borderId="0" xfId="0" applyNumberFormat="1" applyFont="1" applyFill="1" applyBorder="1"/>
    <xf numFmtId="0" fontId="12" fillId="0" borderId="0" xfId="0" applyFont="1" applyFill="1"/>
    <xf numFmtId="0" fontId="0" fillId="0" borderId="0" xfId="0" applyFill="1"/>
    <xf numFmtId="0" fontId="7" fillId="7" borderId="6" xfId="1" applyFont="1" applyFill="1" applyBorder="1"/>
    <xf numFmtId="3" fontId="5" fillId="7" borderId="5" xfId="1" applyNumberFormat="1" applyFont="1" applyFill="1" applyBorder="1"/>
    <xf numFmtId="3" fontId="10" fillId="10" borderId="5" xfId="1" applyNumberFormat="1" applyFont="1" applyFill="1" applyBorder="1"/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wrapText="1"/>
    </xf>
    <xf numFmtId="0" fontId="18" fillId="6" borderId="13" xfId="0" applyFont="1" applyFill="1" applyBorder="1" applyAlignment="1">
      <alignment horizontal="center" vertical="center" wrapText="1"/>
    </xf>
    <xf numFmtId="3" fontId="19" fillId="7" borderId="13" xfId="0" applyNumberFormat="1" applyFont="1" applyFill="1" applyBorder="1" applyAlignment="1">
      <alignment horizontal="center" vertical="center" wrapText="1"/>
    </xf>
    <xf numFmtId="3" fontId="18" fillId="4" borderId="13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/>
    <xf numFmtId="0" fontId="18" fillId="0" borderId="13" xfId="0" applyFont="1" applyBorder="1"/>
    <xf numFmtId="3" fontId="19" fillId="7" borderId="13" xfId="0" applyNumberFormat="1" applyFont="1" applyFill="1" applyBorder="1"/>
    <xf numFmtId="3" fontId="18" fillId="0" borderId="13" xfId="0" applyNumberFormat="1" applyFont="1" applyBorder="1"/>
    <xf numFmtId="3" fontId="19" fillId="0" borderId="13" xfId="0" applyNumberFormat="1" applyFont="1" applyBorder="1"/>
    <xf numFmtId="0" fontId="2" fillId="0" borderId="0" xfId="0" applyFont="1"/>
    <xf numFmtId="3" fontId="19" fillId="7" borderId="13" xfId="0" applyNumberFormat="1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10" fontId="2" fillId="0" borderId="0" xfId="0" applyNumberFormat="1" applyFont="1"/>
    <xf numFmtId="3" fontId="20" fillId="0" borderId="13" xfId="0" applyNumberFormat="1" applyFont="1" applyBorder="1"/>
    <xf numFmtId="3" fontId="18" fillId="0" borderId="11" xfId="0" applyNumberFormat="1" applyFont="1" applyFill="1" applyBorder="1" applyAlignment="1">
      <alignment horizontal="center"/>
    </xf>
    <xf numFmtId="0" fontId="2" fillId="0" borderId="13" xfId="0" applyFont="1" applyFill="1" applyBorder="1"/>
    <xf numFmtId="3" fontId="18" fillId="0" borderId="12" xfId="0" applyNumberFormat="1" applyFont="1" applyFill="1" applyBorder="1"/>
    <xf numFmtId="3" fontId="18" fillId="0" borderId="12" xfId="0" applyNumberFormat="1" applyFont="1" applyFill="1" applyBorder="1" applyAlignment="1">
      <alignment horizontal="right"/>
    </xf>
    <xf numFmtId="3" fontId="19" fillId="8" borderId="20" xfId="0" applyNumberFormat="1" applyFont="1" applyFill="1" applyBorder="1" applyAlignment="1">
      <alignment horizontal="center"/>
    </xf>
    <xf numFmtId="0" fontId="2" fillId="8" borderId="21" xfId="0" applyFont="1" applyFill="1" applyBorder="1"/>
    <xf numFmtId="3" fontId="19" fillId="8" borderId="22" xfId="0" applyNumberFormat="1" applyFont="1" applyFill="1" applyBorder="1" applyAlignment="1">
      <alignment horizontal="right"/>
    </xf>
    <xf numFmtId="3" fontId="19" fillId="8" borderId="23" xfId="0" applyNumberFormat="1" applyFont="1" applyFill="1" applyBorder="1" applyAlignment="1">
      <alignment horizontal="center"/>
    </xf>
    <xf numFmtId="0" fontId="2" fillId="8" borderId="10" xfId="0" applyFont="1" applyFill="1" applyBorder="1"/>
    <xf numFmtId="3" fontId="19" fillId="8" borderId="24" xfId="0" applyNumberFormat="1" applyFont="1" applyFill="1" applyBorder="1" applyAlignment="1">
      <alignment horizontal="right"/>
    </xf>
    <xf numFmtId="0" fontId="2" fillId="8" borderId="8" xfId="0" applyFont="1" applyFill="1" applyBorder="1" applyAlignment="1">
      <alignment horizontal="center" wrapText="1"/>
    </xf>
    <xf numFmtId="0" fontId="2" fillId="8" borderId="10" xfId="0" applyFont="1" applyFill="1" applyBorder="1" applyAlignment="1">
      <alignment horizontal="center"/>
    </xf>
    <xf numFmtId="0" fontId="2" fillId="8" borderId="25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3" xfId="0" applyFont="1" applyBorder="1"/>
    <xf numFmtId="49" fontId="2" fillId="0" borderId="13" xfId="0" applyNumberFormat="1" applyFont="1" applyFill="1" applyBorder="1" applyAlignment="1">
      <alignment horizontal="center" vertical="center"/>
    </xf>
    <xf numFmtId="3" fontId="19" fillId="0" borderId="16" xfId="0" applyNumberFormat="1" applyFont="1" applyFill="1" applyBorder="1" applyAlignment="1">
      <alignment horizontal="right"/>
    </xf>
    <xf numFmtId="3" fontId="2" fillId="0" borderId="11" xfId="0" applyNumberFormat="1" applyFont="1" applyBorder="1"/>
    <xf numFmtId="3" fontId="2" fillId="0" borderId="13" xfId="0" applyNumberFormat="1" applyFont="1" applyBorder="1"/>
    <xf numFmtId="3" fontId="2" fillId="4" borderId="26" xfId="0" applyNumberFormat="1" applyFont="1" applyFill="1" applyBorder="1"/>
    <xf numFmtId="3" fontId="2" fillId="0" borderId="18" xfId="0" applyNumberFormat="1" applyFont="1" applyBorder="1"/>
    <xf numFmtId="3" fontId="2" fillId="0" borderId="20" xfId="0" applyNumberFormat="1" applyFont="1" applyBorder="1"/>
    <xf numFmtId="3" fontId="2" fillId="0" borderId="21" xfId="0" applyNumberFormat="1" applyFont="1" applyBorder="1"/>
    <xf numFmtId="3" fontId="2" fillId="4" borderId="27" xfId="0" applyNumberFormat="1" applyFont="1" applyFill="1" applyBorder="1"/>
    <xf numFmtId="3" fontId="21" fillId="4" borderId="3" xfId="0" applyNumberFormat="1" applyFont="1" applyFill="1" applyBorder="1"/>
    <xf numFmtId="3" fontId="22" fillId="0" borderId="0" xfId="0" applyNumberFormat="1" applyFont="1" applyFill="1" applyBorder="1"/>
    <xf numFmtId="0" fontId="22" fillId="0" borderId="0" xfId="0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3" fontId="2" fillId="0" borderId="0" xfId="0" applyNumberFormat="1" applyFont="1"/>
    <xf numFmtId="3" fontId="21" fillId="0" borderId="0" xfId="0" applyNumberFormat="1" applyFont="1" applyFill="1" applyBorder="1"/>
    <xf numFmtId="3" fontId="19" fillId="8" borderId="8" xfId="0" applyNumberFormat="1" applyFont="1" applyFill="1" applyBorder="1" applyAlignment="1">
      <alignment horizontal="center" wrapText="1"/>
    </xf>
    <xf numFmtId="0" fontId="2" fillId="8" borderId="10" xfId="0" applyFont="1" applyFill="1" applyBorder="1" applyAlignment="1">
      <alignment wrapText="1"/>
    </xf>
    <xf numFmtId="3" fontId="19" fillId="8" borderId="9" xfId="0" applyNumberFormat="1" applyFont="1" applyFill="1" applyBorder="1" applyAlignment="1">
      <alignment horizontal="right" wrapText="1"/>
    </xf>
    <xf numFmtId="0" fontId="2" fillId="8" borderId="10" xfId="0" applyFont="1" applyFill="1" applyBorder="1" applyAlignment="1">
      <alignment horizontal="center" wrapText="1"/>
    </xf>
    <xf numFmtId="0" fontId="2" fillId="8" borderId="24" xfId="0" applyFont="1" applyFill="1" applyBorder="1" applyAlignment="1">
      <alignment horizontal="center" wrapText="1"/>
    </xf>
    <xf numFmtId="0" fontId="2" fillId="8" borderId="36" xfId="0" applyFont="1" applyFill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3" fontId="22" fillId="0" borderId="0" xfId="0" applyNumberFormat="1" applyFont="1" applyFill="1" applyBorder="1" applyAlignment="1">
      <alignment wrapText="1"/>
    </xf>
    <xf numFmtId="0" fontId="2" fillId="0" borderId="11" xfId="0" applyFont="1" applyFill="1" applyBorder="1"/>
    <xf numFmtId="3" fontId="19" fillId="0" borderId="12" xfId="0" applyNumberFormat="1" applyFont="1" applyFill="1" applyBorder="1" applyAlignment="1">
      <alignment horizontal="right"/>
    </xf>
    <xf numFmtId="3" fontId="2" fillId="0" borderId="16" xfId="0" applyNumberFormat="1" applyFont="1" applyBorder="1"/>
    <xf numFmtId="3" fontId="2" fillId="4" borderId="7" xfId="0" applyNumberFormat="1" applyFont="1" applyFill="1" applyBorder="1"/>
    <xf numFmtId="3" fontId="2" fillId="0" borderId="32" xfId="0" applyNumberFormat="1" applyFont="1" applyBorder="1"/>
    <xf numFmtId="3" fontId="2" fillId="0" borderId="0" xfId="0" applyNumberFormat="1" applyFont="1" applyBorder="1"/>
    <xf numFmtId="0" fontId="2" fillId="0" borderId="28" xfId="0" applyFont="1" applyFill="1" applyBorder="1"/>
    <xf numFmtId="49" fontId="2" fillId="0" borderId="29" xfId="0" applyNumberFormat="1" applyFont="1" applyFill="1" applyBorder="1" applyAlignment="1">
      <alignment horizontal="center" vertical="center"/>
    </xf>
    <xf numFmtId="3" fontId="2" fillId="0" borderId="28" xfId="0" applyNumberFormat="1" applyFont="1" applyBorder="1"/>
    <xf numFmtId="3" fontId="2" fillId="0" borderId="29" xfId="0" applyNumberFormat="1" applyFont="1" applyBorder="1"/>
    <xf numFmtId="3" fontId="2" fillId="0" borderId="40" xfId="0" applyNumberFormat="1" applyFont="1" applyBorder="1"/>
    <xf numFmtId="3" fontId="2" fillId="4" borderId="50" xfId="0" applyNumberFormat="1" applyFont="1" applyFill="1" applyBorder="1"/>
    <xf numFmtId="3" fontId="21" fillId="4" borderId="15" xfId="0" applyNumberFormat="1" applyFont="1" applyFill="1" applyBorder="1"/>
    <xf numFmtId="3" fontId="4" fillId="0" borderId="37" xfId="0" applyNumberFormat="1" applyFont="1" applyFill="1" applyBorder="1"/>
    <xf numFmtId="4" fontId="23" fillId="0" borderId="0" xfId="0" applyNumberFormat="1" applyFont="1"/>
    <xf numFmtId="3" fontId="4" fillId="0" borderId="39" xfId="0" applyNumberFormat="1" applyFont="1" applyFill="1" applyBorder="1"/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6" fillId="0" borderId="0" xfId="1" applyFont="1" applyFill="1" applyBorder="1" applyAlignment="1">
      <alignment wrapText="1"/>
    </xf>
    <xf numFmtId="0" fontId="2" fillId="0" borderId="0" xfId="0" applyFont="1" applyAlignment="1">
      <alignment wrapText="1"/>
    </xf>
    <xf numFmtId="3" fontId="19" fillId="7" borderId="16" xfId="0" applyNumberFormat="1" applyFont="1" applyFill="1" applyBorder="1" applyAlignment="1">
      <alignment horizontal="center"/>
    </xf>
    <xf numFmtId="3" fontId="19" fillId="7" borderId="17" xfId="0" applyNumberFormat="1" applyFont="1" applyFill="1" applyBorder="1" applyAlignment="1">
      <alignment horizontal="center"/>
    </xf>
    <xf numFmtId="3" fontId="19" fillId="7" borderId="18" xfId="0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wrapText="1"/>
    </xf>
    <xf numFmtId="0" fontId="3" fillId="0" borderId="0" xfId="0" applyFont="1" applyAlignment="1">
      <alignment wrapText="1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19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/>
    </xf>
    <xf numFmtId="3" fontId="18" fillId="0" borderId="16" xfId="0" applyNumberFormat="1" applyFont="1" applyBorder="1" applyAlignment="1">
      <alignment horizontal="center"/>
    </xf>
    <xf numFmtId="3" fontId="18" fillId="0" borderId="17" xfId="0" applyNumberFormat="1" applyFont="1" applyBorder="1" applyAlignment="1">
      <alignment horizontal="center"/>
    </xf>
    <xf numFmtId="3" fontId="18" fillId="0" borderId="18" xfId="0" applyNumberFormat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wrapText="1"/>
    </xf>
    <xf numFmtId="0" fontId="13" fillId="0" borderId="0" xfId="0" applyFont="1" applyFill="1" applyAlignment="1">
      <alignment wrapText="1"/>
    </xf>
    <xf numFmtId="0" fontId="0" fillId="0" borderId="0" xfId="0" applyAlignment="1"/>
    <xf numFmtId="0" fontId="5" fillId="7" borderId="33" xfId="1" applyFont="1" applyFill="1" applyBorder="1" applyAlignment="1">
      <alignment horizontal="left" vertical="center" wrapText="1"/>
    </xf>
    <xf numFmtId="0" fontId="12" fillId="7" borderId="35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left" vertical="center" wrapText="1"/>
    </xf>
    <xf numFmtId="0" fontId="5" fillId="7" borderId="33" xfId="1" applyFont="1" applyFill="1" applyBorder="1" applyAlignment="1">
      <alignment horizontal="center" vertical="center" wrapText="1"/>
    </xf>
    <xf numFmtId="0" fontId="14" fillId="7" borderId="35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5" fillId="7" borderId="56" xfId="1" applyFont="1" applyFill="1" applyBorder="1" applyAlignment="1">
      <alignment horizontal="center" vertical="center" wrapText="1"/>
    </xf>
    <xf numFmtId="0" fontId="5" fillId="7" borderId="57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3" fontId="5" fillId="7" borderId="33" xfId="1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15" fillId="10" borderId="1" xfId="1" applyFont="1" applyFill="1" applyBorder="1" applyAlignment="1"/>
    <xf numFmtId="0" fontId="1" fillId="0" borderId="2" xfId="0" applyFont="1" applyBorder="1" applyAlignment="1"/>
    <xf numFmtId="0" fontId="13" fillId="0" borderId="0" xfId="0" applyFont="1" applyAlignment="1"/>
    <xf numFmtId="0" fontId="5" fillId="11" borderId="33" xfId="0" applyFont="1" applyFill="1" applyBorder="1" applyAlignment="1">
      <alignment horizontal="left" vertical="center"/>
    </xf>
    <xf numFmtId="0" fontId="5" fillId="11" borderId="34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vertical="center"/>
    </xf>
    <xf numFmtId="0" fontId="4" fillId="11" borderId="3" xfId="0" applyFont="1" applyFill="1" applyBorder="1" applyAlignment="1">
      <alignment vertical="center"/>
    </xf>
    <xf numFmtId="0" fontId="5" fillId="11" borderId="33" xfId="0" applyFont="1" applyFill="1" applyBorder="1" applyAlignment="1">
      <alignment horizontal="center" vertical="center" wrapText="1"/>
    </xf>
    <xf numFmtId="0" fontId="4" fillId="11" borderId="35" xfId="0" applyFont="1" applyFill="1" applyBorder="1" applyAlignment="1">
      <alignment horizontal="left" vertical="center"/>
    </xf>
    <xf numFmtId="0" fontId="4" fillId="11" borderId="35" xfId="0" applyFont="1" applyFill="1" applyBorder="1" applyAlignment="1">
      <alignment vertical="center" wrapText="1"/>
    </xf>
    <xf numFmtId="0" fontId="4" fillId="11" borderId="6" xfId="0" applyFont="1" applyFill="1" applyBorder="1" applyAlignment="1">
      <alignment horizontal="left" vertical="center"/>
    </xf>
    <xf numFmtId="0" fontId="4" fillId="11" borderId="6" xfId="0" applyFont="1" applyFill="1" applyBorder="1" applyAlignment="1">
      <alignment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41" xfId="0" applyFont="1" applyFill="1" applyBorder="1" applyAlignment="1">
      <alignment horizontal="left"/>
    </xf>
    <xf numFmtId="3" fontId="5" fillId="11" borderId="41" xfId="0" applyNumberFormat="1" applyFont="1" applyFill="1" applyBorder="1" applyAlignment="1">
      <alignment vertical="center"/>
    </xf>
    <xf numFmtId="3" fontId="7" fillId="11" borderId="42" xfId="0" applyNumberFormat="1" applyFont="1" applyFill="1" applyBorder="1"/>
    <xf numFmtId="3" fontId="7" fillId="11" borderId="43" xfId="0" applyNumberFormat="1" applyFont="1" applyFill="1" applyBorder="1"/>
    <xf numFmtId="3" fontId="7" fillId="11" borderId="44" xfId="0" applyNumberFormat="1" applyFont="1" applyFill="1" applyBorder="1"/>
    <xf numFmtId="3" fontId="5" fillId="11" borderId="43" xfId="0" applyNumberFormat="1" applyFont="1" applyFill="1" applyBorder="1"/>
    <xf numFmtId="0" fontId="5" fillId="11" borderId="45" xfId="0" applyFont="1" applyFill="1" applyBorder="1"/>
    <xf numFmtId="3" fontId="5" fillId="11" borderId="30" xfId="0" applyNumberFormat="1" applyFont="1" applyFill="1" applyBorder="1"/>
    <xf numFmtId="0" fontId="5" fillId="11" borderId="6" xfId="0" applyFont="1" applyFill="1" applyBorder="1" applyAlignment="1">
      <alignment horizontal="left"/>
    </xf>
    <xf numFmtId="0" fontId="4" fillId="11" borderId="6" xfId="0" applyFont="1" applyFill="1" applyBorder="1" applyAlignment="1">
      <alignment vertical="center"/>
    </xf>
    <xf numFmtId="3" fontId="5" fillId="11" borderId="4" xfId="0" applyNumberFormat="1" applyFont="1" applyFill="1" applyBorder="1"/>
    <xf numFmtId="3" fontId="5" fillId="11" borderId="46" xfId="0" applyNumberFormat="1" applyFont="1" applyFill="1" applyBorder="1"/>
    <xf numFmtId="3" fontId="5" fillId="11" borderId="47" xfId="0" applyNumberFormat="1" applyFont="1" applyFill="1" applyBorder="1"/>
    <xf numFmtId="3" fontId="5" fillId="11" borderId="48" xfId="0" applyNumberFormat="1" applyFont="1" applyFill="1" applyBorder="1"/>
    <xf numFmtId="3" fontId="5" fillId="11" borderId="31" xfId="0" applyNumberFormat="1" applyFont="1" applyFill="1" applyBorder="1"/>
    <xf numFmtId="0" fontId="5" fillId="11" borderId="1" xfId="0" applyFont="1" applyFill="1" applyBorder="1" applyAlignment="1">
      <alignment horizontal="left"/>
    </xf>
    <xf numFmtId="0" fontId="4" fillId="11" borderId="3" xfId="0" applyFont="1" applyFill="1" applyBorder="1" applyAlignment="1"/>
    <xf numFmtId="3" fontId="5" fillId="11" borderId="49" xfId="0" applyNumberFormat="1" applyFont="1" applyFill="1" applyBorder="1"/>
    <xf numFmtId="3" fontId="5" fillId="11" borderId="2" xfId="0" applyNumberFormat="1" applyFont="1" applyFill="1" applyBorder="1"/>
    <xf numFmtId="3" fontId="5" fillId="11" borderId="15" xfId="0" applyNumberFormat="1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zoomScale="85" zoomScaleNormal="85" workbookViewId="0">
      <selection activeCell="C33" sqref="C33"/>
    </sheetView>
  </sheetViews>
  <sheetFormatPr defaultRowHeight="12.75" x14ac:dyDescent="0.2"/>
  <cols>
    <col min="1" max="1" width="27.85546875" style="73" customWidth="1"/>
    <col min="2" max="8" width="15.85546875" style="73" customWidth="1"/>
    <col min="9" max="9" width="11.28515625" style="73" customWidth="1"/>
    <col min="10" max="11" width="9.140625" style="73"/>
    <col min="12" max="12" width="12" style="73" customWidth="1"/>
    <col min="13" max="13" width="13" style="73" customWidth="1"/>
    <col min="14" max="14" width="15.5703125" style="73" customWidth="1"/>
    <col min="15" max="15" width="11.7109375" style="73" customWidth="1"/>
    <col min="16" max="16" width="13.42578125" style="73" customWidth="1"/>
    <col min="17" max="16384" width="9.140625" style="73"/>
  </cols>
  <sheetData>
    <row r="1" spans="1:19" ht="19.5" customHeight="1" x14ac:dyDescent="0.2">
      <c r="A1" s="140" t="s">
        <v>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64"/>
    </row>
    <row r="2" spans="1:19" s="75" customFormat="1" ht="63.75" x14ac:dyDescent="0.2">
      <c r="A2" s="65" t="s">
        <v>30</v>
      </c>
      <c r="B2" s="65" t="s">
        <v>31</v>
      </c>
      <c r="C2" s="66" t="s">
        <v>32</v>
      </c>
      <c r="D2" s="74" t="s">
        <v>33</v>
      </c>
      <c r="E2" s="66" t="s">
        <v>34</v>
      </c>
      <c r="F2" s="66" t="s">
        <v>35</v>
      </c>
      <c r="G2" s="66" t="s">
        <v>36</v>
      </c>
      <c r="H2" s="66" t="s">
        <v>37</v>
      </c>
      <c r="I2" s="67" t="s">
        <v>38</v>
      </c>
      <c r="J2" s="67" t="s">
        <v>39</v>
      </c>
      <c r="K2" s="67" t="s">
        <v>40</v>
      </c>
      <c r="L2" s="67" t="s">
        <v>41</v>
      </c>
      <c r="M2" s="67" t="s">
        <v>42</v>
      </c>
      <c r="N2" s="67" t="s">
        <v>57</v>
      </c>
      <c r="O2" s="66" t="s">
        <v>43</v>
      </c>
      <c r="P2" s="66" t="s">
        <v>44</v>
      </c>
    </row>
    <row r="3" spans="1:19" ht="15" customHeight="1" x14ac:dyDescent="0.2">
      <c r="A3" s="68" t="s">
        <v>45</v>
      </c>
      <c r="B3" s="69">
        <v>289158</v>
      </c>
      <c r="C3" s="70">
        <v>8129100.88540472</v>
      </c>
      <c r="D3" s="70">
        <v>9612646.8967505805</v>
      </c>
      <c r="E3" s="70">
        <v>21884468.638324101</v>
      </c>
      <c r="F3" s="70">
        <v>36872481.913870499</v>
      </c>
      <c r="G3" s="70">
        <v>62816662.572580203</v>
      </c>
      <c r="H3" s="70">
        <v>127504157</v>
      </c>
      <c r="I3" s="71">
        <v>52702</v>
      </c>
      <c r="J3" s="71">
        <v>5639114</v>
      </c>
      <c r="K3" s="71">
        <v>900000</v>
      </c>
      <c r="L3" s="71">
        <v>379</v>
      </c>
      <c r="M3" s="71">
        <v>10991000</v>
      </c>
      <c r="N3" s="71">
        <v>0</v>
      </c>
      <c r="O3" s="72">
        <v>284349631.90693009</v>
      </c>
      <c r="P3" s="72">
        <v>284349600</v>
      </c>
    </row>
    <row r="4" spans="1:19" ht="15" customHeight="1" x14ac:dyDescent="0.2">
      <c r="A4" s="68"/>
      <c r="B4" s="69"/>
      <c r="C4" s="137">
        <f>SUM(C3:H3)</f>
        <v>266819517.90693009</v>
      </c>
      <c r="D4" s="138"/>
      <c r="E4" s="138"/>
      <c r="F4" s="138"/>
      <c r="G4" s="138"/>
      <c r="H4" s="139"/>
      <c r="I4" s="146">
        <f>J3+K3+M3</f>
        <v>17530114</v>
      </c>
      <c r="J4" s="147"/>
      <c r="K4" s="147"/>
      <c r="L4" s="147"/>
      <c r="M4" s="147"/>
      <c r="N4" s="148"/>
      <c r="O4" s="72">
        <f>C4+I4</f>
        <v>284349631.90693009</v>
      </c>
      <c r="P4" s="72"/>
    </row>
    <row r="5" spans="1:19" ht="38.25" customHeight="1" thickBot="1" x14ac:dyDescent="0.25">
      <c r="C5" s="76"/>
      <c r="D5" s="76"/>
      <c r="E5" s="76"/>
      <c r="F5" s="76"/>
      <c r="G5" s="76"/>
      <c r="H5" s="76"/>
      <c r="I5" s="76"/>
      <c r="O5" s="77">
        <f>ROUND((O4*1.08),0)</f>
        <v>307097602</v>
      </c>
      <c r="P5" s="25" t="s">
        <v>64</v>
      </c>
    </row>
    <row r="6" spans="1:19" ht="38.25" customHeight="1" thickBot="1" x14ac:dyDescent="0.25">
      <c r="A6" s="142" t="s">
        <v>3</v>
      </c>
      <c r="B6" s="143"/>
      <c r="C6" s="144"/>
      <c r="O6" s="77">
        <v>307097600</v>
      </c>
      <c r="P6" s="25" t="s">
        <v>74</v>
      </c>
    </row>
    <row r="7" spans="1:19" x14ac:dyDescent="0.2">
      <c r="A7" s="78" t="s">
        <v>32</v>
      </c>
      <c r="B7" s="79"/>
      <c r="C7" s="80">
        <v>8129100.88540472</v>
      </c>
      <c r="S7" s="6"/>
    </row>
    <row r="8" spans="1:19" x14ac:dyDescent="0.2">
      <c r="A8" s="78" t="s">
        <v>33</v>
      </c>
      <c r="B8" s="79"/>
      <c r="C8" s="80">
        <v>9612646.8967505805</v>
      </c>
      <c r="S8" s="6"/>
    </row>
    <row r="9" spans="1:19" ht="16.5" customHeight="1" x14ac:dyDescent="0.2">
      <c r="A9" s="78" t="s">
        <v>34</v>
      </c>
      <c r="B9" s="79"/>
      <c r="C9" s="80">
        <v>21884468.638324101</v>
      </c>
      <c r="S9" s="6"/>
    </row>
    <row r="10" spans="1:19" x14ac:dyDescent="0.2">
      <c r="A10" s="78" t="s">
        <v>35</v>
      </c>
      <c r="B10" s="79"/>
      <c r="C10" s="80">
        <v>36872481.913870499</v>
      </c>
      <c r="S10" s="6"/>
    </row>
    <row r="11" spans="1:19" x14ac:dyDescent="0.2">
      <c r="A11" s="78" t="s">
        <v>36</v>
      </c>
      <c r="B11" s="79"/>
      <c r="C11" s="80">
        <v>62816662.572580203</v>
      </c>
      <c r="S11" s="6"/>
    </row>
    <row r="12" spans="1:19" x14ac:dyDescent="0.2">
      <c r="A12" s="78" t="s">
        <v>37</v>
      </c>
      <c r="B12" s="79"/>
      <c r="C12" s="81">
        <v>127504157</v>
      </c>
      <c r="S12" s="6"/>
    </row>
    <row r="13" spans="1:19" ht="13.5" thickBot="1" x14ac:dyDescent="0.25">
      <c r="A13" s="82" t="s">
        <v>46</v>
      </c>
      <c r="B13" s="83"/>
      <c r="C13" s="84">
        <f>SUM(C7:C12)</f>
        <v>266819517.90693009</v>
      </c>
      <c r="S13" s="6"/>
    </row>
    <row r="14" spans="1:19" ht="25.5" x14ac:dyDescent="0.2">
      <c r="A14" s="85" t="s">
        <v>47</v>
      </c>
      <c r="B14" s="86"/>
      <c r="C14" s="87">
        <v>266820</v>
      </c>
      <c r="D14" s="88" t="s">
        <v>42</v>
      </c>
      <c r="E14" s="89" t="s">
        <v>40</v>
      </c>
      <c r="F14" s="89" t="s">
        <v>48</v>
      </c>
      <c r="G14" s="90"/>
      <c r="H14" s="91" t="s">
        <v>49</v>
      </c>
      <c r="I14" s="92"/>
      <c r="S14" s="6"/>
    </row>
    <row r="15" spans="1:19" x14ac:dyDescent="0.2">
      <c r="A15" s="79" t="s">
        <v>50</v>
      </c>
      <c r="B15" s="93" t="s">
        <v>51</v>
      </c>
      <c r="C15" s="94">
        <f>C14/2</f>
        <v>133410</v>
      </c>
      <c r="D15" s="95">
        <v>10991</v>
      </c>
      <c r="E15" s="96">
        <v>0</v>
      </c>
      <c r="F15" s="96">
        <v>0</v>
      </c>
      <c r="G15" s="97">
        <f>C15+D15</f>
        <v>144401</v>
      </c>
      <c r="H15" s="98">
        <v>0</v>
      </c>
      <c r="I15" s="96">
        <f>G15+H15</f>
        <v>144401</v>
      </c>
      <c r="S15" s="6"/>
    </row>
    <row r="16" spans="1:19" ht="13.5" thickBot="1" x14ac:dyDescent="0.25">
      <c r="A16" s="79" t="s">
        <v>52</v>
      </c>
      <c r="B16" s="93" t="s">
        <v>51</v>
      </c>
      <c r="C16" s="94">
        <f>C14/2</f>
        <v>133410</v>
      </c>
      <c r="D16" s="99"/>
      <c r="E16" s="100">
        <v>900</v>
      </c>
      <c r="F16" s="100">
        <v>5639</v>
      </c>
      <c r="G16" s="101">
        <f>C16+E16+F16</f>
        <v>139949</v>
      </c>
      <c r="H16" s="98">
        <v>1881</v>
      </c>
      <c r="I16" s="96">
        <f>G16+H16</f>
        <v>141830</v>
      </c>
      <c r="S16" s="6"/>
    </row>
    <row r="17" spans="1:19" ht="13.5" thickBot="1" x14ac:dyDescent="0.25">
      <c r="A17" s="133" t="s">
        <v>53</v>
      </c>
      <c r="B17" s="134"/>
      <c r="C17" s="134"/>
      <c r="D17" s="134"/>
      <c r="E17" s="134"/>
      <c r="F17" s="145"/>
      <c r="G17" s="102">
        <f>SUM(G15:G16)</f>
        <v>284350</v>
      </c>
      <c r="H17" s="98"/>
      <c r="I17" s="96">
        <f>SUM(I15:I16)</f>
        <v>286231</v>
      </c>
      <c r="J17" s="6"/>
      <c r="K17" s="6"/>
      <c r="L17" s="103"/>
      <c r="M17" s="103"/>
      <c r="N17" s="103"/>
      <c r="O17" s="6"/>
      <c r="P17" s="6"/>
      <c r="Q17" s="7"/>
      <c r="R17" s="7"/>
      <c r="S17" s="6"/>
    </row>
    <row r="18" spans="1:19" x14ac:dyDescent="0.2">
      <c r="A18" s="6"/>
      <c r="B18" s="104"/>
      <c r="C18" s="105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6"/>
      <c r="P18" s="6"/>
      <c r="Q18" s="6"/>
      <c r="R18" s="6"/>
      <c r="S18" s="6"/>
    </row>
    <row r="19" spans="1:19" ht="19.5" customHeight="1" x14ac:dyDescent="0.2">
      <c r="A19" s="135" t="s">
        <v>54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64"/>
    </row>
    <row r="20" spans="1:19" s="75" customFormat="1" ht="63.75" x14ac:dyDescent="0.2">
      <c r="A20" s="65" t="s">
        <v>30</v>
      </c>
      <c r="B20" s="65" t="s">
        <v>55</v>
      </c>
      <c r="C20" s="66" t="s">
        <v>32</v>
      </c>
      <c r="D20" s="66" t="s">
        <v>33</v>
      </c>
      <c r="E20" s="66" t="s">
        <v>34</v>
      </c>
      <c r="F20" s="66" t="s">
        <v>35</v>
      </c>
      <c r="G20" s="66" t="s">
        <v>36</v>
      </c>
      <c r="H20" s="66" t="s">
        <v>37</v>
      </c>
      <c r="I20" s="67" t="s">
        <v>38</v>
      </c>
      <c r="J20" s="67" t="s">
        <v>39</v>
      </c>
      <c r="K20" s="67" t="s">
        <v>40</v>
      </c>
      <c r="L20" s="67" t="s">
        <v>41</v>
      </c>
      <c r="M20" s="67" t="s">
        <v>42</v>
      </c>
      <c r="N20" s="67" t="s">
        <v>57</v>
      </c>
      <c r="O20" s="66" t="s">
        <v>43</v>
      </c>
      <c r="P20" s="66" t="s">
        <v>44</v>
      </c>
    </row>
    <row r="21" spans="1:19" ht="15" customHeight="1" x14ac:dyDescent="0.2">
      <c r="A21" s="68" t="s">
        <v>45</v>
      </c>
      <c r="B21" s="69">
        <v>287687</v>
      </c>
      <c r="C21" s="70">
        <f t="shared" ref="C21:H21" si="0">C3/$C$4*$C$23</f>
        <v>8686736.950827688</v>
      </c>
      <c r="D21" s="70">
        <f t="shared" si="0"/>
        <v>10272050.521993868</v>
      </c>
      <c r="E21" s="70">
        <f t="shared" si="0"/>
        <v>23385688.657288082</v>
      </c>
      <c r="F21" s="70">
        <f t="shared" si="0"/>
        <v>39401842.29783953</v>
      </c>
      <c r="G21" s="70">
        <f t="shared" si="0"/>
        <v>67125729.104509681</v>
      </c>
      <c r="H21" s="70">
        <f t="shared" si="0"/>
        <v>136250624.46754116</v>
      </c>
      <c r="I21" s="71">
        <v>52850</v>
      </c>
      <c r="J21" s="71">
        <v>6236300</v>
      </c>
      <c r="K21" s="71">
        <v>1254000</v>
      </c>
      <c r="L21" s="71">
        <v>398</v>
      </c>
      <c r="M21" s="71">
        <v>11542000</v>
      </c>
      <c r="N21" s="71">
        <f>G35*1000</f>
        <v>2942628</v>
      </c>
      <c r="O21" s="72">
        <f>SUM(C21:H21)+J21+K21+M21+N21</f>
        <v>307097600</v>
      </c>
      <c r="P21" s="72">
        <v>307097600</v>
      </c>
    </row>
    <row r="22" spans="1:19" ht="15" customHeight="1" x14ac:dyDescent="0.2">
      <c r="A22" s="68"/>
      <c r="B22" s="69"/>
      <c r="C22" s="137">
        <f>SUM(C21:H21)</f>
        <v>285122672</v>
      </c>
      <c r="D22" s="138"/>
      <c r="E22" s="138"/>
      <c r="F22" s="138"/>
      <c r="G22" s="138"/>
      <c r="H22" s="139"/>
      <c r="I22" s="146">
        <f>J21+K21+M21+N21</f>
        <v>21974928</v>
      </c>
      <c r="J22" s="147"/>
      <c r="K22" s="147"/>
      <c r="L22" s="147"/>
      <c r="M22" s="147"/>
      <c r="N22" s="148"/>
      <c r="O22" s="72">
        <f>C22+I22</f>
        <v>307097600</v>
      </c>
      <c r="P22" s="72"/>
    </row>
    <row r="23" spans="1:19" ht="15" customHeight="1" x14ac:dyDescent="0.2">
      <c r="A23" s="68"/>
      <c r="B23" s="69"/>
      <c r="C23" s="137">
        <f>(O6)-I23</f>
        <v>285122672</v>
      </c>
      <c r="D23" s="138"/>
      <c r="E23" s="138"/>
      <c r="F23" s="138"/>
      <c r="G23" s="138"/>
      <c r="H23" s="139"/>
      <c r="I23" s="146">
        <f>J21+K21+M21+N21</f>
        <v>21974928</v>
      </c>
      <c r="J23" s="147"/>
      <c r="K23" s="147"/>
      <c r="L23" s="147"/>
      <c r="M23" s="147"/>
      <c r="N23" s="148"/>
      <c r="O23" s="72">
        <f>C23+I23</f>
        <v>307097600</v>
      </c>
      <c r="P23" s="72"/>
      <c r="Q23" s="106"/>
    </row>
    <row r="24" spans="1:19" ht="38.25" customHeight="1" thickBot="1" x14ac:dyDescent="0.25"/>
    <row r="25" spans="1:19" ht="25.5" customHeight="1" thickBot="1" x14ac:dyDescent="0.25">
      <c r="A25" s="142" t="s">
        <v>56</v>
      </c>
      <c r="B25" s="143"/>
      <c r="C25" s="144"/>
      <c r="D25" s="107"/>
      <c r="E25" s="107"/>
      <c r="F25" s="107"/>
      <c r="G25" s="107"/>
      <c r="H25" s="107"/>
      <c r="I25" s="107"/>
      <c r="J25" s="6"/>
      <c r="K25" s="6"/>
      <c r="L25" s="103"/>
      <c r="M25" s="103"/>
      <c r="N25" s="103"/>
      <c r="O25" s="6"/>
      <c r="P25" s="6"/>
      <c r="Q25" s="7"/>
      <c r="R25" s="7"/>
      <c r="S25" s="6"/>
    </row>
    <row r="26" spans="1:19" x14ac:dyDescent="0.2">
      <c r="A26" s="78" t="s">
        <v>32</v>
      </c>
      <c r="B26" s="79"/>
      <c r="C26" s="80">
        <f>C21</f>
        <v>8686736.950827688</v>
      </c>
      <c r="J26" s="6"/>
      <c r="K26" s="6"/>
      <c r="L26" s="103"/>
      <c r="M26" s="103"/>
      <c r="N26" s="103"/>
      <c r="O26" s="6"/>
      <c r="P26" s="6"/>
      <c r="Q26" s="7"/>
      <c r="R26" s="7"/>
      <c r="S26" s="6"/>
    </row>
    <row r="27" spans="1:19" x14ac:dyDescent="0.2">
      <c r="A27" s="78" t="s">
        <v>33</v>
      </c>
      <c r="B27" s="79"/>
      <c r="C27" s="80">
        <f>D21</f>
        <v>10272050.521993868</v>
      </c>
      <c r="J27" s="6"/>
      <c r="K27" s="6"/>
      <c r="L27" s="103"/>
      <c r="M27" s="103"/>
      <c r="N27" s="103"/>
      <c r="O27" s="6"/>
      <c r="P27" s="6"/>
      <c r="Q27" s="7"/>
      <c r="R27" s="7"/>
      <c r="S27" s="6"/>
    </row>
    <row r="28" spans="1:19" x14ac:dyDescent="0.2">
      <c r="A28" s="78" t="s">
        <v>34</v>
      </c>
      <c r="B28" s="79"/>
      <c r="C28" s="80">
        <f>E21</f>
        <v>23385688.657288082</v>
      </c>
      <c r="J28" s="6"/>
      <c r="K28" s="6"/>
      <c r="L28" s="103"/>
      <c r="M28" s="103"/>
      <c r="N28" s="103"/>
      <c r="O28" s="6"/>
      <c r="P28" s="6"/>
      <c r="Q28" s="7"/>
      <c r="R28" s="7"/>
      <c r="S28" s="6"/>
    </row>
    <row r="29" spans="1:19" x14ac:dyDescent="0.2">
      <c r="A29" s="78" t="s">
        <v>35</v>
      </c>
      <c r="B29" s="79"/>
      <c r="C29" s="80">
        <f>F21</f>
        <v>39401842.29783953</v>
      </c>
      <c r="J29" s="6"/>
      <c r="K29" s="6"/>
      <c r="L29" s="103"/>
      <c r="M29" s="103"/>
      <c r="N29" s="103"/>
      <c r="O29" s="6"/>
      <c r="P29" s="6"/>
      <c r="Q29" s="7"/>
      <c r="R29" s="7"/>
      <c r="S29" s="6"/>
    </row>
    <row r="30" spans="1:19" x14ac:dyDescent="0.2">
      <c r="A30" s="78" t="s">
        <v>36</v>
      </c>
      <c r="B30" s="79"/>
      <c r="C30" s="80">
        <f>G21</f>
        <v>67125729.104509681</v>
      </c>
      <c r="J30" s="6"/>
      <c r="K30" s="6"/>
      <c r="L30" s="103"/>
      <c r="M30" s="103"/>
      <c r="N30" s="103"/>
      <c r="O30" s="6"/>
      <c r="P30" s="6"/>
      <c r="Q30" s="7"/>
      <c r="R30" s="7"/>
      <c r="S30" s="6"/>
    </row>
    <row r="31" spans="1:19" x14ac:dyDescent="0.2">
      <c r="A31" s="78" t="s">
        <v>37</v>
      </c>
      <c r="B31" s="79"/>
      <c r="C31" s="80">
        <f>H21</f>
        <v>136250624.46754116</v>
      </c>
      <c r="J31" s="6"/>
      <c r="K31" s="6"/>
      <c r="L31" s="103"/>
      <c r="M31" s="103"/>
      <c r="N31" s="103"/>
      <c r="O31" s="6"/>
      <c r="P31" s="6"/>
      <c r="Q31" s="7"/>
      <c r="R31" s="7"/>
      <c r="S31" s="6"/>
    </row>
    <row r="32" spans="1:19" ht="13.5" thickBot="1" x14ac:dyDescent="0.25">
      <c r="A32" s="82" t="s">
        <v>46</v>
      </c>
      <c r="B32" s="83"/>
      <c r="C32" s="84">
        <f>SUM(C26:C31)</f>
        <v>285122672</v>
      </c>
      <c r="D32" s="73">
        <f>M21/1000</f>
        <v>11542</v>
      </c>
      <c r="E32" s="73">
        <f>K21/1000</f>
        <v>1254</v>
      </c>
      <c r="F32" s="73">
        <f>J21/1000</f>
        <v>6236.3</v>
      </c>
      <c r="J32" s="6"/>
      <c r="K32" s="6"/>
      <c r="L32" s="103"/>
      <c r="M32" s="103"/>
      <c r="N32" s="103"/>
      <c r="O32" s="6"/>
      <c r="P32" s="6"/>
      <c r="Q32" s="7"/>
      <c r="R32" s="7"/>
      <c r="S32" s="6"/>
    </row>
    <row r="33" spans="1:19" s="64" customFormat="1" ht="25.5" x14ac:dyDescent="0.2">
      <c r="A33" s="108" t="s">
        <v>47</v>
      </c>
      <c r="B33" s="109"/>
      <c r="C33" s="110">
        <f>(C32/1000)</f>
        <v>285122.67200000002</v>
      </c>
      <c r="D33" s="88" t="s">
        <v>42</v>
      </c>
      <c r="E33" s="111" t="s">
        <v>40</v>
      </c>
      <c r="F33" s="111" t="s">
        <v>48</v>
      </c>
      <c r="G33" s="112" t="s">
        <v>72</v>
      </c>
      <c r="H33" s="113"/>
      <c r="I33" s="114"/>
      <c r="J33" s="115"/>
      <c r="K33" s="8"/>
      <c r="L33" s="116"/>
      <c r="M33" s="116"/>
      <c r="N33" s="116"/>
      <c r="O33" s="8"/>
      <c r="P33" s="8"/>
      <c r="Q33" s="9"/>
      <c r="R33" s="9"/>
      <c r="S33" s="8"/>
    </row>
    <row r="34" spans="1:19" x14ac:dyDescent="0.2">
      <c r="A34" s="117" t="s">
        <v>50</v>
      </c>
      <c r="B34" s="93" t="s">
        <v>51</v>
      </c>
      <c r="C34" s="118">
        <f>ROUND(C33/2,0)</f>
        <v>142561</v>
      </c>
      <c r="D34" s="95">
        <f>ROUND(D32,0)</f>
        <v>11542</v>
      </c>
      <c r="E34" s="96">
        <v>0</v>
      </c>
      <c r="F34" s="96">
        <v>0</v>
      </c>
      <c r="G34" s="119">
        <v>0</v>
      </c>
      <c r="H34" s="120">
        <f>C34+D34</f>
        <v>154103</v>
      </c>
      <c r="I34" s="121"/>
      <c r="J34" s="122"/>
      <c r="K34" s="6"/>
      <c r="L34" s="103"/>
      <c r="M34" s="103"/>
      <c r="N34" s="103"/>
      <c r="O34" s="6"/>
      <c r="P34" s="6"/>
      <c r="Q34" s="7"/>
      <c r="R34" s="7"/>
      <c r="S34" s="6"/>
    </row>
    <row r="35" spans="1:19" ht="13.5" thickBot="1" x14ac:dyDescent="0.25">
      <c r="A35" s="123" t="s">
        <v>52</v>
      </c>
      <c r="B35" s="124" t="s">
        <v>51</v>
      </c>
      <c r="C35" s="118">
        <f>ROUND(C33/2,0)</f>
        <v>142561</v>
      </c>
      <c r="D35" s="125"/>
      <c r="E35" s="126">
        <f>ROUND(E32,0)</f>
        <v>1254</v>
      </c>
      <c r="F35" s="126">
        <f>ROUND(F32,0)</f>
        <v>6236</v>
      </c>
      <c r="G35" s="127">
        <f>2028*1451/1000</f>
        <v>2942.6280000000002</v>
      </c>
      <c r="H35" s="128">
        <f>C35+E35+F35+G35</f>
        <v>152993.628</v>
      </c>
      <c r="I35" s="121"/>
      <c r="J35" s="122"/>
      <c r="K35" s="6"/>
      <c r="L35" s="103"/>
      <c r="M35" s="103"/>
      <c r="N35" s="103"/>
      <c r="O35" s="6"/>
      <c r="P35" s="6"/>
      <c r="Q35" s="7"/>
      <c r="R35" s="7"/>
      <c r="S35" s="6"/>
    </row>
    <row r="36" spans="1:19" ht="13.5" thickBot="1" x14ac:dyDescent="0.25">
      <c r="A36" s="133" t="s">
        <v>53</v>
      </c>
      <c r="B36" s="134"/>
      <c r="C36" s="134"/>
      <c r="D36" s="134"/>
      <c r="E36" s="134"/>
      <c r="F36" s="134"/>
      <c r="G36" s="134"/>
      <c r="H36" s="129">
        <f>SUM(H34:H35)</f>
        <v>307096.62800000003</v>
      </c>
      <c r="I36" s="121"/>
      <c r="J36" s="122"/>
      <c r="K36" s="6"/>
      <c r="L36" s="103"/>
      <c r="M36" s="103"/>
      <c r="N36" s="103"/>
      <c r="O36" s="6"/>
      <c r="P36" s="6"/>
      <c r="Q36" s="7"/>
      <c r="R36" s="7"/>
      <c r="S36" s="6"/>
    </row>
    <row r="40" spans="1:19" ht="13.5" thickBot="1" x14ac:dyDescent="0.25"/>
    <row r="41" spans="1:19" ht="51.75" thickBot="1" x14ac:dyDescent="0.25">
      <c r="A41" s="41"/>
      <c r="B41" s="42" t="s">
        <v>61</v>
      </c>
      <c r="C41" s="42" t="s">
        <v>60</v>
      </c>
      <c r="D41" s="42" t="s">
        <v>59</v>
      </c>
      <c r="E41" s="42" t="s">
        <v>58</v>
      </c>
      <c r="F41" s="42" t="s">
        <v>57</v>
      </c>
      <c r="G41" s="43" t="s">
        <v>69</v>
      </c>
    </row>
    <row r="42" spans="1:19" x14ac:dyDescent="0.2">
      <c r="A42" s="37" t="s">
        <v>26</v>
      </c>
      <c r="B42" s="38">
        <f>C34</f>
        <v>142561</v>
      </c>
      <c r="C42" s="38">
        <f>D34</f>
        <v>11542</v>
      </c>
      <c r="D42" s="39" t="s">
        <v>71</v>
      </c>
      <c r="E42" s="39" t="s">
        <v>71</v>
      </c>
      <c r="F42" s="39" t="s">
        <v>71</v>
      </c>
      <c r="G42" s="40">
        <f>B42+C42</f>
        <v>154103</v>
      </c>
    </row>
    <row r="43" spans="1:19" ht="26.25" thickBot="1" x14ac:dyDescent="0.25">
      <c r="A43" s="29" t="s">
        <v>70</v>
      </c>
      <c r="B43" s="30">
        <f>C35</f>
        <v>142561</v>
      </c>
      <c r="C43" s="31" t="s">
        <v>71</v>
      </c>
      <c r="D43" s="30">
        <f>F35</f>
        <v>6236</v>
      </c>
      <c r="E43" s="30">
        <f>E35</f>
        <v>1254</v>
      </c>
      <c r="F43" s="30">
        <f>G35</f>
        <v>2942.6280000000002</v>
      </c>
      <c r="G43" s="32">
        <f>B43+D43+E43+F43</f>
        <v>152993.628</v>
      </c>
    </row>
    <row r="44" spans="1:19" ht="13.5" thickBot="1" x14ac:dyDescent="0.25">
      <c r="A44" s="33" t="s">
        <v>53</v>
      </c>
      <c r="B44" s="34">
        <f>SUM(B42:B43)</f>
        <v>285122</v>
      </c>
      <c r="C44" s="34">
        <f>C42</f>
        <v>11542</v>
      </c>
      <c r="D44" s="35">
        <f>D43</f>
        <v>6236</v>
      </c>
      <c r="E44" s="35">
        <f>E43</f>
        <v>1254</v>
      </c>
      <c r="F44" s="35">
        <f>F43</f>
        <v>2942.6280000000002</v>
      </c>
      <c r="G44" s="36">
        <f>G42+G43</f>
        <v>307096.62800000003</v>
      </c>
    </row>
  </sheetData>
  <mergeCells count="12">
    <mergeCell ref="A36:G36"/>
    <mergeCell ref="A19:O19"/>
    <mergeCell ref="C22:H22"/>
    <mergeCell ref="C23:H23"/>
    <mergeCell ref="A1:O1"/>
    <mergeCell ref="C4:H4"/>
    <mergeCell ref="A6:C6"/>
    <mergeCell ref="A17:F17"/>
    <mergeCell ref="A25:C25"/>
    <mergeCell ref="I4:N4"/>
    <mergeCell ref="I22:N22"/>
    <mergeCell ref="I23:N23"/>
  </mergeCells>
  <pageMargins left="0.7" right="0.7" top="0.78740157499999996" bottom="0.78740157499999996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9"/>
  <sheetViews>
    <sheetView tabSelected="1" zoomScaleNormal="100" zoomScalePageLayoutView="115" workbookViewId="0">
      <selection activeCell="E1" sqref="E1:E2"/>
    </sheetView>
  </sheetViews>
  <sheetFormatPr defaultRowHeight="12.75" x14ac:dyDescent="0.2"/>
  <cols>
    <col min="1" max="1" width="24.28515625" customWidth="1"/>
    <col min="2" max="2" width="15.140625" customWidth="1"/>
    <col min="3" max="8" width="16.140625" customWidth="1"/>
    <col min="9" max="9" width="11.28515625" style="131" bestFit="1" customWidth="1"/>
  </cols>
  <sheetData>
    <row r="2" spans="1:8" x14ac:dyDescent="0.2">
      <c r="A2" s="149" t="s">
        <v>63</v>
      </c>
      <c r="B2" s="149"/>
      <c r="C2" s="149"/>
      <c r="D2" s="149"/>
      <c r="E2" s="149"/>
      <c r="F2" s="149"/>
      <c r="G2" s="149"/>
      <c r="H2" s="149"/>
    </row>
    <row r="3" spans="1:8" ht="13.5" thickBot="1" x14ac:dyDescent="0.25">
      <c r="A3" s="27"/>
      <c r="B3" s="28"/>
      <c r="C3" s="28"/>
      <c r="D3" s="28"/>
      <c r="E3" s="28"/>
      <c r="F3" s="28"/>
      <c r="G3" s="26"/>
      <c r="H3" s="1" t="s">
        <v>1</v>
      </c>
    </row>
    <row r="4" spans="1:8" ht="13.5" thickBot="1" x14ac:dyDescent="0.25">
      <c r="A4" s="168" t="s">
        <v>2</v>
      </c>
      <c r="B4" s="169" t="s">
        <v>62</v>
      </c>
      <c r="C4" s="170" t="s">
        <v>0</v>
      </c>
      <c r="D4" s="171"/>
      <c r="E4" s="171"/>
      <c r="F4" s="171"/>
      <c r="G4" s="172"/>
      <c r="H4" s="173" t="s">
        <v>73</v>
      </c>
    </row>
    <row r="5" spans="1:8" x14ac:dyDescent="0.2">
      <c r="A5" s="174"/>
      <c r="B5" s="175"/>
      <c r="C5" s="173" t="s">
        <v>61</v>
      </c>
      <c r="D5" s="173" t="s">
        <v>60</v>
      </c>
      <c r="E5" s="173" t="s">
        <v>59</v>
      </c>
      <c r="F5" s="173" t="s">
        <v>58</v>
      </c>
      <c r="G5" s="173" t="s">
        <v>57</v>
      </c>
      <c r="H5" s="175"/>
    </row>
    <row r="6" spans="1:8" ht="41.25" customHeight="1" thickBot="1" x14ac:dyDescent="0.25">
      <c r="A6" s="176"/>
      <c r="B6" s="177"/>
      <c r="C6" s="178"/>
      <c r="D6" s="179"/>
      <c r="E6" s="178"/>
      <c r="F6" s="179"/>
      <c r="G6" s="179"/>
      <c r="H6" s="177"/>
    </row>
    <row r="7" spans="1:8" x14ac:dyDescent="0.2">
      <c r="A7" s="2" t="s">
        <v>4</v>
      </c>
      <c r="B7" s="10">
        <v>36749</v>
      </c>
      <c r="C7" s="130">
        <v>18211</v>
      </c>
      <c r="D7" s="12">
        <v>1914</v>
      </c>
      <c r="E7" s="11"/>
      <c r="F7" s="13"/>
      <c r="G7" s="14"/>
      <c r="H7" s="23">
        <f>C7+D5:D7</f>
        <v>20125</v>
      </c>
    </row>
    <row r="8" spans="1:8" x14ac:dyDescent="0.2">
      <c r="A8" s="3" t="s">
        <v>5</v>
      </c>
      <c r="B8" s="15">
        <v>20709</v>
      </c>
      <c r="C8" s="130">
        <v>10262</v>
      </c>
      <c r="D8" s="16">
        <v>3509</v>
      </c>
      <c r="E8" s="11"/>
      <c r="F8" s="17"/>
      <c r="G8" s="18"/>
      <c r="H8" s="24">
        <f>C8+D8</f>
        <v>13771</v>
      </c>
    </row>
    <row r="9" spans="1:8" x14ac:dyDescent="0.2">
      <c r="A9" s="3" t="s">
        <v>6</v>
      </c>
      <c r="B9" s="15">
        <v>101141</v>
      </c>
      <c r="C9" s="130">
        <v>50120</v>
      </c>
      <c r="D9" s="16">
        <v>2175</v>
      </c>
      <c r="E9" s="11"/>
      <c r="F9" s="17"/>
      <c r="G9" s="18"/>
      <c r="H9" s="24">
        <f t="shared" ref="H9:H29" si="0">C9+D9</f>
        <v>52295</v>
      </c>
    </row>
    <row r="10" spans="1:8" x14ac:dyDescent="0.2">
      <c r="A10" s="3" t="s">
        <v>7</v>
      </c>
      <c r="B10" s="15">
        <v>63818</v>
      </c>
      <c r="C10" s="130">
        <v>31624</v>
      </c>
      <c r="D10" s="16">
        <v>1537</v>
      </c>
      <c r="E10" s="11"/>
      <c r="F10" s="17"/>
      <c r="G10" s="18"/>
      <c r="H10" s="24">
        <f t="shared" si="0"/>
        <v>33161</v>
      </c>
    </row>
    <row r="11" spans="1:8" x14ac:dyDescent="0.2">
      <c r="A11" s="3" t="s">
        <v>8</v>
      </c>
      <c r="B11" s="15">
        <v>2113</v>
      </c>
      <c r="C11" s="130">
        <v>1047</v>
      </c>
      <c r="D11" s="16">
        <v>29</v>
      </c>
      <c r="E11" s="11"/>
      <c r="F11" s="17"/>
      <c r="G11" s="18"/>
      <c r="H11" s="24">
        <f t="shared" si="0"/>
        <v>1076</v>
      </c>
    </row>
    <row r="12" spans="1:8" x14ac:dyDescent="0.2">
      <c r="A12" s="3" t="s">
        <v>9</v>
      </c>
      <c r="B12" s="15">
        <v>7687</v>
      </c>
      <c r="C12" s="130">
        <v>3809</v>
      </c>
      <c r="D12" s="16">
        <v>522</v>
      </c>
      <c r="E12" s="11"/>
      <c r="F12" s="17"/>
      <c r="G12" s="18"/>
      <c r="H12" s="24">
        <f t="shared" si="0"/>
        <v>4331</v>
      </c>
    </row>
    <row r="13" spans="1:8" x14ac:dyDescent="0.2">
      <c r="A13" s="3" t="s">
        <v>10</v>
      </c>
      <c r="B13" s="15">
        <v>4103</v>
      </c>
      <c r="C13" s="130">
        <v>2033</v>
      </c>
      <c r="D13" s="16">
        <v>58</v>
      </c>
      <c r="E13" s="11"/>
      <c r="F13" s="17"/>
      <c r="G13" s="18"/>
      <c r="H13" s="24">
        <f t="shared" si="0"/>
        <v>2091</v>
      </c>
    </row>
    <row r="14" spans="1:8" x14ac:dyDescent="0.2">
      <c r="A14" s="3" t="s">
        <v>11</v>
      </c>
      <c r="B14" s="15">
        <v>1294</v>
      </c>
      <c r="C14" s="130">
        <v>641</v>
      </c>
      <c r="D14" s="16">
        <v>0</v>
      </c>
      <c r="E14" s="11"/>
      <c r="F14" s="17"/>
      <c r="G14" s="18"/>
      <c r="H14" s="24">
        <f t="shared" si="0"/>
        <v>641</v>
      </c>
    </row>
    <row r="15" spans="1:8" x14ac:dyDescent="0.2">
      <c r="A15" s="3" t="s">
        <v>78</v>
      </c>
      <c r="B15" s="15">
        <v>11823</v>
      </c>
      <c r="C15" s="130">
        <v>5859</v>
      </c>
      <c r="D15" s="16">
        <v>1247</v>
      </c>
      <c r="E15" s="11"/>
      <c r="F15" s="17"/>
      <c r="G15" s="18"/>
      <c r="H15" s="24">
        <f t="shared" si="0"/>
        <v>7106</v>
      </c>
    </row>
    <row r="16" spans="1:8" x14ac:dyDescent="0.2">
      <c r="A16" s="3" t="s">
        <v>12</v>
      </c>
      <c r="B16" s="15">
        <v>3225</v>
      </c>
      <c r="C16" s="130">
        <v>1598</v>
      </c>
      <c r="D16" s="16">
        <v>0</v>
      </c>
      <c r="E16" s="11"/>
      <c r="F16" s="17"/>
      <c r="G16" s="18"/>
      <c r="H16" s="24">
        <f t="shared" si="0"/>
        <v>1598</v>
      </c>
    </row>
    <row r="17" spans="1:8" x14ac:dyDescent="0.2">
      <c r="A17" s="3" t="s">
        <v>13</v>
      </c>
      <c r="B17" s="15">
        <v>1371</v>
      </c>
      <c r="C17" s="130">
        <v>679</v>
      </c>
      <c r="D17" s="16">
        <v>0</v>
      </c>
      <c r="E17" s="11"/>
      <c r="F17" s="17"/>
      <c r="G17" s="18"/>
      <c r="H17" s="24">
        <f t="shared" si="0"/>
        <v>679</v>
      </c>
    </row>
    <row r="18" spans="1:8" x14ac:dyDescent="0.2">
      <c r="A18" s="3" t="s">
        <v>14</v>
      </c>
      <c r="B18" s="15">
        <v>1672</v>
      </c>
      <c r="C18" s="130">
        <v>829</v>
      </c>
      <c r="D18" s="16">
        <v>0</v>
      </c>
      <c r="E18" s="11"/>
      <c r="F18" s="17"/>
      <c r="G18" s="18"/>
      <c r="H18" s="24">
        <f t="shared" si="0"/>
        <v>829</v>
      </c>
    </row>
    <row r="19" spans="1:8" x14ac:dyDescent="0.2">
      <c r="A19" s="3" t="s">
        <v>15</v>
      </c>
      <c r="B19" s="15">
        <v>726</v>
      </c>
      <c r="C19" s="130">
        <v>360</v>
      </c>
      <c r="D19" s="16">
        <v>0</v>
      </c>
      <c r="E19" s="11"/>
      <c r="F19" s="17"/>
      <c r="G19" s="18"/>
      <c r="H19" s="24">
        <f t="shared" si="0"/>
        <v>360</v>
      </c>
    </row>
    <row r="20" spans="1:8" x14ac:dyDescent="0.2">
      <c r="A20" s="3" t="s">
        <v>16</v>
      </c>
      <c r="B20" s="15">
        <v>1232</v>
      </c>
      <c r="C20" s="130">
        <v>611</v>
      </c>
      <c r="D20" s="16">
        <v>0</v>
      </c>
      <c r="E20" s="11"/>
      <c r="F20" s="17"/>
      <c r="G20" s="18"/>
      <c r="H20" s="24">
        <f t="shared" si="0"/>
        <v>611</v>
      </c>
    </row>
    <row r="21" spans="1:8" x14ac:dyDescent="0.2">
      <c r="A21" s="3" t="s">
        <v>17</v>
      </c>
      <c r="B21" s="15">
        <v>3392</v>
      </c>
      <c r="C21" s="130">
        <v>1681</v>
      </c>
      <c r="D21" s="16">
        <v>174</v>
      </c>
      <c r="E21" s="11"/>
      <c r="F21" s="17"/>
      <c r="G21" s="18"/>
      <c r="H21" s="24">
        <f t="shared" si="0"/>
        <v>1855</v>
      </c>
    </row>
    <row r="22" spans="1:8" x14ac:dyDescent="0.2">
      <c r="A22" s="2" t="s">
        <v>18</v>
      </c>
      <c r="B22" s="15">
        <v>6260</v>
      </c>
      <c r="C22" s="130">
        <v>3102</v>
      </c>
      <c r="D22" s="16">
        <v>116</v>
      </c>
      <c r="E22" s="11"/>
      <c r="F22" s="17"/>
      <c r="G22" s="18"/>
      <c r="H22" s="24">
        <f t="shared" si="0"/>
        <v>3218</v>
      </c>
    </row>
    <row r="23" spans="1:8" x14ac:dyDescent="0.2">
      <c r="A23" s="3" t="s">
        <v>19</v>
      </c>
      <c r="B23" s="15">
        <v>2691</v>
      </c>
      <c r="C23" s="130">
        <v>1334</v>
      </c>
      <c r="D23" s="16">
        <v>0</v>
      </c>
      <c r="E23" s="11"/>
      <c r="F23" s="17"/>
      <c r="G23" s="18"/>
      <c r="H23" s="24">
        <f t="shared" si="0"/>
        <v>1334</v>
      </c>
    </row>
    <row r="24" spans="1:8" x14ac:dyDescent="0.2">
      <c r="A24" s="3" t="s">
        <v>20</v>
      </c>
      <c r="B24" s="15">
        <v>1157</v>
      </c>
      <c r="C24" s="130">
        <v>573</v>
      </c>
      <c r="D24" s="16">
        <v>29</v>
      </c>
      <c r="E24" s="11"/>
      <c r="F24" s="17"/>
      <c r="G24" s="18"/>
      <c r="H24" s="24">
        <f t="shared" si="0"/>
        <v>602</v>
      </c>
    </row>
    <row r="25" spans="1:8" x14ac:dyDescent="0.2">
      <c r="A25" s="3" t="s">
        <v>21</v>
      </c>
      <c r="B25" s="15">
        <v>5031</v>
      </c>
      <c r="C25" s="130">
        <v>2493</v>
      </c>
      <c r="D25" s="16">
        <v>29</v>
      </c>
      <c r="E25" s="11"/>
      <c r="F25" s="17"/>
      <c r="G25" s="18"/>
      <c r="H25" s="24">
        <f t="shared" si="0"/>
        <v>2522</v>
      </c>
    </row>
    <row r="26" spans="1:8" x14ac:dyDescent="0.2">
      <c r="A26" s="3" t="s">
        <v>22</v>
      </c>
      <c r="B26" s="15">
        <v>3775</v>
      </c>
      <c r="C26" s="130">
        <v>1871</v>
      </c>
      <c r="D26" s="16">
        <v>203</v>
      </c>
      <c r="E26" s="11"/>
      <c r="F26" s="17"/>
      <c r="G26" s="18"/>
      <c r="H26" s="24">
        <f t="shared" si="0"/>
        <v>2074</v>
      </c>
    </row>
    <row r="27" spans="1:8" x14ac:dyDescent="0.2">
      <c r="A27" s="3" t="s">
        <v>23</v>
      </c>
      <c r="B27" s="15">
        <v>4344</v>
      </c>
      <c r="C27" s="130">
        <v>2153</v>
      </c>
      <c r="D27" s="16">
        <v>0</v>
      </c>
      <c r="E27" s="11"/>
      <c r="F27" s="17"/>
      <c r="G27" s="18"/>
      <c r="H27" s="24">
        <f t="shared" si="0"/>
        <v>2153</v>
      </c>
    </row>
    <row r="28" spans="1:8" x14ac:dyDescent="0.2">
      <c r="A28" s="3" t="s">
        <v>24</v>
      </c>
      <c r="B28" s="15">
        <v>1910</v>
      </c>
      <c r="C28" s="130">
        <v>946</v>
      </c>
      <c r="D28" s="12">
        <v>0</v>
      </c>
      <c r="E28" s="11"/>
      <c r="F28" s="17"/>
      <c r="G28" s="18"/>
      <c r="H28" s="24">
        <f t="shared" si="0"/>
        <v>946</v>
      </c>
    </row>
    <row r="29" spans="1:8" ht="13.5" thickBot="1" x14ac:dyDescent="0.25">
      <c r="A29" s="4" t="s">
        <v>25</v>
      </c>
      <c r="B29" s="19">
        <v>1464</v>
      </c>
      <c r="C29" s="130">
        <v>725</v>
      </c>
      <c r="D29" s="132">
        <v>0</v>
      </c>
      <c r="E29" s="20"/>
      <c r="F29" s="21"/>
      <c r="G29" s="22"/>
      <c r="H29" s="24">
        <f t="shared" si="0"/>
        <v>725</v>
      </c>
    </row>
    <row r="30" spans="1:8" ht="13.5" thickTop="1" x14ac:dyDescent="0.2">
      <c r="A30" s="180" t="s">
        <v>26</v>
      </c>
      <c r="B30" s="181">
        <f>SUM(B7:B29)</f>
        <v>287687</v>
      </c>
      <c r="C30" s="182">
        <v>142561</v>
      </c>
      <c r="D30" s="183">
        <f>SUM(D7:D29)</f>
        <v>11542</v>
      </c>
      <c r="E30" s="184">
        <v>0</v>
      </c>
      <c r="F30" s="185">
        <v>0</v>
      </c>
      <c r="G30" s="186">
        <v>0</v>
      </c>
      <c r="H30" s="187">
        <f>SUM(C30:G30)</f>
        <v>154103</v>
      </c>
    </row>
    <row r="31" spans="1:8" ht="13.5" thickBot="1" x14ac:dyDescent="0.25">
      <c r="A31" s="188" t="s">
        <v>27</v>
      </c>
      <c r="B31" s="189"/>
      <c r="C31" s="190">
        <v>142561</v>
      </c>
      <c r="D31" s="191">
        <f>Detaily!D35</f>
        <v>0</v>
      </c>
      <c r="E31" s="191">
        <v>6236</v>
      </c>
      <c r="F31" s="192">
        <v>1254</v>
      </c>
      <c r="G31" s="193">
        <v>2943</v>
      </c>
      <c r="H31" s="194">
        <f>SUM(C31:G31)</f>
        <v>152994</v>
      </c>
    </row>
    <row r="32" spans="1:8" ht="13.5" thickBot="1" x14ac:dyDescent="0.25">
      <c r="A32" s="195" t="s">
        <v>28</v>
      </c>
      <c r="B32" s="196"/>
      <c r="C32" s="191">
        <f>SUM(C30:C31)</f>
        <v>285122</v>
      </c>
      <c r="D32" s="191">
        <f>D30</f>
        <v>11542</v>
      </c>
      <c r="E32" s="191">
        <f>E31</f>
        <v>6236</v>
      </c>
      <c r="F32" s="197">
        <f>F31</f>
        <v>1254</v>
      </c>
      <c r="G32" s="198">
        <f>SUM(G30:G31)</f>
        <v>2943</v>
      </c>
      <c r="H32" s="199">
        <f>SUM(C32:G32)</f>
        <v>307097</v>
      </c>
    </row>
    <row r="33" spans="1:8" x14ac:dyDescent="0.2">
      <c r="C33" s="5"/>
      <c r="D33" s="5"/>
      <c r="E33" s="5"/>
      <c r="F33" s="5"/>
      <c r="G33" s="5"/>
      <c r="H33" s="5"/>
    </row>
    <row r="34" spans="1:8" ht="78" customHeight="1" x14ac:dyDescent="0.2">
      <c r="A34" s="150" t="s">
        <v>75</v>
      </c>
      <c r="B34" s="150"/>
      <c r="C34" s="150"/>
      <c r="D34" s="150"/>
      <c r="E34" s="150"/>
      <c r="F34" s="150"/>
      <c r="G34" s="150"/>
      <c r="H34" s="150"/>
    </row>
    <row r="35" spans="1:8" ht="46.5" customHeight="1" x14ac:dyDescent="0.2">
      <c r="A35" s="151" t="s">
        <v>76</v>
      </c>
      <c r="B35" s="151"/>
      <c r="C35" s="151"/>
      <c r="D35" s="151"/>
      <c r="E35" s="151"/>
      <c r="F35" s="151"/>
      <c r="G35" s="151"/>
      <c r="H35" s="151"/>
    </row>
    <row r="36" spans="1:8" ht="30.75" customHeight="1" x14ac:dyDescent="0.2">
      <c r="A36" s="150" t="s">
        <v>65</v>
      </c>
      <c r="B36" s="150"/>
      <c r="C36" s="150"/>
      <c r="D36" s="150"/>
      <c r="E36" s="150"/>
      <c r="F36" s="150"/>
      <c r="G36" s="150"/>
      <c r="H36" s="150"/>
    </row>
    <row r="37" spans="1:8" ht="30.75" customHeight="1" x14ac:dyDescent="0.2">
      <c r="A37" s="150" t="s">
        <v>66</v>
      </c>
      <c r="B37" s="150"/>
      <c r="C37" s="150"/>
      <c r="D37" s="150"/>
      <c r="E37" s="150"/>
      <c r="F37" s="150"/>
      <c r="G37" s="150"/>
      <c r="H37" s="150"/>
    </row>
    <row r="38" spans="1:8" ht="18.75" customHeight="1" x14ac:dyDescent="0.2">
      <c r="A38" s="150" t="s">
        <v>67</v>
      </c>
      <c r="B38" s="150"/>
      <c r="C38" s="150"/>
      <c r="D38" s="150"/>
      <c r="E38" s="150"/>
      <c r="F38" s="150"/>
      <c r="G38" s="150"/>
      <c r="H38" s="150"/>
    </row>
    <row r="39" spans="1:8" ht="30.75" customHeight="1" x14ac:dyDescent="0.2">
      <c r="A39" s="150" t="s">
        <v>68</v>
      </c>
      <c r="B39" s="150"/>
      <c r="C39" s="150"/>
      <c r="D39" s="150"/>
      <c r="E39" s="150"/>
      <c r="F39" s="150"/>
      <c r="G39" s="150"/>
      <c r="H39" s="150"/>
    </row>
  </sheetData>
  <mergeCells count="18">
    <mergeCell ref="A38:H38"/>
    <mergeCell ref="A39:H39"/>
    <mergeCell ref="B30:B31"/>
    <mergeCell ref="A32:B32"/>
    <mergeCell ref="A34:H34"/>
    <mergeCell ref="A35:H35"/>
    <mergeCell ref="A36:H36"/>
    <mergeCell ref="A37:H37"/>
    <mergeCell ref="A2:H2"/>
    <mergeCell ref="A4:A6"/>
    <mergeCell ref="B4:B6"/>
    <mergeCell ref="C4:G4"/>
    <mergeCell ref="H4:H6"/>
    <mergeCell ref="C5:C6"/>
    <mergeCell ref="D5:D6"/>
    <mergeCell ref="E5:E6"/>
    <mergeCell ref="F5:F6"/>
    <mergeCell ref="G5:G6"/>
  </mergeCells>
  <pageMargins left="0.70866141732283472" right="0.70866141732283472" top="0.78740157480314965" bottom="0.78740157480314965" header="0.31496062992125984" footer="0.31496062992125984"/>
  <pageSetup paperSize="9" scale="98" fitToHeight="0" orientation="landscape" r:id="rId1"/>
  <headerFooter differentFirst="1">
    <firstHeader>&amp;RPříloha č. 11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zoomScaleNormal="100" workbookViewId="0">
      <selection activeCell="C9" sqref="C9"/>
    </sheetView>
  </sheetViews>
  <sheetFormatPr defaultRowHeight="12.75" x14ac:dyDescent="0.2"/>
  <cols>
    <col min="1" max="1" width="26.85546875" customWidth="1"/>
    <col min="2" max="2" width="15.28515625" customWidth="1"/>
    <col min="3" max="3" width="26" customWidth="1"/>
    <col min="4" max="4" width="23.42578125" customWidth="1"/>
  </cols>
  <sheetData>
    <row r="2" spans="1:5" ht="15.75" x14ac:dyDescent="0.25">
      <c r="A2" s="44" t="s">
        <v>82</v>
      </c>
    </row>
    <row r="3" spans="1:5" ht="15.75" x14ac:dyDescent="0.25">
      <c r="A3" s="44"/>
    </row>
    <row r="4" spans="1:5" ht="15" thickBot="1" x14ac:dyDescent="0.25">
      <c r="A4" s="45"/>
      <c r="B4" s="45"/>
      <c r="C4" s="46" t="s">
        <v>1</v>
      </c>
      <c r="D4" s="45"/>
      <c r="E4" s="45"/>
    </row>
    <row r="5" spans="1:5" ht="14.25" x14ac:dyDescent="0.2">
      <c r="A5" s="154" t="s">
        <v>2</v>
      </c>
      <c r="B5" s="157" t="s">
        <v>81</v>
      </c>
      <c r="C5" s="160" t="s">
        <v>77</v>
      </c>
      <c r="D5" s="45"/>
      <c r="E5" s="45"/>
    </row>
    <row r="6" spans="1:5" ht="14.25" x14ac:dyDescent="0.2">
      <c r="A6" s="155"/>
      <c r="B6" s="158"/>
      <c r="C6" s="161"/>
      <c r="D6" s="45"/>
      <c r="E6" s="45"/>
    </row>
    <row r="7" spans="1:5" ht="14.25" x14ac:dyDescent="0.2">
      <c r="A7" s="155"/>
      <c r="B7" s="158"/>
      <c r="C7" s="161"/>
      <c r="D7" s="45"/>
      <c r="E7" s="45"/>
    </row>
    <row r="8" spans="1:5" ht="15" thickBot="1" x14ac:dyDescent="0.25">
      <c r="A8" s="156"/>
      <c r="B8" s="159"/>
      <c r="C8" s="162"/>
      <c r="D8" s="45"/>
      <c r="E8" s="45"/>
    </row>
    <row r="9" spans="1:5" ht="15" customHeight="1" x14ac:dyDescent="0.2">
      <c r="A9" s="47" t="s">
        <v>4</v>
      </c>
      <c r="B9" s="48">
        <f>VLOOKUP(A9,SDV!A4:B29,2,0)</f>
        <v>36749</v>
      </c>
      <c r="C9" s="48">
        <f>VLOOKUP(A9,SDV!$A$7:$H$29,8,0)</f>
        <v>20125</v>
      </c>
      <c r="D9" s="49"/>
      <c r="E9" s="45"/>
    </row>
    <row r="10" spans="1:5" ht="14.25" x14ac:dyDescent="0.2">
      <c r="A10" s="50" t="s">
        <v>5</v>
      </c>
      <c r="B10" s="48">
        <f>VLOOKUP(A10,SDV!A5:B30,2,0)</f>
        <v>20709</v>
      </c>
      <c r="C10" s="48">
        <f>VLOOKUP(A10,SDV!$A$7:$H$29,8,0)</f>
        <v>13771</v>
      </c>
      <c r="D10" s="51"/>
      <c r="E10" s="45"/>
    </row>
    <row r="11" spans="1:5" ht="14.25" x14ac:dyDescent="0.2">
      <c r="A11" s="52" t="s">
        <v>6</v>
      </c>
      <c r="B11" s="48">
        <f>VLOOKUP(A11,SDV!A6:B31,2,0)</f>
        <v>101141</v>
      </c>
      <c r="C11" s="48">
        <f>VLOOKUP(A11,SDV!$A$7:$H$29,8,0)</f>
        <v>52295</v>
      </c>
      <c r="D11" s="51"/>
      <c r="E11" s="45"/>
    </row>
    <row r="12" spans="1:5" ht="14.25" x14ac:dyDescent="0.2">
      <c r="A12" s="52" t="s">
        <v>7</v>
      </c>
      <c r="B12" s="48">
        <f>VLOOKUP(A12,SDV!A7:B32,2,0)</f>
        <v>63818</v>
      </c>
      <c r="C12" s="48">
        <f>VLOOKUP(A12,SDV!$A$7:$H$29,8,0)</f>
        <v>33161</v>
      </c>
      <c r="D12" s="51"/>
      <c r="E12" s="45"/>
    </row>
    <row r="13" spans="1:5" ht="14.25" x14ac:dyDescent="0.2">
      <c r="A13" s="52" t="s">
        <v>8</v>
      </c>
      <c r="B13" s="48">
        <f>VLOOKUP(A13,SDV!A8:B33,2,0)</f>
        <v>2113</v>
      </c>
      <c r="C13" s="48">
        <f>VLOOKUP(A13,SDV!$A$7:$H$29,8,0)</f>
        <v>1076</v>
      </c>
      <c r="D13" s="51"/>
      <c r="E13" s="45"/>
    </row>
    <row r="14" spans="1:5" ht="14.25" x14ac:dyDescent="0.2">
      <c r="A14" s="52" t="s">
        <v>9</v>
      </c>
      <c r="B14" s="48">
        <f>VLOOKUP(A14,SDV!A9:B34,2,0)</f>
        <v>7687</v>
      </c>
      <c r="C14" s="48">
        <f>VLOOKUP(A14,SDV!$A$7:$H$29,8,0)</f>
        <v>4331</v>
      </c>
      <c r="D14" s="51"/>
      <c r="E14" s="45"/>
    </row>
    <row r="15" spans="1:5" ht="14.25" x14ac:dyDescent="0.2">
      <c r="A15" s="50" t="s">
        <v>10</v>
      </c>
      <c r="B15" s="48">
        <f>VLOOKUP(A15,SDV!A10:B35,2,0)</f>
        <v>4103</v>
      </c>
      <c r="C15" s="48">
        <f>VLOOKUP(A15,SDV!$A$7:$H$29,8,0)</f>
        <v>2091</v>
      </c>
      <c r="D15" s="51"/>
      <c r="E15" s="45"/>
    </row>
    <row r="16" spans="1:5" ht="14.25" x14ac:dyDescent="0.2">
      <c r="A16" s="52" t="s">
        <v>11</v>
      </c>
      <c r="B16" s="48">
        <f>VLOOKUP(A16,SDV!A11:B36,2,0)</f>
        <v>1294</v>
      </c>
      <c r="C16" s="48">
        <f>VLOOKUP(A16,SDV!$A$7:$H$29,8,0)</f>
        <v>641</v>
      </c>
      <c r="D16" s="51"/>
      <c r="E16" s="45"/>
    </row>
    <row r="17" spans="1:11" ht="14.25" x14ac:dyDescent="0.2">
      <c r="A17" s="50" t="s">
        <v>78</v>
      </c>
      <c r="B17" s="48">
        <f>VLOOKUP(A17,SDV!A12:B37,2,0)</f>
        <v>11823</v>
      </c>
      <c r="C17" s="48">
        <f>VLOOKUP(A17,SDV!$A$7:$H$29,8,0)</f>
        <v>7106</v>
      </c>
      <c r="D17" s="51"/>
      <c r="E17" s="45"/>
    </row>
    <row r="18" spans="1:11" ht="14.25" x14ac:dyDescent="0.2">
      <c r="A18" s="50" t="s">
        <v>12</v>
      </c>
      <c r="B18" s="48">
        <f>VLOOKUP(A18,SDV!A13:B38,2,0)</f>
        <v>3225</v>
      </c>
      <c r="C18" s="48">
        <f>VLOOKUP(A18,SDV!$A$7:$H$29,8,0)</f>
        <v>1598</v>
      </c>
      <c r="D18" s="51"/>
      <c r="E18" s="45"/>
    </row>
    <row r="19" spans="1:11" ht="14.25" x14ac:dyDescent="0.2">
      <c r="A19" s="52" t="s">
        <v>13</v>
      </c>
      <c r="B19" s="48">
        <f>VLOOKUP(A19,SDV!A14:B39,2,0)</f>
        <v>1371</v>
      </c>
      <c r="C19" s="48">
        <f>VLOOKUP(A19,SDV!$A$7:$H$29,8,0)</f>
        <v>679</v>
      </c>
      <c r="D19" s="51"/>
      <c r="E19" s="45"/>
    </row>
    <row r="20" spans="1:11" ht="14.25" x14ac:dyDescent="0.2">
      <c r="A20" s="50" t="s">
        <v>14</v>
      </c>
      <c r="B20" s="48">
        <f>VLOOKUP(A20,SDV!A15:B40,2,0)</f>
        <v>1672</v>
      </c>
      <c r="C20" s="48">
        <f>VLOOKUP(A20,SDV!$A$7:$H$29,8,0)</f>
        <v>829</v>
      </c>
      <c r="D20" s="51"/>
      <c r="E20" s="45"/>
    </row>
    <row r="21" spans="1:11" ht="14.25" x14ac:dyDescent="0.2">
      <c r="A21" s="52" t="s">
        <v>15</v>
      </c>
      <c r="B21" s="48">
        <f>VLOOKUP(A21,SDV!A16:B41,2,0)</f>
        <v>726</v>
      </c>
      <c r="C21" s="48">
        <f>VLOOKUP(A21,SDV!$A$7:$H$29,8,0)</f>
        <v>360</v>
      </c>
      <c r="D21" s="51"/>
      <c r="E21" s="45"/>
    </row>
    <row r="22" spans="1:11" ht="14.25" x14ac:dyDescent="0.2">
      <c r="A22" s="50" t="s">
        <v>16</v>
      </c>
      <c r="B22" s="48">
        <f>VLOOKUP(A22,SDV!A17:B42,2,0)</f>
        <v>1232</v>
      </c>
      <c r="C22" s="48">
        <f>VLOOKUP(A22,SDV!$A$7:$H$29,8,0)</f>
        <v>611</v>
      </c>
      <c r="D22" s="51"/>
      <c r="E22" s="45"/>
    </row>
    <row r="23" spans="1:11" ht="14.25" x14ac:dyDescent="0.2">
      <c r="A23" s="50" t="s">
        <v>17</v>
      </c>
      <c r="B23" s="48">
        <f>VLOOKUP(A23,SDV!A18:B43,2,0)</f>
        <v>3392</v>
      </c>
      <c r="C23" s="48">
        <f>VLOOKUP(A23,SDV!$A$7:$H$29,8,0)</f>
        <v>1855</v>
      </c>
      <c r="D23" s="51"/>
      <c r="E23" s="45"/>
    </row>
    <row r="24" spans="1:11" ht="14.25" x14ac:dyDescent="0.2">
      <c r="A24" s="50" t="s">
        <v>18</v>
      </c>
      <c r="B24" s="48">
        <f>VLOOKUP(A24,SDV!A19:B44,2,0)</f>
        <v>6260</v>
      </c>
      <c r="C24" s="48">
        <f>VLOOKUP(A24,SDV!$A$7:$H$29,8,0)</f>
        <v>3218</v>
      </c>
      <c r="D24" s="51"/>
      <c r="E24" s="45"/>
    </row>
    <row r="25" spans="1:11" ht="14.25" x14ac:dyDescent="0.2">
      <c r="A25" s="50" t="s">
        <v>19</v>
      </c>
      <c r="B25" s="48">
        <f>VLOOKUP(A25,SDV!A20:B45,2,0)</f>
        <v>2691</v>
      </c>
      <c r="C25" s="48">
        <f>VLOOKUP(A25,SDV!$A$7:$H$29,8,0)</f>
        <v>1334</v>
      </c>
      <c r="D25" s="51"/>
      <c r="E25" s="45"/>
    </row>
    <row r="26" spans="1:11" ht="14.25" x14ac:dyDescent="0.2">
      <c r="A26" s="50" t="s">
        <v>20</v>
      </c>
      <c r="B26" s="48">
        <f>VLOOKUP(A26,SDV!A21:B46,2,0)</f>
        <v>1157</v>
      </c>
      <c r="C26" s="48">
        <f>VLOOKUP(A26,SDV!$A$7:$H$29,8,0)</f>
        <v>602</v>
      </c>
      <c r="D26" s="51"/>
      <c r="E26" s="45"/>
    </row>
    <row r="27" spans="1:11" ht="14.25" x14ac:dyDescent="0.2">
      <c r="A27" s="52" t="s">
        <v>21</v>
      </c>
      <c r="B27" s="48">
        <f>VLOOKUP(A27,SDV!A22:B47,2,0)</f>
        <v>5031</v>
      </c>
      <c r="C27" s="48">
        <f>VLOOKUP(A27,SDV!$A$7:$H$29,8,0)</f>
        <v>2522</v>
      </c>
      <c r="D27" s="51"/>
      <c r="E27" s="45"/>
    </row>
    <row r="28" spans="1:11" ht="14.25" x14ac:dyDescent="0.2">
      <c r="A28" s="50" t="s">
        <v>22</v>
      </c>
      <c r="B28" s="48">
        <f>VLOOKUP(A28,SDV!A23:B48,2,0)</f>
        <v>3775</v>
      </c>
      <c r="C28" s="48">
        <f>VLOOKUP(A28,SDV!$A$7:$H$29,8,0)</f>
        <v>2074</v>
      </c>
      <c r="D28" s="51"/>
      <c r="E28" s="45"/>
    </row>
    <row r="29" spans="1:11" ht="14.25" x14ac:dyDescent="0.2">
      <c r="A29" s="52" t="s">
        <v>23</v>
      </c>
      <c r="B29" s="48">
        <f>VLOOKUP(A29,SDV!A24:B49,2,0)</f>
        <v>4344</v>
      </c>
      <c r="C29" s="48">
        <f>VLOOKUP(A29,SDV!$A$7:$H$29,8,0)</f>
        <v>2153</v>
      </c>
      <c r="D29" s="51"/>
      <c r="E29" s="45"/>
    </row>
    <row r="30" spans="1:11" ht="14.25" x14ac:dyDescent="0.2">
      <c r="A30" s="52" t="s">
        <v>24</v>
      </c>
      <c r="B30" s="48">
        <f>VLOOKUP(A30,SDV!A25:B50,2,0)</f>
        <v>1910</v>
      </c>
      <c r="C30" s="48">
        <f>VLOOKUP(A30,SDV!$A$7:$H$29,8,0)</f>
        <v>946</v>
      </c>
      <c r="D30" s="51"/>
      <c r="E30" s="45"/>
    </row>
    <row r="31" spans="1:11" ht="15" thickBot="1" x14ac:dyDescent="0.25">
      <c r="A31" s="53" t="s">
        <v>25</v>
      </c>
      <c r="B31" s="48">
        <f>VLOOKUP(A31,SDV!A26:B51,2,0)</f>
        <v>1464</v>
      </c>
      <c r="C31" s="48">
        <f>VLOOKUP(A31,SDV!$A$7:$H$29,8,0)</f>
        <v>725</v>
      </c>
      <c r="D31" s="51"/>
      <c r="E31" s="45"/>
    </row>
    <row r="32" spans="1:11" ht="14.25" x14ac:dyDescent="0.2">
      <c r="A32" s="54" t="s">
        <v>26</v>
      </c>
      <c r="B32" s="163">
        <f>SUM(B9:B31)</f>
        <v>287687</v>
      </c>
      <c r="C32" s="55">
        <f>SDV!H30</f>
        <v>154103</v>
      </c>
      <c r="D32" s="56"/>
      <c r="E32" s="57"/>
      <c r="F32" s="58"/>
      <c r="G32" s="58"/>
      <c r="H32" s="58"/>
      <c r="I32" s="58"/>
      <c r="J32" s="58"/>
      <c r="K32" s="58"/>
    </row>
    <row r="33" spans="1:5" ht="15" thickBot="1" x14ac:dyDescent="0.25">
      <c r="A33" s="59" t="s">
        <v>27</v>
      </c>
      <c r="B33" s="164"/>
      <c r="C33" s="60">
        <f>SDV!H31</f>
        <v>152994</v>
      </c>
      <c r="D33" s="45"/>
      <c r="E33" s="45"/>
    </row>
    <row r="34" spans="1:5" ht="15.75" thickBot="1" x14ac:dyDescent="0.3">
      <c r="A34" s="165" t="s">
        <v>79</v>
      </c>
      <c r="B34" s="166"/>
      <c r="C34" s="61">
        <f>SUM(C32:C33)</f>
        <v>307097</v>
      </c>
      <c r="D34" s="45"/>
      <c r="E34" s="45"/>
    </row>
    <row r="36" spans="1:5" ht="34.5" customHeight="1" x14ac:dyDescent="0.2">
      <c r="A36" s="152" t="s">
        <v>80</v>
      </c>
      <c r="B36" s="167"/>
      <c r="C36" s="167"/>
    </row>
    <row r="37" spans="1:5" ht="42.75" customHeight="1" x14ac:dyDescent="0.2">
      <c r="A37" s="152" t="s">
        <v>83</v>
      </c>
      <c r="B37" s="153"/>
      <c r="C37" s="153"/>
    </row>
    <row r="38" spans="1:5" ht="15" x14ac:dyDescent="0.25">
      <c r="A38" s="62"/>
      <c r="B38" s="63"/>
      <c r="C38" s="63"/>
    </row>
    <row r="39" spans="1:5" x14ac:dyDescent="0.2">
      <c r="D39" s="58"/>
    </row>
    <row r="40" spans="1:5" ht="14.25" x14ac:dyDescent="0.2">
      <c r="A40" s="45"/>
      <c r="B40" s="45"/>
      <c r="C40" s="45"/>
    </row>
  </sheetData>
  <mergeCells count="7">
    <mergeCell ref="A37:C37"/>
    <mergeCell ref="A5:A8"/>
    <mergeCell ref="B5:B8"/>
    <mergeCell ref="C5:C8"/>
    <mergeCell ref="B32:B33"/>
    <mergeCell ref="A34:B34"/>
    <mergeCell ref="A36:C3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Detaily</vt:lpstr>
      <vt:lpstr>SDV</vt:lpstr>
      <vt:lpstr>rozdělení PVSS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Dalmadyová Hana</dc:creator>
  <cp:lastModifiedBy>dannhoferovair</cp:lastModifiedBy>
  <cp:lastPrinted>2018-11-23T08:59:35Z</cp:lastPrinted>
  <dcterms:created xsi:type="dcterms:W3CDTF">2018-10-23T11:42:20Z</dcterms:created>
  <dcterms:modified xsi:type="dcterms:W3CDTF">2018-11-23T08:59:46Z</dcterms:modified>
</cp:coreProperties>
</file>