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225" windowWidth="13920" windowHeight="11580" tabRatio="791" activeTab="2"/>
  </bookViews>
  <sheets>
    <sheet name="SSN_SMO" sheetId="55" r:id="rId1"/>
    <sheet name="I. Report" sheetId="53" r:id="rId2"/>
    <sheet name="II. Sledování projektu" sheetId="26" r:id="rId3"/>
    <sheet name="Graf ratingu" sheetId="43" r:id="rId4"/>
    <sheet name="Parametry ratingu" sheetId="47" r:id="rId5"/>
    <sheet name="III. Souhrn SMO" sheetId="49" r:id="rId6"/>
    <sheet name="Graf % vývoje" sheetId="57" r:id="rId7"/>
    <sheet name="IV. detailní výkazy on-line" sheetId="41" r:id="rId8"/>
    <sheet name="data" sheetId="4" state="hidden" r:id="rId9"/>
    <sheet name="datarep" sheetId="54" state="hidden" r:id="rId10"/>
    <sheet name="Org_nast" sheetId="27" state="hidden" r:id="rId11"/>
    <sheet name="Org_dat" sheetId="28" state="hidden" r:id="rId12"/>
    <sheet name="vstupy" sheetId="16" state="hidden" r:id="rId13"/>
    <sheet name="pict" sheetId="45" state="hidden" r:id="rId14"/>
  </sheets>
  <definedNames>
    <definedName name="_xlnm._FilterDatabase" localSheetId="8" hidden="1">data!$B$11:$K$213</definedName>
    <definedName name="_xlnm._FilterDatabase" localSheetId="2" hidden="1">'II. Sledování projektu'!$C$11:$D$37</definedName>
    <definedName name="_xlnm._FilterDatabase" localSheetId="11" hidden="1">Org_dat!$C$5:$M$5</definedName>
    <definedName name="_xlnm._FilterDatabase" localSheetId="12" hidden="1">vstupy!$N$2:$BF$180</definedName>
    <definedName name="jakaKS">data!$N$3</definedName>
    <definedName name="jakaKSobr" localSheetId="5">IF([0]!jakaKS=1,INDIRECT("pict!B2"),IF([0]!jakaKS=2,INDIRECT("pict!D2"),IF([0]!jakaKS=3,INDIRECT("pict!F2"))))</definedName>
    <definedName name="jakaKSobr">IF(jakaKS=1,INDIRECT("pict!B2"),IF(jakaKS=2,INDIRECT("pict!D2"),IF(jakaKS=3,INDIRECT("pict!F2"))))</definedName>
    <definedName name="Jiné_výběry">vstupy!$F$20:$F$29</definedName>
    <definedName name="Městské_obvody">vstupy!$B$11:$B$34</definedName>
    <definedName name="obdobi">data!$N$8</definedName>
    <definedName name="_xlnm.Print_Area" localSheetId="2">'II. Sledování projektu'!$A$2:$U$38</definedName>
    <definedName name="_xlnm.Print_Area" localSheetId="5">'III. Souhrn SMO'!$A$2:$O$27</definedName>
    <definedName name="_xlnm.Print_Area" localSheetId="7">'IV. detailní výkazy on-line'!$A$1:$L$65</definedName>
    <definedName name="OrgMax">Org_nast!$E$5</definedName>
    <definedName name="OrgSortCriteria">Org_nast!$E$6</definedName>
    <definedName name="planUspor">data!$N$5</definedName>
    <definedName name="RAT">datarep!$W$7:$Y$16</definedName>
    <definedName name="Resorty">vstupy!$F$4:$F$11</definedName>
    <definedName name="Různé_výběry">vstupy!$F$20:$F$29</definedName>
    <definedName name="uPohyb">datarep!$X$7:$Y$16</definedName>
    <definedName name="uspora">data!$N$4</definedName>
    <definedName name="vahaD">vstupy!$C$38</definedName>
    <definedName name="vahaE">vstupy!$C$37</definedName>
    <definedName name="vyber1">vstupy!$B$4:$B$7</definedName>
    <definedName name="vyber2">vstupy!$F$32:$F$34</definedName>
    <definedName name="vyber21">vstupy!$F$32:$I$34</definedName>
    <definedName name="Významní_zadavatelé">vstupy!$F$16:$F$17</definedName>
    <definedName name="zarad">data!$N$6</definedName>
  </definedNames>
  <calcPr calcId="145621"/>
</workbook>
</file>

<file path=xl/calcChain.xml><?xml version="1.0" encoding="utf-8"?>
<calcChain xmlns="http://schemas.openxmlformats.org/spreadsheetml/2006/main">
  <c r="BC34" i="4" l="1"/>
  <c r="BD34" i="4"/>
  <c r="BE34" i="4"/>
  <c r="BC33" i="4" l="1"/>
  <c r="BD33" i="4"/>
  <c r="BE33" i="4"/>
  <c r="BC32" i="4" l="1"/>
  <c r="BD32" i="4"/>
  <c r="BE32" i="4"/>
  <c r="AR16" i="4" l="1"/>
  <c r="AS16" i="4"/>
  <c r="AT16" i="4"/>
  <c r="AU16" i="4"/>
  <c r="AV16" i="4"/>
  <c r="AR17" i="4"/>
  <c r="AS17" i="4"/>
  <c r="AT17" i="4"/>
  <c r="AU17" i="4"/>
  <c r="AV17" i="4"/>
  <c r="AQ17" i="4"/>
  <c r="AQ16" i="4"/>
  <c r="J12" i="49" l="1"/>
  <c r="F12" i="49"/>
  <c r="N12" i="49"/>
  <c r="D12" i="49"/>
  <c r="BC31" i="4"/>
  <c r="BD31" i="4"/>
  <c r="BE31" i="4"/>
  <c r="BC30" i="4" l="1"/>
  <c r="BD30" i="4"/>
  <c r="BE30" i="4"/>
  <c r="BC29" i="4" l="1"/>
  <c r="BD29" i="4"/>
  <c r="BE29" i="4"/>
  <c r="C12" i="53" l="1"/>
  <c r="B2" i="57" l="1"/>
  <c r="O4" i="54" l="1"/>
  <c r="P4" i="54"/>
  <c r="Q4" i="54"/>
  <c r="R4" i="54"/>
  <c r="S4" i="54"/>
  <c r="T4" i="54"/>
  <c r="E40" i="53" s="1"/>
  <c r="O5" i="54"/>
  <c r="P5" i="54"/>
  <c r="Q5" i="54"/>
  <c r="R5" i="54"/>
  <c r="S5" i="54"/>
  <c r="T5" i="54"/>
  <c r="E31" i="53" s="1"/>
  <c r="O6" i="54"/>
  <c r="P6" i="54"/>
  <c r="Q6" i="54"/>
  <c r="R6" i="54"/>
  <c r="S6" i="54"/>
  <c r="T6" i="54"/>
  <c r="E38" i="53" s="1"/>
  <c r="O7" i="54"/>
  <c r="P7" i="54"/>
  <c r="Q7" i="54"/>
  <c r="R7" i="54"/>
  <c r="S7" i="54"/>
  <c r="T7" i="54"/>
  <c r="O8" i="54"/>
  <c r="P8" i="54"/>
  <c r="Q8" i="54"/>
  <c r="R8" i="54"/>
  <c r="S8" i="54"/>
  <c r="T8" i="54"/>
  <c r="O9" i="54"/>
  <c r="P9" i="54"/>
  <c r="Q9" i="54"/>
  <c r="R9" i="54"/>
  <c r="S9" i="54"/>
  <c r="T9" i="54"/>
  <c r="O10" i="54"/>
  <c r="P10" i="54"/>
  <c r="Q10" i="54"/>
  <c r="R10" i="54"/>
  <c r="S10" i="54"/>
  <c r="T10" i="54"/>
  <c r="E44" i="53" s="1"/>
  <c r="O11" i="54"/>
  <c r="P11" i="54"/>
  <c r="Q11" i="54"/>
  <c r="R11" i="54"/>
  <c r="S11" i="54"/>
  <c r="T11" i="54"/>
  <c r="E34" i="53" s="1"/>
  <c r="O12" i="54"/>
  <c r="P12" i="54"/>
  <c r="Q12" i="54"/>
  <c r="R12" i="54"/>
  <c r="S12" i="54"/>
  <c r="T12" i="54"/>
  <c r="O13" i="54"/>
  <c r="P13" i="54"/>
  <c r="Q13" i="54"/>
  <c r="R13" i="54"/>
  <c r="S13" i="54"/>
  <c r="T13" i="54"/>
  <c r="O14" i="54"/>
  <c r="P14" i="54"/>
  <c r="Q14" i="54"/>
  <c r="R14" i="54"/>
  <c r="S14" i="54"/>
  <c r="T14" i="54"/>
  <c r="E50" i="53" s="1"/>
  <c r="O15" i="54"/>
  <c r="P15" i="54"/>
  <c r="Q15" i="54"/>
  <c r="K53" i="53" s="1"/>
  <c r="L53" i="53" s="1"/>
  <c r="R15" i="54"/>
  <c r="S15" i="54"/>
  <c r="T15" i="54"/>
  <c r="O16" i="54"/>
  <c r="P16" i="54"/>
  <c r="Q16" i="54"/>
  <c r="R16" i="54"/>
  <c r="S16" i="54"/>
  <c r="T16" i="54"/>
  <c r="O17" i="54"/>
  <c r="P17" i="54"/>
  <c r="Q17" i="54"/>
  <c r="R17" i="54"/>
  <c r="S17" i="54"/>
  <c r="T17" i="54"/>
  <c r="O18" i="54"/>
  <c r="P18" i="54"/>
  <c r="Q18" i="54"/>
  <c r="R18" i="54"/>
  <c r="S18" i="54"/>
  <c r="T18" i="54"/>
  <c r="E52" i="53" s="1"/>
  <c r="O19" i="54"/>
  <c r="P19" i="54"/>
  <c r="Q19" i="54"/>
  <c r="R19" i="54"/>
  <c r="S19" i="54"/>
  <c r="T19" i="54"/>
  <c r="E42" i="53" s="1"/>
  <c r="O20" i="54"/>
  <c r="P20" i="54"/>
  <c r="Q20" i="54"/>
  <c r="R20" i="54"/>
  <c r="S20" i="54"/>
  <c r="T20" i="54"/>
  <c r="O21" i="54"/>
  <c r="P21" i="54"/>
  <c r="Q21" i="54"/>
  <c r="K31" i="53" s="1"/>
  <c r="L31" i="53" s="1"/>
  <c r="R21" i="54"/>
  <c r="S21" i="54"/>
  <c r="T21" i="54"/>
  <c r="O22" i="54"/>
  <c r="P22" i="54"/>
  <c r="Q22" i="54"/>
  <c r="R22" i="54"/>
  <c r="S22" i="54"/>
  <c r="T22" i="54"/>
  <c r="E47" i="53" s="1"/>
  <c r="O23" i="54"/>
  <c r="P23" i="54"/>
  <c r="Q23" i="54"/>
  <c r="R23" i="54"/>
  <c r="S23" i="54"/>
  <c r="T23" i="54"/>
  <c r="E46" i="53" s="1"/>
  <c r="O24" i="54"/>
  <c r="P24" i="54"/>
  <c r="Q24" i="54"/>
  <c r="R24" i="54"/>
  <c r="S24" i="54"/>
  <c r="T24" i="54"/>
  <c r="O25" i="54"/>
  <c r="P25" i="54"/>
  <c r="Q25" i="54"/>
  <c r="R25" i="54"/>
  <c r="S25" i="54"/>
  <c r="T25" i="54"/>
  <c r="O26" i="54"/>
  <c r="P26" i="54"/>
  <c r="Q26" i="54"/>
  <c r="R26" i="54"/>
  <c r="S26" i="54"/>
  <c r="T26" i="54"/>
  <c r="E45" i="53" s="1"/>
  <c r="E27" i="54"/>
  <c r="F27" i="54"/>
  <c r="G27" i="54"/>
  <c r="H27" i="54"/>
  <c r="J27" i="54"/>
  <c r="K27" i="54"/>
  <c r="L27" i="54"/>
  <c r="M27" i="54"/>
  <c r="O31" i="54"/>
  <c r="P31" i="54"/>
  <c r="Q31" i="54"/>
  <c r="R31" i="54"/>
  <c r="S31" i="54"/>
  <c r="T31" i="54"/>
  <c r="O32" i="54"/>
  <c r="P32" i="54"/>
  <c r="Q32" i="54"/>
  <c r="R32" i="54"/>
  <c r="S32" i="54"/>
  <c r="T32" i="54"/>
  <c r="O33" i="54"/>
  <c r="P33" i="54"/>
  <c r="Q33" i="54"/>
  <c r="R33" i="54"/>
  <c r="S33" i="54"/>
  <c r="T33" i="54"/>
  <c r="O34" i="54"/>
  <c r="P34" i="54"/>
  <c r="Q34" i="54"/>
  <c r="R34" i="54"/>
  <c r="S34" i="54"/>
  <c r="T34" i="54"/>
  <c r="O35" i="54"/>
  <c r="P35" i="54"/>
  <c r="Q35" i="54"/>
  <c r="R35" i="54"/>
  <c r="S35" i="54"/>
  <c r="T35" i="54"/>
  <c r="O36" i="54"/>
  <c r="P36" i="54"/>
  <c r="Q36" i="54"/>
  <c r="R36" i="54"/>
  <c r="S36" i="54"/>
  <c r="T36" i="54"/>
  <c r="O37" i="54"/>
  <c r="P37" i="54"/>
  <c r="Q37" i="54"/>
  <c r="R37" i="54"/>
  <c r="S37" i="54"/>
  <c r="T37" i="54"/>
  <c r="E43" i="54"/>
  <c r="F43" i="54"/>
  <c r="G43" i="54"/>
  <c r="H43" i="54"/>
  <c r="J43" i="54"/>
  <c r="K43" i="54"/>
  <c r="L43" i="54"/>
  <c r="M43" i="54"/>
  <c r="K22" i="53"/>
  <c r="L22" i="53" s="1"/>
  <c r="E23" i="53"/>
  <c r="K23" i="53" l="1"/>
  <c r="L23" i="53" s="1"/>
  <c r="K24" i="53"/>
  <c r="L24" i="53" s="1"/>
  <c r="K37" i="53"/>
  <c r="L37" i="53" s="1"/>
  <c r="K25" i="53"/>
  <c r="L25" i="53" s="1"/>
  <c r="E21" i="53"/>
  <c r="E26" i="53"/>
  <c r="U4" i="54"/>
  <c r="K47" i="53"/>
  <c r="L47" i="53" s="1"/>
  <c r="K34" i="53"/>
  <c r="L34" i="53" s="1"/>
  <c r="O43" i="54"/>
  <c r="P43" i="54"/>
  <c r="K33" i="53"/>
  <c r="L33" i="53" s="1"/>
  <c r="K45" i="53"/>
  <c r="L45" i="53" s="1"/>
  <c r="U20" i="54"/>
  <c r="U14" i="54"/>
  <c r="K38" i="53"/>
  <c r="L38" i="53" s="1"/>
  <c r="K49" i="53"/>
  <c r="L49" i="53" s="1"/>
  <c r="U22" i="54"/>
  <c r="U37" i="54"/>
  <c r="U33" i="54"/>
  <c r="E47" i="54"/>
  <c r="K51" i="53"/>
  <c r="L51" i="53" s="1"/>
  <c r="K39" i="53"/>
  <c r="L39" i="53" s="1"/>
  <c r="K41" i="53"/>
  <c r="L41" i="53" s="1"/>
  <c r="K32" i="53"/>
  <c r="L32" i="53" s="1"/>
  <c r="P27" i="54"/>
  <c r="K52" i="53"/>
  <c r="L52" i="53" s="1"/>
  <c r="E41" i="53"/>
  <c r="K40" i="53"/>
  <c r="L40" i="53" s="1"/>
  <c r="U21" i="54"/>
  <c r="K35" i="53"/>
  <c r="L35" i="53" s="1"/>
  <c r="U12" i="54"/>
  <c r="K48" i="53"/>
  <c r="L48" i="53" s="1"/>
  <c r="L47" i="54"/>
  <c r="U6" i="54"/>
  <c r="E20" i="53"/>
  <c r="K21" i="53"/>
  <c r="L21" i="53" s="1"/>
  <c r="U32" i="54"/>
  <c r="K26" i="53"/>
  <c r="L26" i="53" s="1"/>
  <c r="K36" i="53"/>
  <c r="L36" i="53" s="1"/>
  <c r="K42" i="53"/>
  <c r="L42" i="53" s="1"/>
  <c r="U5" i="54"/>
  <c r="U35" i="54"/>
  <c r="J47" i="54"/>
  <c r="R43" i="54"/>
  <c r="K47" i="54"/>
  <c r="E48" i="53"/>
  <c r="F47" i="53" s="1"/>
  <c r="K20" i="53"/>
  <c r="L20" i="53" s="1"/>
  <c r="G47" i="54"/>
  <c r="U36" i="54"/>
  <c r="U31" i="54"/>
  <c r="U34" i="54"/>
  <c r="K43" i="53"/>
  <c r="L43" i="53" s="1"/>
  <c r="U26" i="54"/>
  <c r="U24" i="54"/>
  <c r="U17" i="54"/>
  <c r="U15" i="54"/>
  <c r="U10" i="54"/>
  <c r="U8" i="54"/>
  <c r="K44" i="53"/>
  <c r="L44" i="53" s="1"/>
  <c r="K46" i="53"/>
  <c r="L46" i="53" s="1"/>
  <c r="U13" i="54"/>
  <c r="O27" i="54"/>
  <c r="U25" i="54"/>
  <c r="U18" i="54"/>
  <c r="U16" i="54"/>
  <c r="K50" i="53"/>
  <c r="L50" i="53" s="1"/>
  <c r="U11" i="54"/>
  <c r="U9" i="54"/>
  <c r="U7" i="54"/>
  <c r="E39" i="53"/>
  <c r="R27" i="54"/>
  <c r="E49" i="53"/>
  <c r="S27" i="54"/>
  <c r="E51" i="53"/>
  <c r="E37" i="53"/>
  <c r="E22" i="53"/>
  <c r="E25" i="53"/>
  <c r="S43" i="54"/>
  <c r="E53" i="53"/>
  <c r="F53" i="53" s="1"/>
  <c r="H53" i="53" s="1"/>
  <c r="E43" i="53"/>
  <c r="E33" i="53"/>
  <c r="E35" i="53"/>
  <c r="E24" i="53"/>
  <c r="M47" i="54"/>
  <c r="H47" i="54"/>
  <c r="Q43" i="54"/>
  <c r="K18" i="53" s="1"/>
  <c r="L18" i="53" s="1"/>
  <c r="Q27" i="54"/>
  <c r="K29" i="53" s="1"/>
  <c r="L29" i="53" s="1"/>
  <c r="U23" i="54"/>
  <c r="U19" i="54"/>
  <c r="T43" i="54"/>
  <c r="T27" i="54"/>
  <c r="E36" i="53"/>
  <c r="E32" i="53"/>
  <c r="F31" i="53" s="1"/>
  <c r="H31" i="53" s="1"/>
  <c r="F47" i="54"/>
  <c r="B2" i="43"/>
  <c r="B3" i="49"/>
  <c r="F46" i="53" l="1"/>
  <c r="H46" i="53" s="1"/>
  <c r="H47" i="53"/>
  <c r="F25" i="53"/>
  <c r="H25" i="53" s="1"/>
  <c r="F21" i="53"/>
  <c r="H21" i="53" s="1"/>
  <c r="F44" i="53"/>
  <c r="H44" i="53" s="1"/>
  <c r="F38" i="53"/>
  <c r="H38" i="53" s="1"/>
  <c r="F33" i="53"/>
  <c r="H33" i="53" s="1"/>
  <c r="F34" i="53"/>
  <c r="H34" i="53" s="1"/>
  <c r="F24" i="53"/>
  <c r="H24" i="53" s="1"/>
  <c r="F20" i="53"/>
  <c r="H20" i="53" s="1"/>
  <c r="F51" i="53"/>
  <c r="H51" i="53" s="1"/>
  <c r="F32" i="53"/>
  <c r="H32" i="53" s="1"/>
  <c r="F48" i="53"/>
  <c r="H48" i="53" s="1"/>
  <c r="F52" i="53"/>
  <c r="H52" i="53" s="1"/>
  <c r="F39" i="53"/>
  <c r="H39" i="53" s="1"/>
  <c r="F41" i="53"/>
  <c r="H41" i="53" s="1"/>
  <c r="P47" i="54"/>
  <c r="F37" i="53"/>
  <c r="H37" i="53" s="1"/>
  <c r="F40" i="53"/>
  <c r="H40" i="53" s="1"/>
  <c r="F49" i="53"/>
  <c r="H49" i="53" s="1"/>
  <c r="S47" i="54"/>
  <c r="F22" i="53"/>
  <c r="H22" i="53" s="1"/>
  <c r="R47" i="54"/>
  <c r="F35" i="53"/>
  <c r="H35" i="53" s="1"/>
  <c r="F43" i="53"/>
  <c r="H43" i="53" s="1"/>
  <c r="F26" i="53"/>
  <c r="H26" i="53" s="1"/>
  <c r="F50" i="53"/>
  <c r="H50" i="53" s="1"/>
  <c r="F45" i="53"/>
  <c r="H45" i="53" s="1"/>
  <c r="F42" i="53"/>
  <c r="H42" i="53" s="1"/>
  <c r="F36" i="53"/>
  <c r="H36" i="53" s="1"/>
  <c r="F23" i="53"/>
  <c r="H23" i="53" s="1"/>
  <c r="T47" i="54"/>
  <c r="Q47" i="54"/>
  <c r="K15" i="53" s="1"/>
  <c r="L15" i="53" s="1"/>
  <c r="O47" i="54"/>
  <c r="U43" i="54"/>
  <c r="E18" i="53"/>
  <c r="F18" i="53" s="1"/>
  <c r="H18" i="53" s="1"/>
  <c r="U27" i="54"/>
  <c r="E29" i="53"/>
  <c r="F29" i="53" s="1"/>
  <c r="H29" i="53" s="1"/>
  <c r="AT77" i="4"/>
  <c r="U47" i="54" l="1"/>
  <c r="E15" i="53"/>
  <c r="F15" i="53" s="1"/>
  <c r="H15" i="53" s="1"/>
  <c r="T19" i="4" l="1"/>
  <c r="N19" i="4"/>
  <c r="BE28" i="4" l="1"/>
  <c r="BD28" i="4"/>
  <c r="BC28" i="4"/>
  <c r="BC27" i="4"/>
  <c r="BC25" i="4"/>
  <c r="BD25" i="4"/>
  <c r="BE25" i="4"/>
  <c r="BC26" i="4"/>
  <c r="BD26" i="4"/>
  <c r="BE26" i="4"/>
  <c r="BD27" i="4"/>
  <c r="BE27" i="4"/>
  <c r="BE24" i="4"/>
  <c r="BD24" i="4"/>
  <c r="BC24" i="4"/>
  <c r="N12" i="4" l="1"/>
  <c r="P12" i="4" s="1"/>
  <c r="T12" i="4"/>
  <c r="V12" i="4" s="1"/>
  <c r="N13" i="4"/>
  <c r="P13" i="4" s="1"/>
  <c r="T13" i="4"/>
  <c r="V13" i="4" s="1"/>
  <c r="N14" i="4"/>
  <c r="P14" i="4" s="1"/>
  <c r="T14" i="4"/>
  <c r="V14" i="4" s="1"/>
  <c r="N15" i="4"/>
  <c r="P15" i="4" s="1"/>
  <c r="T15" i="4"/>
  <c r="V15" i="4" s="1"/>
  <c r="N16" i="4"/>
  <c r="P16" i="4" s="1"/>
  <c r="T16" i="4"/>
  <c r="V16" i="4" s="1"/>
  <c r="N17" i="4"/>
  <c r="P17" i="4" s="1"/>
  <c r="T17" i="4"/>
  <c r="V17" i="4" s="1"/>
  <c r="N18" i="4"/>
  <c r="P18" i="4" s="1"/>
  <c r="T18" i="4"/>
  <c r="V18" i="4" s="1"/>
  <c r="P19" i="4"/>
  <c r="V19" i="4"/>
  <c r="N20" i="4"/>
  <c r="P20" i="4" s="1"/>
  <c r="T20" i="4"/>
  <c r="V20" i="4" s="1"/>
  <c r="N21" i="4"/>
  <c r="P21" i="4" s="1"/>
  <c r="T21" i="4"/>
  <c r="V21" i="4" s="1"/>
  <c r="N22" i="4"/>
  <c r="P22" i="4" s="1"/>
  <c r="T22" i="4"/>
  <c r="V22" i="4" s="1"/>
  <c r="N23" i="4"/>
  <c r="P23" i="4" s="1"/>
  <c r="T23" i="4"/>
  <c r="V23" i="4" s="1"/>
  <c r="N24" i="4"/>
  <c r="P24" i="4" s="1"/>
  <c r="T24" i="4"/>
  <c r="V24" i="4" s="1"/>
  <c r="N25" i="4"/>
  <c r="P25" i="4" s="1"/>
  <c r="T25" i="4"/>
  <c r="V25" i="4" s="1"/>
  <c r="N26" i="4"/>
  <c r="P26" i="4" s="1"/>
  <c r="T26" i="4"/>
  <c r="V26" i="4" s="1"/>
  <c r="N27" i="4"/>
  <c r="P27" i="4" s="1"/>
  <c r="T27" i="4"/>
  <c r="V27" i="4" s="1"/>
  <c r="N28" i="4"/>
  <c r="P28" i="4" s="1"/>
  <c r="T28" i="4"/>
  <c r="V28" i="4" s="1"/>
  <c r="N29" i="4"/>
  <c r="P29" i="4" s="1"/>
  <c r="T29" i="4"/>
  <c r="V29" i="4" s="1"/>
  <c r="N30" i="4"/>
  <c r="P30" i="4" s="1"/>
  <c r="T30" i="4"/>
  <c r="V30" i="4" s="1"/>
  <c r="N31" i="4"/>
  <c r="P31" i="4" s="1"/>
  <c r="T31" i="4"/>
  <c r="V31" i="4" s="1"/>
  <c r="N32" i="4"/>
  <c r="P32" i="4" s="1"/>
  <c r="T32" i="4"/>
  <c r="V32" i="4" s="1"/>
  <c r="N33" i="4"/>
  <c r="P33" i="4" s="1"/>
  <c r="T33" i="4"/>
  <c r="V33" i="4" s="1"/>
  <c r="N34" i="4"/>
  <c r="P34" i="4" s="1"/>
  <c r="T34" i="4"/>
  <c r="V34" i="4" s="1"/>
  <c r="N35" i="4"/>
  <c r="P35" i="4" s="1"/>
  <c r="T35" i="4"/>
  <c r="V35" i="4" s="1"/>
  <c r="N36" i="4"/>
  <c r="P36" i="4" s="1"/>
  <c r="T36" i="4"/>
  <c r="V36" i="4" s="1"/>
  <c r="N37" i="4"/>
  <c r="P37" i="4" s="1"/>
  <c r="T37" i="4"/>
  <c r="V37" i="4" s="1"/>
  <c r="N38" i="4"/>
  <c r="P38" i="4" s="1"/>
  <c r="T38" i="4"/>
  <c r="V38" i="4" s="1"/>
  <c r="N39" i="4"/>
  <c r="P39" i="4" s="1"/>
  <c r="T39" i="4"/>
  <c r="V39" i="4" s="1"/>
  <c r="N40" i="4"/>
  <c r="P40" i="4" s="1"/>
  <c r="T40" i="4"/>
  <c r="V40" i="4" s="1"/>
  <c r="N41" i="4"/>
  <c r="P41" i="4" s="1"/>
  <c r="T41" i="4"/>
  <c r="V41" i="4" s="1"/>
  <c r="N42" i="4"/>
  <c r="P42" i="4" s="1"/>
  <c r="T42" i="4"/>
  <c r="V42" i="4" s="1"/>
  <c r="N43" i="4"/>
  <c r="P43" i="4" s="1"/>
  <c r="T43" i="4"/>
  <c r="V43" i="4" s="1"/>
  <c r="N44" i="4"/>
  <c r="P44" i="4" s="1"/>
  <c r="T44" i="4"/>
  <c r="V44" i="4" s="1"/>
  <c r="N45" i="4"/>
  <c r="P45" i="4" s="1"/>
  <c r="T45" i="4"/>
  <c r="V45" i="4" s="1"/>
  <c r="N46" i="4"/>
  <c r="P46" i="4" s="1"/>
  <c r="T46" i="4"/>
  <c r="V46" i="4" s="1"/>
  <c r="N47" i="4"/>
  <c r="P47" i="4" s="1"/>
  <c r="T47" i="4"/>
  <c r="V47" i="4" s="1"/>
  <c r="N48" i="4"/>
  <c r="P48" i="4" s="1"/>
  <c r="T48" i="4"/>
  <c r="V48" i="4" s="1"/>
  <c r="N49" i="4"/>
  <c r="P49" i="4" s="1"/>
  <c r="T49" i="4"/>
  <c r="V49" i="4" s="1"/>
  <c r="N50" i="4"/>
  <c r="P50" i="4" s="1"/>
  <c r="T50" i="4"/>
  <c r="V50" i="4" s="1"/>
  <c r="N51" i="4"/>
  <c r="P51" i="4" s="1"/>
  <c r="T51" i="4"/>
  <c r="V51" i="4" s="1"/>
  <c r="N52" i="4"/>
  <c r="P52" i="4" s="1"/>
  <c r="T52" i="4"/>
  <c r="V52" i="4" s="1"/>
  <c r="N53" i="4"/>
  <c r="P53" i="4" s="1"/>
  <c r="T53" i="4"/>
  <c r="V53" i="4" s="1"/>
  <c r="N54" i="4"/>
  <c r="P54" i="4" s="1"/>
  <c r="T54" i="4"/>
  <c r="V54" i="4" s="1"/>
  <c r="N55" i="4"/>
  <c r="P55" i="4" s="1"/>
  <c r="T55" i="4"/>
  <c r="V55" i="4" s="1"/>
  <c r="N56" i="4"/>
  <c r="P56" i="4" s="1"/>
  <c r="T56" i="4"/>
  <c r="V56" i="4" s="1"/>
  <c r="N57" i="4"/>
  <c r="P57" i="4" s="1"/>
  <c r="T57" i="4"/>
  <c r="V57" i="4" s="1"/>
  <c r="N58" i="4"/>
  <c r="P58" i="4" s="1"/>
  <c r="T58" i="4"/>
  <c r="V58" i="4" s="1"/>
  <c r="N59" i="4"/>
  <c r="P59" i="4" s="1"/>
  <c r="T59" i="4"/>
  <c r="V59" i="4" s="1"/>
  <c r="N60" i="4"/>
  <c r="P60" i="4" s="1"/>
  <c r="T60" i="4"/>
  <c r="V60" i="4" s="1"/>
  <c r="N61" i="4"/>
  <c r="P61" i="4" s="1"/>
  <c r="T61" i="4"/>
  <c r="V61" i="4" s="1"/>
  <c r="N62" i="4"/>
  <c r="P62" i="4" s="1"/>
  <c r="T62" i="4"/>
  <c r="V62" i="4" s="1"/>
  <c r="N63" i="4"/>
  <c r="P63" i="4" s="1"/>
  <c r="T63" i="4"/>
  <c r="V63" i="4" s="1"/>
  <c r="N64" i="4"/>
  <c r="P64" i="4" s="1"/>
  <c r="T64" i="4"/>
  <c r="V64" i="4" s="1"/>
  <c r="N65" i="4"/>
  <c r="P65" i="4" s="1"/>
  <c r="T65" i="4"/>
  <c r="V65" i="4" s="1"/>
  <c r="N66" i="4"/>
  <c r="P66" i="4" s="1"/>
  <c r="T66" i="4"/>
  <c r="V66" i="4" s="1"/>
  <c r="N67" i="4"/>
  <c r="P67" i="4" s="1"/>
  <c r="T67" i="4"/>
  <c r="V67" i="4" s="1"/>
  <c r="N68" i="4"/>
  <c r="P68" i="4" s="1"/>
  <c r="T68" i="4"/>
  <c r="V68" i="4" s="1"/>
  <c r="N69" i="4"/>
  <c r="P69" i="4" s="1"/>
  <c r="T69" i="4"/>
  <c r="V69" i="4" s="1"/>
  <c r="N70" i="4"/>
  <c r="P70" i="4" s="1"/>
  <c r="T70" i="4"/>
  <c r="V70" i="4" s="1"/>
  <c r="N71" i="4"/>
  <c r="P71" i="4" s="1"/>
  <c r="T71" i="4"/>
  <c r="V71" i="4" s="1"/>
  <c r="N72" i="4"/>
  <c r="P72" i="4" s="1"/>
  <c r="T72" i="4"/>
  <c r="V72" i="4" s="1"/>
  <c r="N73" i="4"/>
  <c r="P73" i="4" s="1"/>
  <c r="T73" i="4"/>
  <c r="V73" i="4" s="1"/>
  <c r="N74" i="4"/>
  <c r="P74" i="4" s="1"/>
  <c r="T74" i="4"/>
  <c r="V74" i="4" s="1"/>
  <c r="N75" i="4"/>
  <c r="P75" i="4" s="1"/>
  <c r="T75" i="4"/>
  <c r="V75" i="4" s="1"/>
  <c r="N76" i="4"/>
  <c r="P76" i="4" s="1"/>
  <c r="T76" i="4"/>
  <c r="V76" i="4" s="1"/>
  <c r="N77" i="4"/>
  <c r="P77" i="4" s="1"/>
  <c r="T77" i="4"/>
  <c r="V77" i="4" s="1"/>
  <c r="N78" i="4"/>
  <c r="P78" i="4" s="1"/>
  <c r="T78" i="4"/>
  <c r="V78" i="4" s="1"/>
  <c r="N79" i="4"/>
  <c r="P79" i="4" s="1"/>
  <c r="T79" i="4"/>
  <c r="V79" i="4" s="1"/>
  <c r="N80" i="4"/>
  <c r="P80" i="4" s="1"/>
  <c r="T80" i="4"/>
  <c r="V80" i="4" s="1"/>
  <c r="N81" i="4"/>
  <c r="P81" i="4" s="1"/>
  <c r="T81" i="4"/>
  <c r="V81" i="4" s="1"/>
  <c r="N82" i="4"/>
  <c r="P82" i="4" s="1"/>
  <c r="T82" i="4"/>
  <c r="V82" i="4" s="1"/>
  <c r="N83" i="4"/>
  <c r="P83" i="4" s="1"/>
  <c r="T83" i="4"/>
  <c r="V83" i="4" s="1"/>
  <c r="N84" i="4"/>
  <c r="P84" i="4" s="1"/>
  <c r="T84" i="4"/>
  <c r="V84" i="4" s="1"/>
  <c r="N85" i="4"/>
  <c r="P85" i="4" s="1"/>
  <c r="T85" i="4"/>
  <c r="V85" i="4" s="1"/>
  <c r="N86" i="4"/>
  <c r="P86" i="4" s="1"/>
  <c r="T86" i="4"/>
  <c r="V86" i="4" s="1"/>
  <c r="N87" i="4"/>
  <c r="P87" i="4" s="1"/>
  <c r="T87" i="4"/>
  <c r="V87" i="4" s="1"/>
  <c r="N88" i="4"/>
  <c r="P88" i="4" s="1"/>
  <c r="T88" i="4"/>
  <c r="V88" i="4" s="1"/>
  <c r="N89" i="4"/>
  <c r="P89" i="4" s="1"/>
  <c r="T89" i="4"/>
  <c r="V89" i="4" s="1"/>
  <c r="N90" i="4"/>
  <c r="P90" i="4" s="1"/>
  <c r="T90" i="4"/>
  <c r="V90" i="4" s="1"/>
  <c r="N91" i="4"/>
  <c r="P91" i="4" s="1"/>
  <c r="T91" i="4"/>
  <c r="V91" i="4" s="1"/>
  <c r="N92" i="4"/>
  <c r="P92" i="4" s="1"/>
  <c r="T92" i="4"/>
  <c r="V92" i="4" s="1"/>
  <c r="N93" i="4"/>
  <c r="P93" i="4" s="1"/>
  <c r="T93" i="4"/>
  <c r="V93" i="4" s="1"/>
  <c r="N94" i="4"/>
  <c r="P94" i="4" s="1"/>
  <c r="T94" i="4"/>
  <c r="V94" i="4" s="1"/>
  <c r="N95" i="4"/>
  <c r="P95" i="4" s="1"/>
  <c r="T95" i="4"/>
  <c r="V95" i="4" s="1"/>
  <c r="N96" i="4"/>
  <c r="P96" i="4" s="1"/>
  <c r="T96" i="4"/>
  <c r="V96" i="4" s="1"/>
  <c r="N97" i="4"/>
  <c r="P97" i="4" s="1"/>
  <c r="T97" i="4"/>
  <c r="V97" i="4" s="1"/>
  <c r="N98" i="4"/>
  <c r="P98" i="4" s="1"/>
  <c r="T98" i="4"/>
  <c r="V98" i="4" s="1"/>
  <c r="N99" i="4"/>
  <c r="P99" i="4" s="1"/>
  <c r="T99" i="4"/>
  <c r="V99" i="4" s="1"/>
  <c r="N100" i="4"/>
  <c r="P100" i="4" s="1"/>
  <c r="T100" i="4"/>
  <c r="V100" i="4" s="1"/>
  <c r="N101" i="4"/>
  <c r="P101" i="4" s="1"/>
  <c r="T101" i="4"/>
  <c r="V101" i="4" s="1"/>
  <c r="N102" i="4"/>
  <c r="P102" i="4" s="1"/>
  <c r="T102" i="4"/>
  <c r="V102" i="4" s="1"/>
  <c r="N103" i="4"/>
  <c r="P103" i="4" s="1"/>
  <c r="T103" i="4"/>
  <c r="V103" i="4" s="1"/>
  <c r="N104" i="4"/>
  <c r="P104" i="4" s="1"/>
  <c r="T104" i="4"/>
  <c r="V104" i="4" s="1"/>
  <c r="N105" i="4"/>
  <c r="P105" i="4" s="1"/>
  <c r="T105" i="4"/>
  <c r="V105" i="4" s="1"/>
  <c r="N106" i="4"/>
  <c r="P106" i="4" s="1"/>
  <c r="T106" i="4"/>
  <c r="V106" i="4" s="1"/>
  <c r="N107" i="4"/>
  <c r="P107" i="4" s="1"/>
  <c r="T107" i="4"/>
  <c r="V107" i="4" s="1"/>
  <c r="N108" i="4"/>
  <c r="P108" i="4" s="1"/>
  <c r="T108" i="4"/>
  <c r="V108" i="4" s="1"/>
  <c r="N109" i="4"/>
  <c r="P109" i="4" s="1"/>
  <c r="T109" i="4"/>
  <c r="V109" i="4" s="1"/>
  <c r="N110" i="4"/>
  <c r="P110" i="4" s="1"/>
  <c r="T110" i="4"/>
  <c r="V110" i="4" s="1"/>
  <c r="N111" i="4"/>
  <c r="P111" i="4" s="1"/>
  <c r="T111" i="4"/>
  <c r="V111" i="4" s="1"/>
  <c r="N112" i="4"/>
  <c r="P112" i="4" s="1"/>
  <c r="T112" i="4"/>
  <c r="V112" i="4" s="1"/>
  <c r="N113" i="4"/>
  <c r="P113" i="4" s="1"/>
  <c r="T113" i="4"/>
  <c r="V113" i="4" s="1"/>
  <c r="N114" i="4"/>
  <c r="P114" i="4" s="1"/>
  <c r="T114" i="4"/>
  <c r="V114" i="4" s="1"/>
  <c r="N115" i="4"/>
  <c r="P115" i="4" s="1"/>
  <c r="T115" i="4"/>
  <c r="V115" i="4" s="1"/>
  <c r="N116" i="4"/>
  <c r="P116" i="4" s="1"/>
  <c r="T116" i="4"/>
  <c r="V116" i="4" s="1"/>
  <c r="N117" i="4"/>
  <c r="P117" i="4" s="1"/>
  <c r="T117" i="4"/>
  <c r="V117" i="4" s="1"/>
  <c r="N118" i="4"/>
  <c r="P118" i="4" s="1"/>
  <c r="T118" i="4"/>
  <c r="V118" i="4" s="1"/>
  <c r="N119" i="4"/>
  <c r="P119" i="4" s="1"/>
  <c r="T119" i="4"/>
  <c r="V119" i="4" s="1"/>
  <c r="N120" i="4"/>
  <c r="P120" i="4" s="1"/>
  <c r="T120" i="4"/>
  <c r="V120" i="4" s="1"/>
  <c r="N121" i="4"/>
  <c r="P121" i="4" s="1"/>
  <c r="T121" i="4"/>
  <c r="V121" i="4" s="1"/>
  <c r="N122" i="4"/>
  <c r="P122" i="4" s="1"/>
  <c r="T122" i="4"/>
  <c r="V122" i="4" s="1"/>
  <c r="N123" i="4"/>
  <c r="P123" i="4" s="1"/>
  <c r="T123" i="4"/>
  <c r="V123" i="4" s="1"/>
  <c r="N124" i="4"/>
  <c r="P124" i="4" s="1"/>
  <c r="T124" i="4"/>
  <c r="V124" i="4" s="1"/>
  <c r="N125" i="4"/>
  <c r="P125" i="4" s="1"/>
  <c r="T125" i="4"/>
  <c r="V125" i="4" s="1"/>
  <c r="N126" i="4"/>
  <c r="P126" i="4" s="1"/>
  <c r="T126" i="4"/>
  <c r="V126" i="4" s="1"/>
  <c r="N127" i="4"/>
  <c r="P127" i="4" s="1"/>
  <c r="T127" i="4"/>
  <c r="V127" i="4" s="1"/>
  <c r="N128" i="4"/>
  <c r="P128" i="4" s="1"/>
  <c r="T128" i="4"/>
  <c r="V128" i="4" s="1"/>
  <c r="N129" i="4"/>
  <c r="P129" i="4" s="1"/>
  <c r="T129" i="4"/>
  <c r="V129" i="4" s="1"/>
  <c r="N130" i="4"/>
  <c r="P130" i="4" s="1"/>
  <c r="T130" i="4"/>
  <c r="V130" i="4" s="1"/>
  <c r="N131" i="4"/>
  <c r="P131" i="4" s="1"/>
  <c r="T131" i="4"/>
  <c r="V131" i="4" s="1"/>
  <c r="N132" i="4"/>
  <c r="P132" i="4" s="1"/>
  <c r="T132" i="4"/>
  <c r="V132" i="4" s="1"/>
  <c r="N133" i="4"/>
  <c r="P133" i="4" s="1"/>
  <c r="T133" i="4"/>
  <c r="V133" i="4" s="1"/>
  <c r="N134" i="4"/>
  <c r="P134" i="4" s="1"/>
  <c r="T134" i="4"/>
  <c r="V134" i="4" s="1"/>
  <c r="N135" i="4"/>
  <c r="P135" i="4" s="1"/>
  <c r="T135" i="4"/>
  <c r="V135" i="4" s="1"/>
  <c r="N136" i="4"/>
  <c r="P136" i="4" s="1"/>
  <c r="T136" i="4"/>
  <c r="V136" i="4" s="1"/>
  <c r="N137" i="4"/>
  <c r="P137" i="4" s="1"/>
  <c r="T137" i="4"/>
  <c r="V137" i="4" s="1"/>
  <c r="N138" i="4"/>
  <c r="P138" i="4" s="1"/>
  <c r="T138" i="4"/>
  <c r="V138" i="4" s="1"/>
  <c r="N139" i="4"/>
  <c r="P139" i="4" s="1"/>
  <c r="T139" i="4"/>
  <c r="V139" i="4" s="1"/>
  <c r="N140" i="4"/>
  <c r="P140" i="4" s="1"/>
  <c r="T140" i="4"/>
  <c r="V140" i="4" s="1"/>
  <c r="N141" i="4"/>
  <c r="P141" i="4" s="1"/>
  <c r="T141" i="4"/>
  <c r="V141" i="4" s="1"/>
  <c r="N142" i="4"/>
  <c r="P142" i="4" s="1"/>
  <c r="T142" i="4"/>
  <c r="V142" i="4" s="1"/>
  <c r="N143" i="4"/>
  <c r="P143" i="4" s="1"/>
  <c r="T143" i="4"/>
  <c r="V143" i="4" s="1"/>
  <c r="N144" i="4"/>
  <c r="P144" i="4" s="1"/>
  <c r="T144" i="4"/>
  <c r="V144" i="4" s="1"/>
  <c r="N145" i="4"/>
  <c r="P145" i="4" s="1"/>
  <c r="T145" i="4"/>
  <c r="V145" i="4" s="1"/>
  <c r="N146" i="4"/>
  <c r="P146" i="4" s="1"/>
  <c r="T146" i="4"/>
  <c r="V146" i="4" s="1"/>
  <c r="N147" i="4"/>
  <c r="P147" i="4" s="1"/>
  <c r="T147" i="4"/>
  <c r="V147" i="4" s="1"/>
  <c r="N148" i="4"/>
  <c r="P148" i="4" s="1"/>
  <c r="T148" i="4"/>
  <c r="V148" i="4" s="1"/>
  <c r="N149" i="4"/>
  <c r="P149" i="4" s="1"/>
  <c r="T149" i="4"/>
  <c r="V149" i="4" s="1"/>
  <c r="N150" i="4"/>
  <c r="P150" i="4" s="1"/>
  <c r="T150" i="4"/>
  <c r="V150" i="4" s="1"/>
  <c r="N151" i="4"/>
  <c r="P151" i="4" s="1"/>
  <c r="T151" i="4"/>
  <c r="V151" i="4" s="1"/>
  <c r="N152" i="4"/>
  <c r="P152" i="4" s="1"/>
  <c r="T152" i="4"/>
  <c r="V152" i="4" s="1"/>
  <c r="N153" i="4"/>
  <c r="P153" i="4" s="1"/>
  <c r="T153" i="4"/>
  <c r="V153" i="4" s="1"/>
  <c r="N154" i="4"/>
  <c r="P154" i="4" s="1"/>
  <c r="T154" i="4"/>
  <c r="V154" i="4" s="1"/>
  <c r="N155" i="4"/>
  <c r="P155" i="4" s="1"/>
  <c r="T155" i="4"/>
  <c r="V155" i="4" s="1"/>
  <c r="N156" i="4"/>
  <c r="P156" i="4" s="1"/>
  <c r="T156" i="4"/>
  <c r="V156" i="4" s="1"/>
  <c r="N157" i="4"/>
  <c r="P157" i="4" s="1"/>
  <c r="T157" i="4"/>
  <c r="V157" i="4" s="1"/>
  <c r="N158" i="4"/>
  <c r="P158" i="4" s="1"/>
  <c r="T158" i="4"/>
  <c r="V158" i="4" s="1"/>
  <c r="N159" i="4"/>
  <c r="P159" i="4" s="1"/>
  <c r="T159" i="4"/>
  <c r="V159" i="4" s="1"/>
  <c r="N160" i="4"/>
  <c r="P160" i="4" s="1"/>
  <c r="T160" i="4"/>
  <c r="V160" i="4" s="1"/>
  <c r="N161" i="4"/>
  <c r="P161" i="4" s="1"/>
  <c r="T161" i="4"/>
  <c r="V161" i="4" s="1"/>
  <c r="N162" i="4"/>
  <c r="P162" i="4" s="1"/>
  <c r="T162" i="4"/>
  <c r="V162" i="4" s="1"/>
  <c r="N163" i="4"/>
  <c r="P163" i="4" s="1"/>
  <c r="T163" i="4"/>
  <c r="V163" i="4" s="1"/>
  <c r="N164" i="4"/>
  <c r="P164" i="4" s="1"/>
  <c r="T164" i="4"/>
  <c r="V164" i="4" s="1"/>
  <c r="N165" i="4"/>
  <c r="P165" i="4" s="1"/>
  <c r="T165" i="4"/>
  <c r="V165" i="4" s="1"/>
  <c r="N166" i="4"/>
  <c r="P166" i="4" s="1"/>
  <c r="T166" i="4"/>
  <c r="V166" i="4" s="1"/>
  <c r="N167" i="4"/>
  <c r="P167" i="4" s="1"/>
  <c r="T167" i="4"/>
  <c r="V167" i="4" s="1"/>
  <c r="N168" i="4"/>
  <c r="P168" i="4" s="1"/>
  <c r="T168" i="4"/>
  <c r="V168" i="4" s="1"/>
  <c r="N169" i="4"/>
  <c r="P169" i="4" s="1"/>
  <c r="T169" i="4"/>
  <c r="V169" i="4" s="1"/>
  <c r="N170" i="4"/>
  <c r="P170" i="4" s="1"/>
  <c r="T170" i="4"/>
  <c r="V170" i="4" s="1"/>
  <c r="N171" i="4"/>
  <c r="P171" i="4" s="1"/>
  <c r="T171" i="4"/>
  <c r="V171" i="4" s="1"/>
  <c r="N172" i="4"/>
  <c r="P172" i="4" s="1"/>
  <c r="T172" i="4"/>
  <c r="V172" i="4" s="1"/>
  <c r="N173" i="4"/>
  <c r="P173" i="4" s="1"/>
  <c r="T173" i="4"/>
  <c r="V173" i="4" s="1"/>
  <c r="N174" i="4"/>
  <c r="P174" i="4" s="1"/>
  <c r="T174" i="4"/>
  <c r="V174" i="4" s="1"/>
  <c r="N175" i="4"/>
  <c r="P175" i="4" s="1"/>
  <c r="T175" i="4"/>
  <c r="V175" i="4" s="1"/>
  <c r="N176" i="4"/>
  <c r="P176" i="4" s="1"/>
  <c r="T176" i="4"/>
  <c r="V176" i="4" s="1"/>
  <c r="N177" i="4"/>
  <c r="P177" i="4" s="1"/>
  <c r="T177" i="4"/>
  <c r="V177" i="4" s="1"/>
  <c r="N178" i="4"/>
  <c r="P178" i="4" s="1"/>
  <c r="T178" i="4"/>
  <c r="V178" i="4" s="1"/>
  <c r="N179" i="4"/>
  <c r="P179" i="4" s="1"/>
  <c r="T179" i="4"/>
  <c r="V179" i="4" s="1"/>
  <c r="N180" i="4"/>
  <c r="P180" i="4" s="1"/>
  <c r="T180" i="4"/>
  <c r="V180" i="4" s="1"/>
  <c r="N181" i="4"/>
  <c r="P181" i="4" s="1"/>
  <c r="T181" i="4"/>
  <c r="V181" i="4" s="1"/>
  <c r="N182" i="4"/>
  <c r="P182" i="4" s="1"/>
  <c r="T182" i="4"/>
  <c r="V182" i="4" s="1"/>
  <c r="N183" i="4"/>
  <c r="P183" i="4" s="1"/>
  <c r="T183" i="4"/>
  <c r="V183" i="4" s="1"/>
  <c r="N184" i="4"/>
  <c r="P184" i="4" s="1"/>
  <c r="T184" i="4"/>
  <c r="V184" i="4" s="1"/>
  <c r="N185" i="4"/>
  <c r="P185" i="4" s="1"/>
  <c r="T185" i="4"/>
  <c r="V185" i="4" s="1"/>
  <c r="N186" i="4"/>
  <c r="P186" i="4" s="1"/>
  <c r="T186" i="4"/>
  <c r="V186" i="4" s="1"/>
  <c r="N187" i="4"/>
  <c r="P187" i="4" s="1"/>
  <c r="T187" i="4"/>
  <c r="V187" i="4" s="1"/>
  <c r="N188" i="4"/>
  <c r="P188" i="4" s="1"/>
  <c r="T188" i="4"/>
  <c r="V188" i="4" s="1"/>
  <c r="N189" i="4"/>
  <c r="P189" i="4" s="1"/>
  <c r="T189" i="4"/>
  <c r="V189" i="4" s="1"/>
  <c r="AR14" i="4" l="1"/>
  <c r="AS14" i="4"/>
  <c r="AT14" i="4"/>
  <c r="AU14" i="4"/>
  <c r="AV14" i="4"/>
  <c r="AR15" i="4"/>
  <c r="AS15" i="4"/>
  <c r="AT15" i="4"/>
  <c r="AU15" i="4"/>
  <c r="AV15" i="4"/>
  <c r="AQ15" i="4"/>
  <c r="AQ14" i="4"/>
  <c r="D14" i="49" s="1"/>
  <c r="H14" i="49" l="1"/>
  <c r="L14" i="49" s="1"/>
  <c r="J14" i="49"/>
  <c r="N14" i="49"/>
  <c r="F14" i="49"/>
  <c r="AR3" i="4"/>
  <c r="AR13" i="4"/>
  <c r="BH9" i="4" l="1"/>
  <c r="BI9" i="4"/>
  <c r="BG9" i="4"/>
  <c r="B2" i="26"/>
  <c r="AM186" i="4"/>
  <c r="AL186" i="4"/>
  <c r="AM185" i="4"/>
  <c r="AL185" i="4"/>
  <c r="AM184" i="4"/>
  <c r="AL184" i="4"/>
  <c r="AM183" i="4"/>
  <c r="AL183" i="4"/>
  <c r="AM182" i="4"/>
  <c r="AL182" i="4"/>
  <c r="AM181" i="4"/>
  <c r="AL181" i="4"/>
  <c r="AM180" i="4"/>
  <c r="AL180" i="4"/>
  <c r="AM179" i="4"/>
  <c r="AL179" i="4"/>
  <c r="AM178" i="4"/>
  <c r="AL178" i="4"/>
  <c r="AM177" i="4"/>
  <c r="AL177" i="4"/>
  <c r="AM176" i="4"/>
  <c r="AL176" i="4"/>
  <c r="AM175" i="4"/>
  <c r="AL175" i="4"/>
  <c r="AM174" i="4"/>
  <c r="AL174" i="4"/>
  <c r="AM173" i="4"/>
  <c r="AL173" i="4"/>
  <c r="AM172" i="4"/>
  <c r="AL172" i="4"/>
  <c r="AM171" i="4"/>
  <c r="AL171" i="4"/>
  <c r="AM170" i="4"/>
  <c r="AL170" i="4"/>
  <c r="AM169" i="4"/>
  <c r="AL169" i="4"/>
  <c r="AM168" i="4"/>
  <c r="AL168" i="4"/>
  <c r="AM167" i="4"/>
  <c r="AL167" i="4"/>
  <c r="AM166" i="4"/>
  <c r="AL166" i="4"/>
  <c r="AM165" i="4"/>
  <c r="AL165" i="4"/>
  <c r="AM164" i="4"/>
  <c r="AL164" i="4"/>
  <c r="AM163" i="4"/>
  <c r="AL163" i="4"/>
  <c r="AM162" i="4"/>
  <c r="AL162" i="4"/>
  <c r="AM161" i="4"/>
  <c r="AL161" i="4"/>
  <c r="AM160" i="4"/>
  <c r="AL160" i="4"/>
  <c r="AM159" i="4"/>
  <c r="AL159" i="4"/>
  <c r="AM158" i="4"/>
  <c r="AL158" i="4"/>
  <c r="AM157" i="4"/>
  <c r="AL157" i="4"/>
  <c r="AM156" i="4"/>
  <c r="AL156" i="4"/>
  <c r="AM155" i="4"/>
  <c r="AL155" i="4"/>
  <c r="AM154" i="4"/>
  <c r="AL154" i="4"/>
  <c r="AM153" i="4"/>
  <c r="AL153" i="4"/>
  <c r="AM152" i="4"/>
  <c r="AL152" i="4"/>
  <c r="AM151" i="4"/>
  <c r="AL151" i="4"/>
  <c r="AM150" i="4"/>
  <c r="AL150" i="4"/>
  <c r="AM149" i="4"/>
  <c r="AL149" i="4"/>
  <c r="AM148" i="4"/>
  <c r="AL148" i="4"/>
  <c r="AM147" i="4"/>
  <c r="AL147" i="4"/>
  <c r="AM146" i="4"/>
  <c r="AL146" i="4"/>
  <c r="AM145" i="4"/>
  <c r="AL145" i="4"/>
  <c r="AM144" i="4"/>
  <c r="AL144" i="4"/>
  <c r="AL143" i="4"/>
  <c r="AL142" i="4"/>
  <c r="AL141" i="4"/>
  <c r="AL140" i="4"/>
  <c r="AL139" i="4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2" i="4"/>
  <c r="AL51" i="4"/>
  <c r="AL50" i="4"/>
  <c r="AL49" i="4"/>
  <c r="AL48" i="4"/>
  <c r="AL47" i="4"/>
  <c r="AL46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BL23" i="4"/>
  <c r="BK23" i="4"/>
  <c r="BJ23" i="4"/>
  <c r="BE23" i="4"/>
  <c r="BD23" i="4"/>
  <c r="BC23" i="4"/>
  <c r="AL23" i="4"/>
  <c r="BL22" i="4"/>
  <c r="BK22" i="4"/>
  <c r="BJ22" i="4"/>
  <c r="BE22" i="4"/>
  <c r="BD22" i="4"/>
  <c r="BC22" i="4"/>
  <c r="AL22" i="4"/>
  <c r="BL21" i="4"/>
  <c r="BK21" i="4"/>
  <c r="BJ21" i="4"/>
  <c r="BE21" i="4"/>
  <c r="BD21" i="4"/>
  <c r="BC21" i="4"/>
  <c r="AL21" i="4"/>
  <c r="BL20" i="4"/>
  <c r="BK20" i="4"/>
  <c r="BJ20" i="4"/>
  <c r="BE20" i="4"/>
  <c r="BD20" i="4"/>
  <c r="BC20" i="4"/>
  <c r="AL20" i="4"/>
  <c r="BL19" i="4"/>
  <c r="BK19" i="4"/>
  <c r="BJ19" i="4"/>
  <c r="BE19" i="4"/>
  <c r="BD19" i="4"/>
  <c r="BC19" i="4"/>
  <c r="AL19" i="4"/>
  <c r="BL18" i="4"/>
  <c r="BK18" i="4"/>
  <c r="BJ18" i="4"/>
  <c r="BE18" i="4"/>
  <c r="BD18" i="4"/>
  <c r="BC18" i="4"/>
  <c r="AL18" i="4"/>
  <c r="BL17" i="4"/>
  <c r="BK17" i="4"/>
  <c r="BJ17" i="4"/>
  <c r="BE17" i="4"/>
  <c r="BD17" i="4"/>
  <c r="BC17" i="4"/>
  <c r="AL17" i="4"/>
  <c r="BL16" i="4"/>
  <c r="BK16" i="4"/>
  <c r="BJ16" i="4"/>
  <c r="BE16" i="4"/>
  <c r="BD16" i="4"/>
  <c r="BC16" i="4"/>
  <c r="AL16" i="4"/>
  <c r="BL15" i="4"/>
  <c r="BK15" i="4"/>
  <c r="BJ15" i="4"/>
  <c r="BE15" i="4"/>
  <c r="BD15" i="4"/>
  <c r="BC15" i="4"/>
  <c r="AL15" i="4"/>
  <c r="BL14" i="4"/>
  <c r="BK14" i="4"/>
  <c r="BJ14" i="4"/>
  <c r="BE14" i="4"/>
  <c r="BD14" i="4"/>
  <c r="BC14" i="4"/>
  <c r="AL14" i="4"/>
  <c r="BL13" i="4"/>
  <c r="BK13" i="4"/>
  <c r="BJ13" i="4"/>
  <c r="BE13" i="4"/>
  <c r="BD13" i="4"/>
  <c r="BC13" i="4"/>
  <c r="AV13" i="4"/>
  <c r="AU13" i="4"/>
  <c r="AT13" i="4"/>
  <c r="AS13" i="4"/>
  <c r="AQ13" i="4"/>
  <c r="AL13" i="4"/>
  <c r="BL12" i="4"/>
  <c r="BK12" i="4"/>
  <c r="BJ12" i="4"/>
  <c r="BE12" i="4"/>
  <c r="BD12" i="4"/>
  <c r="BC12" i="4"/>
  <c r="AV12" i="4"/>
  <c r="N16" i="49" s="1"/>
  <c r="AU12" i="4"/>
  <c r="AT12" i="4"/>
  <c r="J16" i="49" s="1"/>
  <c r="AS12" i="4"/>
  <c r="AR12" i="4"/>
  <c r="F16" i="49" s="1"/>
  <c r="AQ12" i="4"/>
  <c r="AL12" i="4"/>
  <c r="AV9" i="4"/>
  <c r="AU9" i="4"/>
  <c r="AT9" i="4"/>
  <c r="AS9" i="4"/>
  <c r="AR9" i="4"/>
  <c r="AQ9" i="4"/>
  <c r="AV8" i="4"/>
  <c r="AU8" i="4"/>
  <c r="AT8" i="4"/>
  <c r="AS8" i="4"/>
  <c r="AR8" i="4"/>
  <c r="AQ8" i="4"/>
  <c r="AV7" i="4"/>
  <c r="AU7" i="4"/>
  <c r="AT7" i="4"/>
  <c r="AS7" i="4"/>
  <c r="AR7" i="4"/>
  <c r="AQ7" i="4"/>
  <c r="AV6" i="4"/>
  <c r="AU6" i="4"/>
  <c r="AT6" i="4"/>
  <c r="AS6" i="4"/>
  <c r="AR6" i="4"/>
  <c r="AQ6" i="4"/>
  <c r="AV5" i="4"/>
  <c r="AU5" i="4"/>
  <c r="AT5" i="4"/>
  <c r="AS5" i="4"/>
  <c r="AR5" i="4"/>
  <c r="AQ5" i="4"/>
  <c r="AV4" i="4"/>
  <c r="AU4" i="4"/>
  <c r="AT4" i="4"/>
  <c r="AS4" i="4"/>
  <c r="AR4" i="4"/>
  <c r="AQ4" i="4"/>
  <c r="BA3" i="4"/>
  <c r="BB3" i="4" s="1"/>
  <c r="AZ3" i="4"/>
  <c r="AV3" i="4"/>
  <c r="AU3" i="4"/>
  <c r="AT3" i="4"/>
  <c r="AS3" i="4"/>
  <c r="AQ3" i="4"/>
  <c r="BB2" i="4"/>
  <c r="BA2" i="4"/>
  <c r="AZ2" i="4"/>
  <c r="AV2" i="4"/>
  <c r="N24" i="49" s="1"/>
  <c r="AU2" i="4"/>
  <c r="AT2" i="4"/>
  <c r="AS2" i="4"/>
  <c r="AR2" i="4"/>
  <c r="F24" i="49" s="1"/>
  <c r="AQ2" i="4"/>
  <c r="D16" i="49" l="1"/>
  <c r="J24" i="49"/>
  <c r="D22" i="49"/>
  <c r="D20" i="49"/>
  <c r="H20" i="49" s="1"/>
  <c r="L20" i="49" s="1"/>
  <c r="D18" i="49"/>
  <c r="H18" i="49" s="1"/>
  <c r="L18" i="49" s="1"/>
  <c r="J18" i="49"/>
  <c r="BK8" i="4"/>
  <c r="BL8" i="4"/>
  <c r="F22" i="49"/>
  <c r="N22" i="49"/>
  <c r="F20" i="49"/>
  <c r="N20" i="49"/>
  <c r="F18" i="49"/>
  <c r="N18" i="49"/>
  <c r="J22" i="49"/>
  <c r="J20" i="49"/>
  <c r="D24" i="49"/>
  <c r="H24" i="49" s="1"/>
  <c r="L24" i="49" s="1"/>
  <c r="H12" i="49"/>
  <c r="H22" i="49"/>
  <c r="L22" i="49" s="1"/>
  <c r="N26" i="49" l="1"/>
  <c r="B10" i="55" s="1"/>
  <c r="J26" i="49"/>
  <c r="F26" i="49"/>
  <c r="H16" i="49"/>
  <c r="L16" i="49" s="1"/>
  <c r="D26" i="49"/>
  <c r="L12" i="49"/>
  <c r="C6" i="28"/>
  <c r="D10" i="27" s="1"/>
  <c r="B7" i="28"/>
  <c r="C7" i="28"/>
  <c r="D11" i="27" s="1"/>
  <c r="X8" i="27"/>
  <c r="AC8" i="27"/>
  <c r="AH8" i="27"/>
  <c r="C10" i="27"/>
  <c r="C11" i="27"/>
  <c r="N3" i="4"/>
  <c r="AF57" i="4" s="1"/>
  <c r="L10" i="4"/>
  <c r="M10" i="4"/>
  <c r="O10" i="4"/>
  <c r="Q10" i="4"/>
  <c r="R10" i="4"/>
  <c r="S10" i="4"/>
  <c r="U10" i="4"/>
  <c r="W10" i="4"/>
  <c r="P199" i="4"/>
  <c r="V199" i="4"/>
  <c r="P206" i="4"/>
  <c r="V206" i="4"/>
  <c r="P211" i="4"/>
  <c r="V211" i="4"/>
  <c r="L190" i="4"/>
  <c r="M190" i="4"/>
  <c r="O190" i="4"/>
  <c r="Q190" i="4"/>
  <c r="R190" i="4"/>
  <c r="S190" i="4"/>
  <c r="U190" i="4"/>
  <c r="W190" i="4"/>
  <c r="L191" i="4"/>
  <c r="M191" i="4"/>
  <c r="O191" i="4"/>
  <c r="Q191" i="4"/>
  <c r="R191" i="4"/>
  <c r="S191" i="4"/>
  <c r="U191" i="4"/>
  <c r="W191" i="4"/>
  <c r="L192" i="4"/>
  <c r="M192" i="4"/>
  <c r="O192" i="4"/>
  <c r="Q192" i="4"/>
  <c r="R192" i="4"/>
  <c r="S192" i="4"/>
  <c r="U192" i="4"/>
  <c r="W192" i="4"/>
  <c r="L193" i="4"/>
  <c r="M193" i="4"/>
  <c r="O193" i="4"/>
  <c r="Q193" i="4"/>
  <c r="R193" i="4"/>
  <c r="S193" i="4"/>
  <c r="U193" i="4"/>
  <c r="W193" i="4"/>
  <c r="L194" i="4"/>
  <c r="M194" i="4"/>
  <c r="O194" i="4"/>
  <c r="Q194" i="4"/>
  <c r="R194" i="4"/>
  <c r="S194" i="4"/>
  <c r="U194" i="4"/>
  <c r="W194" i="4"/>
  <c r="L195" i="4"/>
  <c r="M195" i="4"/>
  <c r="O195" i="4"/>
  <c r="Q195" i="4"/>
  <c r="R195" i="4"/>
  <c r="S195" i="4"/>
  <c r="U195" i="4"/>
  <c r="W195" i="4"/>
  <c r="L196" i="4"/>
  <c r="M196" i="4"/>
  <c r="O196" i="4"/>
  <c r="Q196" i="4"/>
  <c r="R196" i="4"/>
  <c r="S196" i="4"/>
  <c r="U196" i="4"/>
  <c r="W196" i="4"/>
  <c r="L197" i="4"/>
  <c r="M197" i="4"/>
  <c r="O197" i="4"/>
  <c r="Q197" i="4"/>
  <c r="R197" i="4"/>
  <c r="S197" i="4"/>
  <c r="U197" i="4"/>
  <c r="W197" i="4"/>
  <c r="L198" i="4"/>
  <c r="M198" i="4"/>
  <c r="O198" i="4"/>
  <c r="Q198" i="4"/>
  <c r="R198" i="4"/>
  <c r="S198" i="4"/>
  <c r="U198" i="4"/>
  <c r="W198" i="4"/>
  <c r="L199" i="4"/>
  <c r="M199" i="4"/>
  <c r="O199" i="4"/>
  <c r="Q199" i="4"/>
  <c r="R199" i="4"/>
  <c r="S199" i="4"/>
  <c r="U199" i="4"/>
  <c r="W199" i="4"/>
  <c r="L200" i="4"/>
  <c r="M200" i="4"/>
  <c r="O200" i="4"/>
  <c r="Q200" i="4"/>
  <c r="R200" i="4"/>
  <c r="S200" i="4"/>
  <c r="U200" i="4"/>
  <c r="W200" i="4"/>
  <c r="L201" i="4"/>
  <c r="M201" i="4"/>
  <c r="O201" i="4"/>
  <c r="Q201" i="4"/>
  <c r="R201" i="4"/>
  <c r="S201" i="4"/>
  <c r="U201" i="4"/>
  <c r="W201" i="4"/>
  <c r="L202" i="4"/>
  <c r="M202" i="4"/>
  <c r="O202" i="4"/>
  <c r="Q202" i="4"/>
  <c r="R202" i="4"/>
  <c r="S202" i="4"/>
  <c r="U202" i="4"/>
  <c r="W202" i="4"/>
  <c r="L203" i="4"/>
  <c r="M203" i="4"/>
  <c r="O203" i="4"/>
  <c r="Q203" i="4"/>
  <c r="R203" i="4"/>
  <c r="S203" i="4"/>
  <c r="U203" i="4"/>
  <c r="W203" i="4"/>
  <c r="L204" i="4"/>
  <c r="M204" i="4"/>
  <c r="O204" i="4"/>
  <c r="Q204" i="4"/>
  <c r="R204" i="4"/>
  <c r="S204" i="4"/>
  <c r="U204" i="4"/>
  <c r="W204" i="4"/>
  <c r="L205" i="4"/>
  <c r="M205" i="4"/>
  <c r="O205" i="4"/>
  <c r="Q205" i="4"/>
  <c r="R205" i="4"/>
  <c r="S205" i="4"/>
  <c r="U205" i="4"/>
  <c r="W205" i="4"/>
  <c r="L206" i="4"/>
  <c r="M206" i="4"/>
  <c r="O206" i="4"/>
  <c r="Q206" i="4"/>
  <c r="R206" i="4"/>
  <c r="S206" i="4"/>
  <c r="U206" i="4"/>
  <c r="W206" i="4"/>
  <c r="L207" i="4"/>
  <c r="M207" i="4"/>
  <c r="O207" i="4"/>
  <c r="Q207" i="4"/>
  <c r="R207" i="4"/>
  <c r="S207" i="4"/>
  <c r="U207" i="4"/>
  <c r="W207" i="4"/>
  <c r="L208" i="4"/>
  <c r="M208" i="4"/>
  <c r="O208" i="4"/>
  <c r="Q208" i="4"/>
  <c r="R208" i="4"/>
  <c r="S208" i="4"/>
  <c r="U208" i="4"/>
  <c r="W208" i="4"/>
  <c r="L209" i="4"/>
  <c r="M209" i="4"/>
  <c r="O209" i="4"/>
  <c r="Q209" i="4"/>
  <c r="R209" i="4"/>
  <c r="S209" i="4"/>
  <c r="U209" i="4"/>
  <c r="W209" i="4"/>
  <c r="L210" i="4"/>
  <c r="M210" i="4"/>
  <c r="O210" i="4"/>
  <c r="Q210" i="4"/>
  <c r="R210" i="4"/>
  <c r="S210" i="4"/>
  <c r="U210" i="4"/>
  <c r="W210" i="4"/>
  <c r="L211" i="4"/>
  <c r="M211" i="4"/>
  <c r="O211" i="4"/>
  <c r="Q211" i="4"/>
  <c r="R211" i="4"/>
  <c r="S211" i="4"/>
  <c r="U211" i="4"/>
  <c r="W211" i="4"/>
  <c r="L212" i="4"/>
  <c r="M212" i="4"/>
  <c r="O212" i="4"/>
  <c r="Q212" i="4"/>
  <c r="R212" i="4"/>
  <c r="S212" i="4"/>
  <c r="U212" i="4"/>
  <c r="W212" i="4"/>
  <c r="L213" i="4"/>
  <c r="M213" i="4"/>
  <c r="O213" i="4"/>
  <c r="Q213" i="4"/>
  <c r="R213" i="4"/>
  <c r="S213" i="4"/>
  <c r="U213" i="4"/>
  <c r="W213" i="4"/>
  <c r="Q5" i="26"/>
  <c r="I7" i="26"/>
  <c r="L7" i="26"/>
  <c r="D11" i="26"/>
  <c r="K11" i="26"/>
  <c r="B8" i="28"/>
  <c r="C8" i="28"/>
  <c r="B9" i="28"/>
  <c r="C12" i="27"/>
  <c r="C9" i="28"/>
  <c r="D13" i="27" s="1"/>
  <c r="B10" i="28"/>
  <c r="C13" i="27"/>
  <c r="C10" i="28"/>
  <c r="D14" i="27" s="1"/>
  <c r="B11" i="28"/>
  <c r="C14" i="27"/>
  <c r="C11" i="28"/>
  <c r="D15" i="27" s="1"/>
  <c r="B12" i="28"/>
  <c r="C15" i="27"/>
  <c r="C12" i="28"/>
  <c r="D16" i="27" s="1"/>
  <c r="B13" i="28"/>
  <c r="C16" i="27"/>
  <c r="C13" i="28"/>
  <c r="D17" i="27" s="1"/>
  <c r="B14" i="28"/>
  <c r="C17" i="27"/>
  <c r="B15" i="28"/>
  <c r="C14" i="28"/>
  <c r="D18" i="27" s="1"/>
  <c r="C18" i="27"/>
  <c r="C15" i="28"/>
  <c r="D19" i="27" s="1"/>
  <c r="B16" i="28"/>
  <c r="C19" i="27"/>
  <c r="C16" i="28"/>
  <c r="D20" i="27" s="1"/>
  <c r="B17" i="28"/>
  <c r="C20" i="27"/>
  <c r="C17" i="28"/>
  <c r="D21" i="27" s="1"/>
  <c r="B18" i="28"/>
  <c r="C21" i="27"/>
  <c r="C18" i="28"/>
  <c r="D22" i="27" s="1"/>
  <c r="B19" i="28"/>
  <c r="C22" i="27"/>
  <c r="C19" i="28"/>
  <c r="D23" i="27" s="1"/>
  <c r="B20" i="28"/>
  <c r="C23" i="27"/>
  <c r="C20" i="28"/>
  <c r="D24" i="27" s="1"/>
  <c r="B21" i="28"/>
  <c r="C24" i="27"/>
  <c r="C21" i="28"/>
  <c r="D25" i="27" s="1"/>
  <c r="B22" i="28"/>
  <c r="C25" i="27"/>
  <c r="B23" i="28"/>
  <c r="C22" i="28"/>
  <c r="D26" i="27" s="1"/>
  <c r="C26" i="27"/>
  <c r="C23" i="28"/>
  <c r="D27" i="27" s="1"/>
  <c r="B24" i="28"/>
  <c r="C27" i="27"/>
  <c r="C24" i="28"/>
  <c r="D28" i="27" s="1"/>
  <c r="B25" i="28"/>
  <c r="C28" i="27"/>
  <c r="C25" i="28"/>
  <c r="D29" i="27" s="1"/>
  <c r="B26" i="28"/>
  <c r="C29" i="27"/>
  <c r="B27" i="28"/>
  <c r="C26" i="28"/>
  <c r="C30" i="27"/>
  <c r="C27" i="28"/>
  <c r="D31" i="27" s="1"/>
  <c r="B28" i="28"/>
  <c r="C31" i="27"/>
  <c r="B29" i="28"/>
  <c r="C28" i="28"/>
  <c r="D32" i="27" s="1"/>
  <c r="C32" i="27"/>
  <c r="B30" i="28"/>
  <c r="C29" i="28"/>
  <c r="D33" i="27" s="1"/>
  <c r="C33" i="27"/>
  <c r="C30" i="28"/>
  <c r="D34" i="27" s="1"/>
  <c r="B31" i="28"/>
  <c r="C34" i="27"/>
  <c r="C31" i="28"/>
  <c r="D35" i="27" s="1"/>
  <c r="B32" i="28"/>
  <c r="C35" i="27"/>
  <c r="C32" i="28"/>
  <c r="D36" i="27" s="1"/>
  <c r="B33" i="28"/>
  <c r="C36" i="27"/>
  <c r="C33" i="28"/>
  <c r="D37" i="27" s="1"/>
  <c r="B34" i="28"/>
  <c r="C37" i="27"/>
  <c r="B35" i="28"/>
  <c r="C34" i="28"/>
  <c r="D38" i="27" s="1"/>
  <c r="C38" i="27"/>
  <c r="C35" i="28"/>
  <c r="D39" i="27" s="1"/>
  <c r="B36" i="28"/>
  <c r="C39" i="27"/>
  <c r="C36" i="28"/>
  <c r="D40" i="27" s="1"/>
  <c r="B37" i="28"/>
  <c r="C40" i="27"/>
  <c r="C37" i="28"/>
  <c r="D41" i="27" s="1"/>
  <c r="B38" i="28"/>
  <c r="C41" i="27"/>
  <c r="B39" i="28"/>
  <c r="C38" i="28"/>
  <c r="D42" i="27" s="1"/>
  <c r="C42" i="27"/>
  <c r="C39" i="28"/>
  <c r="D43" i="27" s="1"/>
  <c r="B40" i="28"/>
  <c r="C43" i="27"/>
  <c r="C40" i="28"/>
  <c r="D44" i="27" s="1"/>
  <c r="B41" i="28"/>
  <c r="C44" i="27"/>
  <c r="C41" i="28"/>
  <c r="D45" i="27" s="1"/>
  <c r="B42" i="28"/>
  <c r="C45" i="27"/>
  <c r="B43" i="28"/>
  <c r="C42" i="28"/>
  <c r="D46" i="27" s="1"/>
  <c r="C46" i="27"/>
  <c r="C43" i="28"/>
  <c r="D47" i="27" s="1"/>
  <c r="B44" i="28"/>
  <c r="C47" i="27"/>
  <c r="C44" i="28"/>
  <c r="D48" i="27" s="1"/>
  <c r="B45" i="28"/>
  <c r="C48" i="27"/>
  <c r="C45" i="28"/>
  <c r="B46" i="28"/>
  <c r="C49" i="27"/>
  <c r="C46" i="28"/>
  <c r="D50" i="27" s="1"/>
  <c r="B47" i="28"/>
  <c r="C50" i="27"/>
  <c r="B48" i="28"/>
  <c r="C47" i="28"/>
  <c r="D51" i="27" s="1"/>
  <c r="C51" i="27"/>
  <c r="C48" i="28"/>
  <c r="D52" i="27" s="1"/>
  <c r="B49" i="28"/>
  <c r="C52" i="27"/>
  <c r="C49" i="28"/>
  <c r="D53" i="27" s="1"/>
  <c r="B50" i="28"/>
  <c r="C53" i="27"/>
  <c r="C50" i="28"/>
  <c r="D54" i="27" s="1"/>
  <c r="B51" i="28"/>
  <c r="C54" i="27"/>
  <c r="C51" i="28"/>
  <c r="D55" i="27" s="1"/>
  <c r="B52" i="28"/>
  <c r="C55" i="27"/>
  <c r="C52" i="28"/>
  <c r="D56" i="27" s="1"/>
  <c r="B53" i="28"/>
  <c r="C56" i="27"/>
  <c r="C53" i="28"/>
  <c r="D57" i="27" s="1"/>
  <c r="B54" i="28"/>
  <c r="C57" i="27"/>
  <c r="C54" i="28"/>
  <c r="B55" i="28"/>
  <c r="C58" i="27"/>
  <c r="C55" i="28"/>
  <c r="D59" i="27" s="1"/>
  <c r="B56" i="28"/>
  <c r="C59" i="27"/>
  <c r="C56" i="28"/>
  <c r="D60" i="27" s="1"/>
  <c r="B57" i="28"/>
  <c r="C60" i="27"/>
  <c r="C57" i="28"/>
  <c r="D61" i="27" s="1"/>
  <c r="B58" i="28"/>
  <c r="C61" i="27"/>
  <c r="C58" i="28"/>
  <c r="D62" i="27" s="1"/>
  <c r="B59" i="28"/>
  <c r="C62" i="27"/>
  <c r="C59" i="28"/>
  <c r="D63" i="27" s="1"/>
  <c r="B60" i="28"/>
  <c r="C63" i="27"/>
  <c r="B61" i="28"/>
  <c r="C60" i="28"/>
  <c r="D64" i="27" s="1"/>
  <c r="C64" i="27"/>
  <c r="C61" i="28"/>
  <c r="D65" i="27" s="1"/>
  <c r="B62" i="28"/>
  <c r="C65" i="27"/>
  <c r="C62" i="28"/>
  <c r="D66" i="27" s="1"/>
  <c r="B63" i="28"/>
  <c r="C66" i="27"/>
  <c r="C63" i="28"/>
  <c r="D67" i="27" s="1"/>
  <c r="B64" i="28"/>
  <c r="C67" i="27"/>
  <c r="B65" i="28"/>
  <c r="C64" i="28"/>
  <c r="D68" i="27" s="1"/>
  <c r="C68" i="27"/>
  <c r="C65" i="28"/>
  <c r="D69" i="27" s="1"/>
  <c r="B66" i="28"/>
  <c r="C69" i="27"/>
  <c r="C66" i="28"/>
  <c r="D70" i="27" s="1"/>
  <c r="B67" i="28"/>
  <c r="C70" i="27"/>
  <c r="C67" i="28"/>
  <c r="D71" i="27" s="1"/>
  <c r="B68" i="28"/>
  <c r="C71" i="27"/>
  <c r="C68" i="28"/>
  <c r="D72" i="27" s="1"/>
  <c r="B69" i="28"/>
  <c r="C72" i="27"/>
  <c r="B70" i="28"/>
  <c r="C69" i="28"/>
  <c r="D73" i="27" s="1"/>
  <c r="C73" i="27"/>
  <c r="C70" i="28"/>
  <c r="D74" i="27" s="1"/>
  <c r="B71" i="28"/>
  <c r="C74" i="27"/>
  <c r="C71" i="28"/>
  <c r="D75" i="27" s="1"/>
  <c r="B72" i="28"/>
  <c r="C75" i="27"/>
  <c r="B73" i="28"/>
  <c r="C72" i="28"/>
  <c r="D76" i="27" s="1"/>
  <c r="C76" i="27"/>
  <c r="C73" i="28"/>
  <c r="D77" i="27" s="1"/>
  <c r="B74" i="28"/>
  <c r="C77" i="27"/>
  <c r="C74" i="28"/>
  <c r="D78" i="27" s="1"/>
  <c r="B75" i="28"/>
  <c r="C78" i="27"/>
  <c r="C75" i="28"/>
  <c r="D79" i="27" s="1"/>
  <c r="B76" i="28"/>
  <c r="C79" i="27"/>
  <c r="C76" i="28"/>
  <c r="D80" i="27" s="1"/>
  <c r="B77" i="28"/>
  <c r="C80" i="27"/>
  <c r="C77" i="28"/>
  <c r="B78" i="28"/>
  <c r="C81" i="27"/>
  <c r="C78" i="28"/>
  <c r="D82" i="27" s="1"/>
  <c r="B79" i="28"/>
  <c r="C82" i="27"/>
  <c r="C79" i="28"/>
  <c r="D83" i="27" s="1"/>
  <c r="B80" i="28"/>
  <c r="C83" i="27"/>
  <c r="C80" i="28"/>
  <c r="D84" i="27" s="1"/>
  <c r="B81" i="28"/>
  <c r="C84" i="27"/>
  <c r="C81" i="28"/>
  <c r="D85" i="27" s="1"/>
  <c r="B82" i="28"/>
  <c r="C85" i="27"/>
  <c r="C82" i="28"/>
  <c r="D86" i="27" s="1"/>
  <c r="B83" i="28"/>
  <c r="C86" i="27"/>
  <c r="C83" i="28"/>
  <c r="D87" i="27" s="1"/>
  <c r="B84" i="28"/>
  <c r="C87" i="27"/>
  <c r="C84" i="28"/>
  <c r="D88" i="27" s="1"/>
  <c r="B85" i="28"/>
  <c r="C88" i="27"/>
  <c r="C85" i="28"/>
  <c r="D89" i="27" s="1"/>
  <c r="B86" i="28"/>
  <c r="C89" i="27"/>
  <c r="C86" i="28"/>
  <c r="D90" i="27" s="1"/>
  <c r="B87" i="28"/>
  <c r="C90" i="27"/>
  <c r="C87" i="28"/>
  <c r="D91" i="27" s="1"/>
  <c r="B88" i="28"/>
  <c r="C91" i="27"/>
  <c r="C88" i="28"/>
  <c r="D92" i="27" s="1"/>
  <c r="B89" i="28"/>
  <c r="C92" i="27"/>
  <c r="C89" i="28"/>
  <c r="D93" i="27" s="1"/>
  <c r="B90" i="28"/>
  <c r="C93" i="27"/>
  <c r="C90" i="28"/>
  <c r="D94" i="27" s="1"/>
  <c r="B91" i="28"/>
  <c r="C94" i="27"/>
  <c r="C91" i="28"/>
  <c r="D95" i="27" s="1"/>
  <c r="B92" i="28"/>
  <c r="C95" i="27"/>
  <c r="C92" i="28"/>
  <c r="D96" i="27" s="1"/>
  <c r="B93" i="28"/>
  <c r="C96" i="27"/>
  <c r="C93" i="28"/>
  <c r="D97" i="27" s="1"/>
  <c r="B94" i="28"/>
  <c r="C97" i="27"/>
  <c r="C94" i="28"/>
  <c r="D98" i="27" s="1"/>
  <c r="B95" i="28"/>
  <c r="C98" i="27"/>
  <c r="C95" i="28"/>
  <c r="D99" i="27" s="1"/>
  <c r="B96" i="28"/>
  <c r="C99" i="27"/>
  <c r="B97" i="28"/>
  <c r="C96" i="28"/>
  <c r="D100" i="27" s="1"/>
  <c r="C100" i="27"/>
  <c r="C97" i="28"/>
  <c r="D101" i="27" s="1"/>
  <c r="B98" i="28"/>
  <c r="C101" i="27"/>
  <c r="C98" i="28"/>
  <c r="D102" i="27" s="1"/>
  <c r="B99" i="28"/>
  <c r="C102" i="27"/>
  <c r="C99" i="28"/>
  <c r="D103" i="27" s="1"/>
  <c r="B100" i="28"/>
  <c r="C103" i="27"/>
  <c r="C100" i="28"/>
  <c r="D104" i="27" s="1"/>
  <c r="B101" i="28"/>
  <c r="C104" i="27"/>
  <c r="C101" i="28"/>
  <c r="D105" i="27" s="1"/>
  <c r="B102" i="28"/>
  <c r="C105" i="27"/>
  <c r="C102" i="28"/>
  <c r="D106" i="27" s="1"/>
  <c r="B103" i="28"/>
  <c r="C106" i="27"/>
  <c r="C103" i="28"/>
  <c r="D107" i="27" s="1"/>
  <c r="B104" i="28"/>
  <c r="C107" i="27"/>
  <c r="B105" i="28"/>
  <c r="C104" i="28"/>
  <c r="D108" i="27" s="1"/>
  <c r="C108" i="27"/>
  <c r="C105" i="28"/>
  <c r="D109" i="27" s="1"/>
  <c r="B106" i="28"/>
  <c r="C109" i="27"/>
  <c r="C106" i="28"/>
  <c r="D110" i="27" s="1"/>
  <c r="B107" i="28"/>
  <c r="C110" i="27"/>
  <c r="C107" i="28"/>
  <c r="D111" i="27" s="1"/>
  <c r="B108" i="28"/>
  <c r="C111" i="27"/>
  <c r="C108" i="28"/>
  <c r="B109" i="28"/>
  <c r="C112" i="27"/>
  <c r="C109" i="28"/>
  <c r="D113" i="27" s="1"/>
  <c r="B110" i="28"/>
  <c r="C113" i="27"/>
  <c r="C110" i="28"/>
  <c r="D114" i="27" s="1"/>
  <c r="B111" i="28"/>
  <c r="C114" i="27"/>
  <c r="B112" i="28"/>
  <c r="C111" i="28"/>
  <c r="D115" i="27" s="1"/>
  <c r="C115" i="27"/>
  <c r="C112" i="28"/>
  <c r="D116" i="27" s="1"/>
  <c r="B113" i="28"/>
  <c r="C116" i="27"/>
  <c r="B114" i="28"/>
  <c r="C113" i="28"/>
  <c r="C117" i="27"/>
  <c r="C114" i="28"/>
  <c r="D118" i="27" s="1"/>
  <c r="B115" i="28"/>
  <c r="C118" i="27"/>
  <c r="B116" i="28"/>
  <c r="C115" i="28"/>
  <c r="D119" i="27" s="1"/>
  <c r="C119" i="27"/>
  <c r="C116" i="28"/>
  <c r="D120" i="27" s="1"/>
  <c r="B117" i="28"/>
  <c r="C120" i="27"/>
  <c r="C117" i="28"/>
  <c r="D121" i="27" s="1"/>
  <c r="B118" i="28"/>
  <c r="C121" i="27"/>
  <c r="C118" i="28"/>
  <c r="D122" i="27" s="1"/>
  <c r="B119" i="28"/>
  <c r="C122" i="27"/>
  <c r="C119" i="28"/>
  <c r="D123" i="27" s="1"/>
  <c r="B120" i="28"/>
  <c r="C123" i="27"/>
  <c r="C120" i="28"/>
  <c r="D124" i="27" s="1"/>
  <c r="B121" i="28"/>
  <c r="C124" i="27"/>
  <c r="C121" i="28"/>
  <c r="D125" i="27" s="1"/>
  <c r="B122" i="28"/>
  <c r="C125" i="27"/>
  <c r="C122" i="28"/>
  <c r="D126" i="27" s="1"/>
  <c r="B123" i="28"/>
  <c r="C126" i="27"/>
  <c r="C123" i="28"/>
  <c r="D127" i="27" s="1"/>
  <c r="B124" i="28"/>
  <c r="C127" i="27"/>
  <c r="C124" i="28"/>
  <c r="D128" i="27" s="1"/>
  <c r="B125" i="28"/>
  <c r="C128" i="27"/>
  <c r="C125" i="28"/>
  <c r="D129" i="27" s="1"/>
  <c r="B126" i="28"/>
  <c r="C129" i="27"/>
  <c r="C126" i="28"/>
  <c r="D130" i="27" s="1"/>
  <c r="B127" i="28"/>
  <c r="C130" i="27"/>
  <c r="C127" i="28"/>
  <c r="D131" i="27" s="1"/>
  <c r="B128" i="28"/>
  <c r="C131" i="27"/>
  <c r="C128" i="28"/>
  <c r="D132" i="27" s="1"/>
  <c r="B129" i="28"/>
  <c r="C132" i="27"/>
  <c r="C129" i="28"/>
  <c r="D133" i="27" s="1"/>
  <c r="B130" i="28"/>
  <c r="C133" i="27"/>
  <c r="C130" i="28"/>
  <c r="D134" i="27" s="1"/>
  <c r="B131" i="28"/>
  <c r="C134" i="27"/>
  <c r="C131" i="28"/>
  <c r="D135" i="27" s="1"/>
  <c r="B132" i="28"/>
  <c r="C135" i="27"/>
  <c r="C132" i="28"/>
  <c r="D136" i="27" s="1"/>
  <c r="B133" i="28"/>
  <c r="C136" i="27"/>
  <c r="C133" i="28"/>
  <c r="D137" i="27" s="1"/>
  <c r="B134" i="28"/>
  <c r="C137" i="27"/>
  <c r="C134" i="28"/>
  <c r="D138" i="27" s="1"/>
  <c r="B135" i="28"/>
  <c r="C138" i="27"/>
  <c r="C135" i="28"/>
  <c r="D139" i="27" s="1"/>
  <c r="B136" i="28"/>
  <c r="C139" i="27"/>
  <c r="B137" i="28"/>
  <c r="C136" i="28"/>
  <c r="D140" i="27" s="1"/>
  <c r="C140" i="27"/>
  <c r="C137" i="28"/>
  <c r="D141" i="27" s="1"/>
  <c r="B138" i="28"/>
  <c r="C141" i="27"/>
  <c r="C138" i="28"/>
  <c r="D142" i="27" s="1"/>
  <c r="B139" i="28"/>
  <c r="C142" i="27"/>
  <c r="C139" i="28"/>
  <c r="D143" i="27" s="1"/>
  <c r="B140" i="28"/>
  <c r="C143" i="27"/>
  <c r="C140" i="28"/>
  <c r="D144" i="27" s="1"/>
  <c r="B141" i="28"/>
  <c r="C144" i="27"/>
  <c r="C141" i="28"/>
  <c r="D145" i="27" s="1"/>
  <c r="B142" i="28"/>
  <c r="C145" i="27"/>
  <c r="C142" i="28"/>
  <c r="D146" i="27" s="1"/>
  <c r="B143" i="28"/>
  <c r="C146" i="27"/>
  <c r="C143" i="28"/>
  <c r="D147" i="27" s="1"/>
  <c r="B144" i="28"/>
  <c r="C147" i="27"/>
  <c r="C144" i="28"/>
  <c r="D148" i="27" s="1"/>
  <c r="B145" i="28"/>
  <c r="C148" i="27"/>
  <c r="B146" i="28"/>
  <c r="C145" i="28"/>
  <c r="D149" i="27" s="1"/>
  <c r="C149" i="27"/>
  <c r="C146" i="28"/>
  <c r="D150" i="27" s="1"/>
  <c r="B147" i="28"/>
  <c r="C150" i="27"/>
  <c r="C147" i="28"/>
  <c r="B148" i="28"/>
  <c r="C151" i="27"/>
  <c r="C148" i="28"/>
  <c r="D152" i="27" s="1"/>
  <c r="B149" i="28"/>
  <c r="C152" i="27"/>
  <c r="C149" i="28"/>
  <c r="D153" i="27" s="1"/>
  <c r="B150" i="28"/>
  <c r="C153" i="27"/>
  <c r="C150" i="28"/>
  <c r="D154" i="27" s="1"/>
  <c r="B151" i="28"/>
  <c r="C154" i="27"/>
  <c r="C151" i="28"/>
  <c r="D155" i="27" s="1"/>
  <c r="B152" i="28"/>
  <c r="C155" i="27"/>
  <c r="B153" i="28"/>
  <c r="C152" i="28"/>
  <c r="D156" i="27" s="1"/>
  <c r="C156" i="27"/>
  <c r="C153" i="28"/>
  <c r="D157" i="27" s="1"/>
  <c r="B154" i="28"/>
  <c r="C157" i="27"/>
  <c r="C154" i="28"/>
  <c r="D158" i="27" s="1"/>
  <c r="B155" i="28"/>
  <c r="C158" i="27"/>
  <c r="C155" i="28"/>
  <c r="D159" i="27" s="1"/>
  <c r="B156" i="28"/>
  <c r="C159" i="27"/>
  <c r="C156" i="28"/>
  <c r="D160" i="27" s="1"/>
  <c r="B157" i="28"/>
  <c r="C160" i="27"/>
  <c r="C157" i="28"/>
  <c r="D161" i="27" s="1"/>
  <c r="B158" i="28"/>
  <c r="C161" i="27"/>
  <c r="C158" i="28"/>
  <c r="D162" i="27" s="1"/>
  <c r="B159" i="28"/>
  <c r="C162" i="27"/>
  <c r="C159" i="28"/>
  <c r="D163" i="27" s="1"/>
  <c r="B160" i="28"/>
  <c r="C163" i="27"/>
  <c r="C160" i="28"/>
  <c r="D164" i="27" s="1"/>
  <c r="B161" i="28"/>
  <c r="C164" i="27"/>
  <c r="C161" i="28"/>
  <c r="D165" i="27" s="1"/>
  <c r="B162" i="28"/>
  <c r="C165" i="27"/>
  <c r="C162" i="28"/>
  <c r="D166" i="27" s="1"/>
  <c r="B163" i="28"/>
  <c r="C166" i="27"/>
  <c r="C163" i="28"/>
  <c r="D167" i="27" s="1"/>
  <c r="B164" i="28"/>
  <c r="C167" i="27"/>
  <c r="C164" i="28"/>
  <c r="D168" i="27" s="1"/>
  <c r="B165" i="28"/>
  <c r="C168" i="27"/>
  <c r="C165" i="28"/>
  <c r="D169" i="27" s="1"/>
  <c r="B166" i="28"/>
  <c r="C169" i="27"/>
  <c r="C166" i="28"/>
  <c r="B167" i="28"/>
  <c r="C170" i="27"/>
  <c r="C167" i="28"/>
  <c r="D171" i="27" s="1"/>
  <c r="B168" i="28"/>
  <c r="C171" i="27"/>
  <c r="C168" i="28"/>
  <c r="D172" i="27" s="1"/>
  <c r="B169" i="28"/>
  <c r="C172" i="27"/>
  <c r="C169" i="28"/>
  <c r="D173" i="27" s="1"/>
  <c r="B170" i="28"/>
  <c r="C173" i="27"/>
  <c r="C170" i="28"/>
  <c r="D174" i="27" s="1"/>
  <c r="B171" i="28"/>
  <c r="C174" i="27"/>
  <c r="C171" i="28"/>
  <c r="D175" i="27" s="1"/>
  <c r="B172" i="28"/>
  <c r="C175" i="27"/>
  <c r="C172" i="28"/>
  <c r="D176" i="27" s="1"/>
  <c r="B173" i="28"/>
  <c r="C176" i="27"/>
  <c r="C173" i="28"/>
  <c r="D177" i="27" s="1"/>
  <c r="B174" i="28"/>
  <c r="C177" i="27"/>
  <c r="C174" i="28"/>
  <c r="D178" i="27" s="1"/>
  <c r="B175" i="28"/>
  <c r="C178" i="27"/>
  <c r="C175" i="28"/>
  <c r="D179" i="27" s="1"/>
  <c r="B176" i="28"/>
  <c r="C179" i="27"/>
  <c r="C176" i="28"/>
  <c r="D180" i="27" s="1"/>
  <c r="B177" i="28"/>
  <c r="C180" i="27"/>
  <c r="C177" i="28"/>
  <c r="D181" i="27" s="1"/>
  <c r="B178" i="28"/>
  <c r="C181" i="27"/>
  <c r="C178" i="28"/>
  <c r="D182" i="27" s="1"/>
  <c r="B179" i="28"/>
  <c r="C182" i="27"/>
  <c r="C179" i="28"/>
  <c r="D183" i="27" s="1"/>
  <c r="B180" i="28"/>
  <c r="C183" i="27"/>
  <c r="C180" i="28"/>
  <c r="D184" i="27" s="1"/>
  <c r="B181" i="28"/>
  <c r="C184" i="27"/>
  <c r="C181" i="28"/>
  <c r="D185" i="27" s="1"/>
  <c r="C185" i="27"/>
  <c r="B197" i="16"/>
  <c r="L26" i="49" l="1"/>
  <c r="H26" i="49"/>
  <c r="AC13" i="4"/>
  <c r="AC32" i="4"/>
  <c r="N195" i="4"/>
  <c r="X195" i="4" s="1"/>
  <c r="N207" i="4"/>
  <c r="X207" i="4" s="1"/>
  <c r="AA55" i="4"/>
  <c r="AD55" i="4" s="1"/>
  <c r="AF22" i="4"/>
  <c r="AA44" i="4"/>
  <c r="AD44" i="4" s="1"/>
  <c r="AF18" i="4"/>
  <c r="AE36" i="4"/>
  <c r="AC53" i="4"/>
  <c r="AC35" i="4"/>
  <c r="AB58" i="4"/>
  <c r="AF48" i="4"/>
  <c r="AB18" i="4"/>
  <c r="AF29" i="4"/>
  <c r="AC62" i="4"/>
  <c r="AF21" i="4"/>
  <c r="AA24" i="4"/>
  <c r="AD24" i="4" s="1"/>
  <c r="AF61" i="4"/>
  <c r="AF44" i="4"/>
  <c r="AB14" i="4"/>
  <c r="AE26" i="4"/>
  <c r="AA34" i="4"/>
  <c r="AD34" i="4" s="1"/>
  <c r="AF28" i="4"/>
  <c r="AB24" i="4"/>
  <c r="AE40" i="4"/>
  <c r="AE184" i="4"/>
  <c r="N205" i="4"/>
  <c r="X205" i="4" s="1"/>
  <c r="AB187" i="4"/>
  <c r="AA51" i="4"/>
  <c r="AD51" i="4" s="1"/>
  <c r="AC47" i="4"/>
  <c r="AE27" i="4"/>
  <c r="AF37" i="4"/>
  <c r="AF41" i="4"/>
  <c r="AC48" i="4"/>
  <c r="AB54" i="4"/>
  <c r="AC18" i="4"/>
  <c r="AF164" i="4"/>
  <c r="AE185" i="4"/>
  <c r="AA179" i="4"/>
  <c r="AC122" i="4"/>
  <c r="T203" i="4"/>
  <c r="Y203" i="4" s="1"/>
  <c r="T205" i="4"/>
  <c r="T193" i="4"/>
  <c r="Y193" i="4" s="1"/>
  <c r="T211" i="4"/>
  <c r="Y211" i="4" s="1"/>
  <c r="N199" i="4"/>
  <c r="X199" i="4" s="1"/>
  <c r="P190" i="4"/>
  <c r="N198" i="4"/>
  <c r="X198" i="4" s="1"/>
  <c r="AB34" i="4"/>
  <c r="AE48" i="4"/>
  <c r="AE56" i="4"/>
  <c r="AC37" i="4"/>
  <c r="AF16" i="4"/>
  <c r="AC24" i="4"/>
  <c r="AE24" i="4"/>
  <c r="AE17" i="4"/>
  <c r="AA37" i="4"/>
  <c r="AE23" i="4"/>
  <c r="AB44" i="4"/>
  <c r="AF33" i="4"/>
  <c r="AC46" i="4"/>
  <c r="AA65" i="4"/>
  <c r="AD65" i="4" s="1"/>
  <c r="AE14" i="4"/>
  <c r="AA188" i="4"/>
  <c r="AD188" i="4" s="1"/>
  <c r="AC160" i="4"/>
  <c r="AC15" i="4"/>
  <c r="AF42" i="4"/>
  <c r="AF53" i="4"/>
  <c r="AF60" i="4"/>
  <c r="AC54" i="4"/>
  <c r="AB12" i="4"/>
  <c r="AE16" i="4"/>
  <c r="AE29" i="4"/>
  <c r="AC41" i="4"/>
  <c r="AA30" i="4"/>
  <c r="AD30" i="4" s="1"/>
  <c r="AE45" i="4"/>
  <c r="AC36" i="4"/>
  <c r="AC52" i="4"/>
  <c r="AC33" i="4"/>
  <c r="AF58" i="4"/>
  <c r="AB41" i="4"/>
  <c r="AC186" i="4"/>
  <c r="AC183" i="4"/>
  <c r="AE172" i="4"/>
  <c r="AE175" i="4"/>
  <c r="AF168" i="4"/>
  <c r="AE189" i="4"/>
  <c r="AF188" i="4"/>
  <c r="AF181" i="4"/>
  <c r="AE177" i="4"/>
  <c r="AF170" i="4"/>
  <c r="AF166" i="4"/>
  <c r="AF162" i="4"/>
  <c r="AE156" i="4"/>
  <c r="AF147" i="4"/>
  <c r="AE142" i="4"/>
  <c r="AC116" i="4"/>
  <c r="AF71" i="4"/>
  <c r="AB32" i="4"/>
  <c r="AA42" i="4"/>
  <c r="AD42" i="4" s="1"/>
  <c r="AC43" i="4"/>
  <c r="AF50" i="4"/>
  <c r="AF54" i="4"/>
  <c r="AB57" i="4"/>
  <c r="AE61" i="4"/>
  <c r="AC40" i="4"/>
  <c r="AF17" i="4"/>
  <c r="AC14" i="4"/>
  <c r="AC26" i="4"/>
  <c r="AB19" i="4"/>
  <c r="AE25" i="4"/>
  <c r="AB31" i="4"/>
  <c r="AF36" i="4"/>
  <c r="AA43" i="4"/>
  <c r="AD43" i="4" s="1"/>
  <c r="AA20" i="4"/>
  <c r="AD20" i="4" s="1"/>
  <c r="AE32" i="4"/>
  <c r="AB39" i="4"/>
  <c r="AA47" i="4"/>
  <c r="AF26" i="4"/>
  <c r="AF38" i="4"/>
  <c r="AF46" i="4"/>
  <c r="AF24" i="4"/>
  <c r="AC29" i="4"/>
  <c r="AF52" i="4"/>
  <c r="AE60" i="4"/>
  <c r="AB66" i="4"/>
  <c r="AA52" i="4"/>
  <c r="AD52" i="4" s="1"/>
  <c r="AC16" i="4"/>
  <c r="AB189" i="4"/>
  <c r="AC188" i="4"/>
  <c r="AE187" i="4"/>
  <c r="AF186" i="4"/>
  <c r="AC182" i="4"/>
  <c r="AC178" i="4"/>
  <c r="AC171" i="4"/>
  <c r="AC167" i="4"/>
  <c r="AE163" i="4"/>
  <c r="AA162" i="4"/>
  <c r="AD162" i="4" s="1"/>
  <c r="AE152" i="4"/>
  <c r="AA66" i="4"/>
  <c r="AE54" i="4"/>
  <c r="AA72" i="4"/>
  <c r="AC121" i="4"/>
  <c r="AB134" i="4"/>
  <c r="AB141" i="4"/>
  <c r="AF155" i="4"/>
  <c r="AC159" i="4"/>
  <c r="AC176" i="4"/>
  <c r="AB177" i="4"/>
  <c r="AA178" i="4"/>
  <c r="AD178" i="4" s="1"/>
  <c r="AC181" i="4"/>
  <c r="AA182" i="4"/>
  <c r="AB183" i="4"/>
  <c r="AF184" i="4"/>
  <c r="AF185" i="4"/>
  <c r="AB186" i="4"/>
  <c r="AC187" i="4"/>
  <c r="AE188" i="4"/>
  <c r="AA189" i="4"/>
  <c r="AF189" i="4"/>
  <c r="AC19" i="4"/>
  <c r="AE15" i="4"/>
  <c r="AC12" i="4"/>
  <c r="H29" i="28" s="1"/>
  <c r="AA46" i="4"/>
  <c r="AC27" i="4"/>
  <c r="AF65" i="4"/>
  <c r="AB62" i="4"/>
  <c r="AC59" i="4"/>
  <c r="AE55" i="4"/>
  <c r="AF51" i="4"/>
  <c r="AA38" i="4"/>
  <c r="AC23" i="4"/>
  <c r="AF25" i="4"/>
  <c r="AE34" i="4"/>
  <c r="AB30" i="4"/>
  <c r="AA22" i="4"/>
  <c r="AD22" i="4" s="1"/>
  <c r="AB49" i="4"/>
  <c r="AF45" i="4"/>
  <c r="AE41" i="4"/>
  <c r="AE37" i="4"/>
  <c r="AE30" i="4"/>
  <c r="AB25" i="4"/>
  <c r="AC49" i="4"/>
  <c r="AB46" i="4"/>
  <c r="AB42" i="4"/>
  <c r="AE38" i="4"/>
  <c r="AE35" i="4"/>
  <c r="AE31" i="4"/>
  <c r="AB27" i="4"/>
  <c r="AE19" i="4"/>
  <c r="I34" i="28" s="1"/>
  <c r="AE44" i="4"/>
  <c r="AC42" i="4"/>
  <c r="AB38" i="4"/>
  <c r="AB36" i="4"/>
  <c r="AE33" i="4"/>
  <c r="AF30" i="4"/>
  <c r="AF27" i="4"/>
  <c r="AA25" i="4"/>
  <c r="AD25" i="4" s="1"/>
  <c r="AC22" i="4"/>
  <c r="AE18" i="4"/>
  <c r="AB28" i="4"/>
  <c r="AC25" i="4"/>
  <c r="AE21" i="4"/>
  <c r="AB13" i="4"/>
  <c r="AA19" i="4"/>
  <c r="AA17" i="4"/>
  <c r="AF14" i="4"/>
  <c r="AA58" i="4"/>
  <c r="AA49" i="4"/>
  <c r="AD49" i="4" s="1"/>
  <c r="AA70" i="4"/>
  <c r="AE106" i="4"/>
  <c r="AC117" i="4"/>
  <c r="AB143" i="4"/>
  <c r="AB146" i="4"/>
  <c r="AC149" i="4"/>
  <c r="AC157" i="4"/>
  <c r="AB161" i="4"/>
  <c r="AC162" i="4"/>
  <c r="AB163" i="4"/>
  <c r="AC164" i="4"/>
  <c r="AA165" i="4"/>
  <c r="AD165" i="4" s="1"/>
  <c r="AC166" i="4"/>
  <c r="AA167" i="4"/>
  <c r="AD167" i="4" s="1"/>
  <c r="AC168" i="4"/>
  <c r="AA169" i="4"/>
  <c r="AD169" i="4" s="1"/>
  <c r="AC170" i="4"/>
  <c r="AA171" i="4"/>
  <c r="AD171" i="4" s="1"/>
  <c r="AB172" i="4"/>
  <c r="AB173" i="4"/>
  <c r="AB174" i="4"/>
  <c r="AF178" i="4"/>
  <c r="AF179" i="4"/>
  <c r="AF183" i="4"/>
  <c r="AC184" i="4"/>
  <c r="AC185" i="4"/>
  <c r="AE186" i="4"/>
  <c r="AA187" i="4"/>
  <c r="AD187" i="4" s="1"/>
  <c r="AF187" i="4"/>
  <c r="AB188" i="4"/>
  <c r="AC189" i="4"/>
  <c r="AB21" i="4"/>
  <c r="F36" i="28" s="1"/>
  <c r="AC17" i="4"/>
  <c r="AA14" i="4"/>
  <c r="AD14" i="4" s="1"/>
  <c r="AB53" i="4"/>
  <c r="AE64" i="4"/>
  <c r="AA61" i="4"/>
  <c r="AD61" i="4" s="1"/>
  <c r="AE57" i="4"/>
  <c r="AE53" i="4"/>
  <c r="AA45" i="4"/>
  <c r="AD45" i="4" s="1"/>
  <c r="AF35" i="4"/>
  <c r="AA32" i="4"/>
  <c r="AD32" i="4" s="1"/>
  <c r="AC38" i="4"/>
  <c r="AF32" i="4"/>
  <c r="AB26" i="4"/>
  <c r="AE51" i="4"/>
  <c r="AF47" i="4"/>
  <c r="AE43" i="4"/>
  <c r="AF39" i="4"/>
  <c r="AA28" i="4"/>
  <c r="AD28" i="4" s="1"/>
  <c r="AC21" i="4"/>
  <c r="H36" i="28" s="1"/>
  <c r="AE47" i="4"/>
  <c r="AC44" i="4"/>
  <c r="AA40" i="4"/>
  <c r="AD40" i="4" s="1"/>
  <c r="AA36" i="4"/>
  <c r="AD36" i="4" s="1"/>
  <c r="AB33" i="4"/>
  <c r="AB29" i="4"/>
  <c r="AE22" i="4"/>
  <c r="AE46" i="4"/>
  <c r="AF43" i="4"/>
  <c r="AF40" i="4"/>
  <c r="AB37" i="4"/>
  <c r="AB35" i="4"/>
  <c r="AF31" i="4"/>
  <c r="AA29" i="4"/>
  <c r="AD29" i="4" s="1"/>
  <c r="AA26" i="4"/>
  <c r="AD26" i="4" s="1"/>
  <c r="AF23" i="4"/>
  <c r="AC20" i="4"/>
  <c r="AA15" i="4"/>
  <c r="AD15" i="4" s="1"/>
  <c r="AA27" i="4"/>
  <c r="AA23" i="4"/>
  <c r="AD23" i="4" s="1"/>
  <c r="AB16" i="4"/>
  <c r="AE20" i="4"/>
  <c r="AA18" i="4"/>
  <c r="AD18" i="4" s="1"/>
  <c r="AA16" i="4"/>
  <c r="AE13" i="4"/>
  <c r="AA53" i="4"/>
  <c r="AA13" i="4"/>
  <c r="AD13" i="4" s="1"/>
  <c r="AB15" i="4"/>
  <c r="AC39" i="4"/>
  <c r="AB45" i="4"/>
  <c r="AE52" i="4"/>
  <c r="AF55" i="4"/>
  <c r="AA59" i="4"/>
  <c r="AD59" i="4" s="1"/>
  <c r="AA63" i="4"/>
  <c r="AC50" i="4"/>
  <c r="AF15" i="4"/>
  <c r="AF19" i="4"/>
  <c r="AB22" i="4"/>
  <c r="AA12" i="4"/>
  <c r="AB23" i="4"/>
  <c r="AG23" i="4" s="1"/>
  <c r="AC28" i="4"/>
  <c r="AF34" i="4"/>
  <c r="AE39" i="4"/>
  <c r="AC45" i="4"/>
  <c r="AE28" i="4"/>
  <c r="AB43" i="4"/>
  <c r="AA50" i="4"/>
  <c r="AA35" i="4"/>
  <c r="AD35" i="4" s="1"/>
  <c r="AE42" i="4"/>
  <c r="AB50" i="4"/>
  <c r="AC31" i="4"/>
  <c r="AC30" i="4"/>
  <c r="AA41" i="4"/>
  <c r="AB56" i="4"/>
  <c r="AC63" i="4"/>
  <c r="AC34" i="4"/>
  <c r="AF13" i="4"/>
  <c r="AB20" i="4"/>
  <c r="AA186" i="4"/>
  <c r="AD186" i="4" s="1"/>
  <c r="AA185" i="4"/>
  <c r="AD185" i="4" s="1"/>
  <c r="AA184" i="4"/>
  <c r="AE180" i="4"/>
  <c r="AF176" i="4"/>
  <c r="AE173" i="4"/>
  <c r="AC169" i="4"/>
  <c r="AC165" i="4"/>
  <c r="AC158" i="4"/>
  <c r="AE144" i="4"/>
  <c r="AE139" i="4"/>
  <c r="AC118" i="4"/>
  <c r="T210" i="4"/>
  <c r="Y210" i="4" s="1"/>
  <c r="T190" i="4"/>
  <c r="Y190" i="4" s="1"/>
  <c r="T201" i="4"/>
  <c r="Y201" i="4" s="1"/>
  <c r="N211" i="4"/>
  <c r="X211" i="4" s="1"/>
  <c r="N208" i="4"/>
  <c r="X208" i="4" s="1"/>
  <c r="P202" i="4"/>
  <c r="T209" i="4"/>
  <c r="Y209" i="4" s="1"/>
  <c r="N196" i="4"/>
  <c r="X196" i="4" s="1"/>
  <c r="N203" i="4"/>
  <c r="X203" i="4" s="1"/>
  <c r="N202" i="4"/>
  <c r="X202" i="4" s="1"/>
  <c r="N206" i="4"/>
  <c r="X206" i="4" s="1"/>
  <c r="N210" i="4"/>
  <c r="X210" i="4" s="1"/>
  <c r="N193" i="4"/>
  <c r="X193" i="4" s="1"/>
  <c r="N213" i="4"/>
  <c r="X213" i="4" s="1"/>
  <c r="T195" i="4"/>
  <c r="Y195" i="4" s="1"/>
  <c r="T192" i="4"/>
  <c r="Y192" i="4" s="1"/>
  <c r="T213" i="4"/>
  <c r="Y213" i="4" s="1"/>
  <c r="T196" i="4"/>
  <c r="Y196" i="4" s="1"/>
  <c r="T191" i="4"/>
  <c r="T194" i="4"/>
  <c r="Y194" i="4" s="1"/>
  <c r="T208" i="4"/>
  <c r="Y208" i="4" s="1"/>
  <c r="T212" i="4"/>
  <c r="Y212" i="4" s="1"/>
  <c r="T199" i="4"/>
  <c r="Y199" i="4" s="1"/>
  <c r="T200" i="4"/>
  <c r="Y200" i="4" s="1"/>
  <c r="T207" i="4"/>
  <c r="T206" i="4"/>
  <c r="Y206" i="4" s="1"/>
  <c r="T202" i="4"/>
  <c r="Y202" i="4" s="1"/>
  <c r="N212" i="4"/>
  <c r="X212" i="4" s="1"/>
  <c r="N201" i="4"/>
  <c r="X201" i="4" s="1"/>
  <c r="N192" i="4"/>
  <c r="X192" i="4" s="1"/>
  <c r="N204" i="4"/>
  <c r="X204" i="4" s="1"/>
  <c r="N197" i="4"/>
  <c r="X197" i="4" s="1"/>
  <c r="N190" i="4"/>
  <c r="X190" i="4" s="1"/>
  <c r="N10" i="4"/>
  <c r="N200" i="4"/>
  <c r="X200" i="4" s="1"/>
  <c r="T204" i="4"/>
  <c r="Y204" i="4" s="1"/>
  <c r="N191" i="4"/>
  <c r="X191" i="4" s="1"/>
  <c r="T198" i="4"/>
  <c r="N209" i="4"/>
  <c r="X209" i="4" s="1"/>
  <c r="T197" i="4"/>
  <c r="Y197" i="4" s="1"/>
  <c r="T10" i="4"/>
  <c r="L37" i="28"/>
  <c r="P191" i="4"/>
  <c r="P192" i="4"/>
  <c r="N194" i="4"/>
  <c r="V207" i="4"/>
  <c r="P204" i="4"/>
  <c r="P197" i="4"/>
  <c r="P205" i="4"/>
  <c r="P208" i="4"/>
  <c r="D117" i="27"/>
  <c r="AB154" i="4"/>
  <c r="AA151" i="4"/>
  <c r="AE85" i="4"/>
  <c r="AB84" i="4"/>
  <c r="AE83" i="4"/>
  <c r="AB82" i="4"/>
  <c r="AA138" i="4"/>
  <c r="AF135" i="4"/>
  <c r="AB100" i="4"/>
  <c r="AE93" i="4"/>
  <c r="AB88" i="4"/>
  <c r="AA159" i="4"/>
  <c r="AF158" i="4"/>
  <c r="AC153" i="4"/>
  <c r="AE148" i="4"/>
  <c r="AA147" i="4"/>
  <c r="AC140" i="4"/>
  <c r="AE128" i="4"/>
  <c r="AC103" i="4"/>
  <c r="AE161" i="4"/>
  <c r="AF160" i="4"/>
  <c r="AA157" i="4"/>
  <c r="AB156" i="4"/>
  <c r="AA155" i="4"/>
  <c r="AF151" i="4"/>
  <c r="AB150" i="4"/>
  <c r="AC145" i="4"/>
  <c r="AF138" i="4"/>
  <c r="AB137" i="4"/>
  <c r="AE136" i="4"/>
  <c r="AA135" i="4"/>
  <c r="AF132" i="4"/>
  <c r="AA131" i="4"/>
  <c r="AF130" i="4"/>
  <c r="AA114" i="4"/>
  <c r="AF113" i="4"/>
  <c r="AA112" i="4"/>
  <c r="AF109" i="4"/>
  <c r="AA97" i="4"/>
  <c r="AD97" i="4" s="1"/>
  <c r="AF96" i="4"/>
  <c r="AB78" i="4"/>
  <c r="D112" i="27"/>
  <c r="D170" i="27"/>
  <c r="D49" i="27"/>
  <c r="AC155" i="4"/>
  <c r="AE154" i="4"/>
  <c r="AF153" i="4"/>
  <c r="AA149" i="4"/>
  <c r="AB148" i="4"/>
  <c r="AC147" i="4"/>
  <c r="AE146" i="4"/>
  <c r="AF145" i="4"/>
  <c r="AB142" i="4"/>
  <c r="AE141" i="4"/>
  <c r="AF140" i="4"/>
  <c r="AB136" i="4"/>
  <c r="AC135" i="4"/>
  <c r="AE134" i="4"/>
  <c r="AC133" i="4"/>
  <c r="AB132" i="4"/>
  <c r="AC131" i="4"/>
  <c r="AE127" i="4"/>
  <c r="AC126" i="4"/>
  <c r="AE125" i="4"/>
  <c r="AC124" i="4"/>
  <c r="AE123" i="4"/>
  <c r="AC115" i="4"/>
  <c r="AF101" i="4"/>
  <c r="AE98" i="4"/>
  <c r="AA76" i="4"/>
  <c r="AE67" i="4"/>
  <c r="AF12" i="4"/>
  <c r="AF63" i="4"/>
  <c r="AA64" i="4"/>
  <c r="AD64" i="4" s="1"/>
  <c r="AA77" i="4"/>
  <c r="AA89" i="4"/>
  <c r="AD89" i="4" s="1"/>
  <c r="AE90" i="4"/>
  <c r="AB91" i="4"/>
  <c r="AF92" i="4"/>
  <c r="AA96" i="4"/>
  <c r="AD96" i="4" s="1"/>
  <c r="AC99" i="4"/>
  <c r="AB104" i="4"/>
  <c r="AF105" i="4"/>
  <c r="AA109" i="4"/>
  <c r="AD109" i="4" s="1"/>
  <c r="AE110" i="4"/>
  <c r="AB111" i="4"/>
  <c r="AF112" i="4"/>
  <c r="AA113" i="4"/>
  <c r="AA119" i="4"/>
  <c r="AA123" i="4"/>
  <c r="AF126" i="4"/>
  <c r="AA127" i="4"/>
  <c r="AA128" i="4"/>
  <c r="AA129" i="4"/>
  <c r="AB131" i="4"/>
  <c r="AF133" i="4"/>
  <c r="AC134" i="4"/>
  <c r="AE135" i="4"/>
  <c r="AA136" i="4"/>
  <c r="AF136" i="4"/>
  <c r="AA137" i="4"/>
  <c r="AF137" i="4"/>
  <c r="AB138" i="4"/>
  <c r="AC139" i="4"/>
  <c r="AE140" i="4"/>
  <c r="AA141" i="4"/>
  <c r="AF141" i="4"/>
  <c r="AA142" i="4"/>
  <c r="AF142" i="4"/>
  <c r="AA143" i="4"/>
  <c r="AF143" i="4"/>
  <c r="AA144" i="4"/>
  <c r="AF144" i="4"/>
  <c r="AB145" i="4"/>
  <c r="AC146" i="4"/>
  <c r="AE147" i="4"/>
  <c r="AA148" i="4"/>
  <c r="AD148" i="4" s="1"/>
  <c r="AF148" i="4"/>
  <c r="AB149" i="4"/>
  <c r="AC150" i="4"/>
  <c r="AE151" i="4"/>
  <c r="AA152" i="4"/>
  <c r="AF152" i="4"/>
  <c r="AB153" i="4"/>
  <c r="AC154" i="4"/>
  <c r="AE155" i="4"/>
  <c r="AA156" i="4"/>
  <c r="AF156" i="4"/>
  <c r="AB157" i="4"/>
  <c r="AB158" i="4"/>
  <c r="AB159" i="4"/>
  <c r="AB160" i="4"/>
  <c r="AC161" i="4"/>
  <c r="AE162" i="4"/>
  <c r="AA163" i="4"/>
  <c r="AF163" i="4"/>
  <c r="AE164" i="4"/>
  <c r="AE165" i="4"/>
  <c r="AE166" i="4"/>
  <c r="AE167" i="4"/>
  <c r="AE168" i="4"/>
  <c r="AE169" i="4"/>
  <c r="AE170" i="4"/>
  <c r="AE171" i="4"/>
  <c r="AC172" i="4"/>
  <c r="AC173" i="4"/>
  <c r="AC174" i="4"/>
  <c r="AC175" i="4"/>
  <c r="AE176" i="4"/>
  <c r="AA177" i="4"/>
  <c r="AF177" i="4"/>
  <c r="AB178" i="4"/>
  <c r="AB179" i="4"/>
  <c r="AC180" i="4"/>
  <c r="AE181" i="4"/>
  <c r="AE182" i="4"/>
  <c r="AE183" i="4"/>
  <c r="AC61" i="4"/>
  <c r="AA69" i="4"/>
  <c r="AA73" i="4"/>
  <c r="AF74" i="4"/>
  <c r="AA75" i="4"/>
  <c r="AC79" i="4"/>
  <c r="AC81" i="4"/>
  <c r="AC86" i="4"/>
  <c r="AC87" i="4"/>
  <c r="AC94" i="4"/>
  <c r="AF97" i="4"/>
  <c r="AA101" i="4"/>
  <c r="AE102" i="4"/>
  <c r="AC107" i="4"/>
  <c r="AE114" i="4"/>
  <c r="AF115" i="4"/>
  <c r="AF120" i="4"/>
  <c r="AF124" i="4"/>
  <c r="AA125" i="4"/>
  <c r="AB130" i="4"/>
  <c r="AC132" i="4"/>
  <c r="AB133" i="4"/>
  <c r="AF134" i="4"/>
  <c r="AB135" i="4"/>
  <c r="AC136" i="4"/>
  <c r="AC137" i="4"/>
  <c r="AE138" i="4"/>
  <c r="AA139" i="4"/>
  <c r="AF139" i="4"/>
  <c r="AB140" i="4"/>
  <c r="AC141" i="4"/>
  <c r="AC142" i="4"/>
  <c r="AC143" i="4"/>
  <c r="AC144" i="4"/>
  <c r="AE145" i="4"/>
  <c r="AA146" i="4"/>
  <c r="AF146" i="4"/>
  <c r="AB147" i="4"/>
  <c r="AC148" i="4"/>
  <c r="AE149" i="4"/>
  <c r="AA150" i="4"/>
  <c r="AF150" i="4"/>
  <c r="AB151" i="4"/>
  <c r="AC152" i="4"/>
  <c r="AE153" i="4"/>
  <c r="AA154" i="4"/>
  <c r="AF154" i="4"/>
  <c r="AB155" i="4"/>
  <c r="AC156" i="4"/>
  <c r="AE157" i="4"/>
  <c r="AE158" i="4"/>
  <c r="AE159" i="4"/>
  <c r="AE160" i="4"/>
  <c r="AA161" i="4"/>
  <c r="AF161" i="4"/>
  <c r="AB162" i="4"/>
  <c r="AC163" i="4"/>
  <c r="AB164" i="4"/>
  <c r="AB165" i="4"/>
  <c r="AB166" i="4"/>
  <c r="AB167" i="4"/>
  <c r="AB168" i="4"/>
  <c r="AB169" i="4"/>
  <c r="AB170" i="4"/>
  <c r="AB171" i="4"/>
  <c r="AA172" i="4"/>
  <c r="AF172" i="4"/>
  <c r="AA173" i="4"/>
  <c r="AF173" i="4"/>
  <c r="AA174" i="4"/>
  <c r="AF174" i="4"/>
  <c r="AA175" i="4"/>
  <c r="AD175" i="4" s="1"/>
  <c r="AF175" i="4"/>
  <c r="AB176" i="4"/>
  <c r="AC177" i="4"/>
  <c r="AE178" i="4"/>
  <c r="AE179" i="4"/>
  <c r="AA180" i="4"/>
  <c r="AF180" i="4"/>
  <c r="AB181" i="4"/>
  <c r="AB182" i="4"/>
  <c r="AB185" i="4"/>
  <c r="AB184" i="4"/>
  <c r="AA183" i="4"/>
  <c r="AF182" i="4"/>
  <c r="AA181" i="4"/>
  <c r="AB180" i="4"/>
  <c r="AC179" i="4"/>
  <c r="AA176" i="4"/>
  <c r="AB175" i="4"/>
  <c r="AE174" i="4"/>
  <c r="AF171" i="4"/>
  <c r="AA170" i="4"/>
  <c r="AF169" i="4"/>
  <c r="AA168" i="4"/>
  <c r="AD168" i="4" s="1"/>
  <c r="AF167" i="4"/>
  <c r="AA166" i="4"/>
  <c r="AD166" i="4" s="1"/>
  <c r="AF165" i="4"/>
  <c r="AA164" i="4"/>
  <c r="AA160" i="4"/>
  <c r="AF159" i="4"/>
  <c r="AA158" i="4"/>
  <c r="AD158" i="4" s="1"/>
  <c r="AF157" i="4"/>
  <c r="AA153" i="4"/>
  <c r="AD153" i="4" s="1"/>
  <c r="AB152" i="4"/>
  <c r="AC151" i="4"/>
  <c r="AE150" i="4"/>
  <c r="AF149" i="4"/>
  <c r="AA145" i="4"/>
  <c r="AB144" i="4"/>
  <c r="AE143" i="4"/>
  <c r="AA140" i="4"/>
  <c r="AD140" i="4" s="1"/>
  <c r="AB139" i="4"/>
  <c r="AC138" i="4"/>
  <c r="AE137" i="4"/>
  <c r="AA130" i="4"/>
  <c r="AC129" i="4"/>
  <c r="AB120" i="4"/>
  <c r="AC119" i="4"/>
  <c r="AB108" i="4"/>
  <c r="AA105" i="4"/>
  <c r="AB95" i="4"/>
  <c r="AA92" i="4"/>
  <c r="AF89" i="4"/>
  <c r="AC80" i="4"/>
  <c r="AF129" i="4"/>
  <c r="AB128" i="4"/>
  <c r="AF127" i="4"/>
  <c r="AE126" i="4"/>
  <c r="AC125" i="4"/>
  <c r="AA124" i="4"/>
  <c r="AF123" i="4"/>
  <c r="AB122" i="4"/>
  <c r="AE121" i="4"/>
  <c r="AA120" i="4"/>
  <c r="AF119" i="4"/>
  <c r="AE118" i="4"/>
  <c r="AB117" i="4"/>
  <c r="AE116" i="4"/>
  <c r="AE115" i="4"/>
  <c r="AC113" i="4"/>
  <c r="AB110" i="4"/>
  <c r="AC109" i="4"/>
  <c r="AE108" i="4"/>
  <c r="AF107" i="4"/>
  <c r="AA103" i="4"/>
  <c r="AB102" i="4"/>
  <c r="AC101" i="4"/>
  <c r="AE100" i="4"/>
  <c r="AF99" i="4"/>
  <c r="AC96" i="4"/>
  <c r="AE95" i="4"/>
  <c r="AF94" i="4"/>
  <c r="AB90" i="4"/>
  <c r="AC89" i="4"/>
  <c r="AE88" i="4"/>
  <c r="AF87" i="4"/>
  <c r="AA86" i="4"/>
  <c r="AB83" i="4"/>
  <c r="AE82" i="4"/>
  <c r="AF81" i="4"/>
  <c r="AB74" i="4"/>
  <c r="AE73" i="4"/>
  <c r="AE72" i="4"/>
  <c r="AC69" i="4"/>
  <c r="AC68" i="4"/>
  <c r="AA134" i="4"/>
  <c r="AE133" i="4"/>
  <c r="AA132" i="4"/>
  <c r="AF131" i="4"/>
  <c r="AC130" i="4"/>
  <c r="AB129" i="4"/>
  <c r="AF128" i="4"/>
  <c r="AC127" i="4"/>
  <c r="AA126" i="4"/>
  <c r="AD126" i="4" s="1"/>
  <c r="AF125" i="4"/>
  <c r="AE124" i="4"/>
  <c r="AC123" i="4"/>
  <c r="AE122" i="4"/>
  <c r="AB121" i="4"/>
  <c r="AC120" i="4"/>
  <c r="AB119" i="4"/>
  <c r="AB118" i="4"/>
  <c r="AE117" i="4"/>
  <c r="AB116" i="4"/>
  <c r="AA115" i="4"/>
  <c r="AC114" i="4"/>
  <c r="AC112" i="4"/>
  <c r="AE111" i="4"/>
  <c r="AA107" i="4"/>
  <c r="AD107" i="4" s="1"/>
  <c r="AB106" i="4"/>
  <c r="AC105" i="4"/>
  <c r="AE104" i="4"/>
  <c r="AF103" i="4"/>
  <c r="AA99" i="4"/>
  <c r="AB98" i="4"/>
  <c r="AC97" i="4"/>
  <c r="AA94" i="4"/>
  <c r="AB93" i="4"/>
  <c r="AC92" i="4"/>
  <c r="AE91" i="4"/>
  <c r="AA87" i="4"/>
  <c r="AF86" i="4"/>
  <c r="AB85" i="4"/>
  <c r="AE84" i="4"/>
  <c r="AA81" i="4"/>
  <c r="AF79" i="4"/>
  <c r="AE78" i="4"/>
  <c r="AC77" i="4"/>
  <c r="AE76" i="4"/>
  <c r="AE75" i="4"/>
  <c r="AB71" i="4"/>
  <c r="AE70" i="4"/>
  <c r="AB65" i="4"/>
  <c r="AA60" i="4"/>
  <c r="AE113" i="4"/>
  <c r="AE112" i="4"/>
  <c r="AC111" i="4"/>
  <c r="AC110" i="4"/>
  <c r="AB109" i="4"/>
  <c r="AF108" i="4"/>
  <c r="AA108" i="4"/>
  <c r="AE107" i="4"/>
  <c r="AC106" i="4"/>
  <c r="AB105" i="4"/>
  <c r="AF104" i="4"/>
  <c r="AA104" i="4"/>
  <c r="AE103" i="4"/>
  <c r="AC102" i="4"/>
  <c r="AB101" i="4"/>
  <c r="AF100" i="4"/>
  <c r="AA100" i="4"/>
  <c r="AE99" i="4"/>
  <c r="AC98" i="4"/>
  <c r="AB97" i="4"/>
  <c r="AB96" i="4"/>
  <c r="AF95" i="4"/>
  <c r="AA95" i="4"/>
  <c r="AE94" i="4"/>
  <c r="AC93" i="4"/>
  <c r="AB92" i="4"/>
  <c r="AF91" i="4"/>
  <c r="AA91" i="4"/>
  <c r="AF90" i="4"/>
  <c r="AA90" i="4"/>
  <c r="AE89" i="4"/>
  <c r="AC88" i="4"/>
  <c r="AB87" i="4"/>
  <c r="AB86" i="4"/>
  <c r="AC85" i="4"/>
  <c r="AC84" i="4"/>
  <c r="AC83" i="4"/>
  <c r="AC82" i="4"/>
  <c r="AB81" i="4"/>
  <c r="AB80" i="4"/>
  <c r="AE79" i="4"/>
  <c r="AB77" i="4"/>
  <c r="AF76" i="4"/>
  <c r="AB75" i="4"/>
  <c r="AA74" i="4"/>
  <c r="AF73" i="4"/>
  <c r="AB72" i="4"/>
  <c r="AA71" i="4"/>
  <c r="AF70" i="4"/>
  <c r="AF69" i="4"/>
  <c r="AA68" i="4"/>
  <c r="AB67" i="4"/>
  <c r="AE66" i="4"/>
  <c r="AE65" i="4"/>
  <c r="AC64" i="4"/>
  <c r="AC60" i="4"/>
  <c r="AB59" i="4"/>
  <c r="AA133" i="4"/>
  <c r="AE132" i="4"/>
  <c r="AE131" i="4"/>
  <c r="AE130" i="4"/>
  <c r="AE129" i="4"/>
  <c r="AC128" i="4"/>
  <c r="AB127" i="4"/>
  <c r="AB126" i="4"/>
  <c r="AB125" i="4"/>
  <c r="AB124" i="4"/>
  <c r="AB123" i="4"/>
  <c r="AF122" i="4"/>
  <c r="AA122" i="4"/>
  <c r="AF121" i="4"/>
  <c r="AA121" i="4"/>
  <c r="AE120" i="4"/>
  <c r="AE119" i="4"/>
  <c r="AF118" i="4"/>
  <c r="AA118" i="4"/>
  <c r="AF117" i="4"/>
  <c r="AA117" i="4"/>
  <c r="AF116" i="4"/>
  <c r="AA116" i="4"/>
  <c r="AB115" i="4"/>
  <c r="AF114" i="4"/>
  <c r="AB114" i="4"/>
  <c r="AB113" i="4"/>
  <c r="AB112" i="4"/>
  <c r="AF111" i="4"/>
  <c r="AA111" i="4"/>
  <c r="AF110" i="4"/>
  <c r="AA110" i="4"/>
  <c r="AE109" i="4"/>
  <c r="AC108" i="4"/>
  <c r="AB107" i="4"/>
  <c r="AF106" i="4"/>
  <c r="AA106" i="4"/>
  <c r="AE105" i="4"/>
  <c r="AC104" i="4"/>
  <c r="AB103" i="4"/>
  <c r="AF102" i="4"/>
  <c r="AA102" i="4"/>
  <c r="AE101" i="4"/>
  <c r="AC100" i="4"/>
  <c r="AB99" i="4"/>
  <c r="AF98" i="4"/>
  <c r="AA98" i="4"/>
  <c r="AE97" i="4"/>
  <c r="AE96" i="4"/>
  <c r="AC95" i="4"/>
  <c r="AB94" i="4"/>
  <c r="AF93" i="4"/>
  <c r="AA93" i="4"/>
  <c r="AE92" i="4"/>
  <c r="AC91" i="4"/>
  <c r="AC90" i="4"/>
  <c r="AB89" i="4"/>
  <c r="AF88" i="4"/>
  <c r="AA88" i="4"/>
  <c r="AE87" i="4"/>
  <c r="AE86" i="4"/>
  <c r="AF85" i="4"/>
  <c r="AA85" i="4"/>
  <c r="AF84" i="4"/>
  <c r="AA84" i="4"/>
  <c r="AF83" i="4"/>
  <c r="AA83" i="4"/>
  <c r="AF82" i="4"/>
  <c r="AA82" i="4"/>
  <c r="AE81" i="4"/>
  <c r="AE80" i="4"/>
  <c r="AA79" i="4"/>
  <c r="AC78" i="4"/>
  <c r="AF77" i="4"/>
  <c r="AB76" i="4"/>
  <c r="AF75" i="4"/>
  <c r="AE74" i="4"/>
  <c r="AB73" i="4"/>
  <c r="AF72" i="4"/>
  <c r="AE71" i="4"/>
  <c r="AB70" i="4"/>
  <c r="AB69" i="4"/>
  <c r="AF68" i="4"/>
  <c r="AB63" i="4"/>
  <c r="AE62" i="4"/>
  <c r="V196" i="4"/>
  <c r="V195" i="4"/>
  <c r="V209" i="4"/>
  <c r="V201" i="4"/>
  <c r="V203" i="4"/>
  <c r="V205" i="4"/>
  <c r="V212" i="4"/>
  <c r="V202" i="4"/>
  <c r="V198" i="4"/>
  <c r="P200" i="4"/>
  <c r="P10" i="4"/>
  <c r="P203" i="4"/>
  <c r="P198" i="4"/>
  <c r="P207" i="4"/>
  <c r="P212" i="4"/>
  <c r="P201" i="4"/>
  <c r="P196" i="4"/>
  <c r="P210" i="4"/>
  <c r="P193" i="4"/>
  <c r="AF80" i="4"/>
  <c r="AA80" i="4"/>
  <c r="AB79" i="4"/>
  <c r="AF78" i="4"/>
  <c r="AA78" i="4"/>
  <c r="AE77" i="4"/>
  <c r="AC76" i="4"/>
  <c r="AC75" i="4"/>
  <c r="AC74" i="4"/>
  <c r="AC73" i="4"/>
  <c r="AC72" i="4"/>
  <c r="AC71" i="4"/>
  <c r="AC70" i="4"/>
  <c r="AE69" i="4"/>
  <c r="AE68" i="4"/>
  <c r="AC67" i="4"/>
  <c r="AC66" i="4"/>
  <c r="AB64" i="4"/>
  <c r="AF62" i="4"/>
  <c r="AE59" i="4"/>
  <c r="AA54" i="4"/>
  <c r="AA48" i="4"/>
  <c r="AB68" i="4"/>
  <c r="AF67" i="4"/>
  <c r="AA67" i="4"/>
  <c r="AF66" i="4"/>
  <c r="AC65" i="4"/>
  <c r="AF64" i="4"/>
  <c r="AE63" i="4"/>
  <c r="AA62" i="4"/>
  <c r="AB60" i="4"/>
  <c r="AC58" i="4"/>
  <c r="AA57" i="4"/>
  <c r="AF56" i="4"/>
  <c r="AE50" i="4"/>
  <c r="D151" i="27"/>
  <c r="D58" i="27"/>
  <c r="D30" i="27"/>
  <c r="V191" i="4"/>
  <c r="V204" i="4"/>
  <c r="V213" i="4"/>
  <c r="V210" i="4"/>
  <c r="V194" i="4"/>
  <c r="V190" i="4"/>
  <c r="V200" i="4"/>
  <c r="V197" i="4"/>
  <c r="V208" i="4"/>
  <c r="P195" i="4"/>
  <c r="P209" i="4"/>
  <c r="P213" i="4"/>
  <c r="D81" i="27"/>
  <c r="D12" i="27"/>
  <c r="P194" i="4"/>
  <c r="AA56" i="4"/>
  <c r="AB55" i="4"/>
  <c r="AB51" i="4"/>
  <c r="AA21" i="4"/>
  <c r="AA33" i="4"/>
  <c r="AB61" i="4"/>
  <c r="AF59" i="4"/>
  <c r="AE58" i="4"/>
  <c r="AC57" i="4"/>
  <c r="AC56" i="4"/>
  <c r="AC55" i="4"/>
  <c r="AB52" i="4"/>
  <c r="AC51" i="4"/>
  <c r="AF49" i="4"/>
  <c r="AF20" i="4"/>
  <c r="AE12" i="4"/>
  <c r="AE49" i="4"/>
  <c r="AA39" i="4"/>
  <c r="AB48" i="4"/>
  <c r="AB47" i="4"/>
  <c r="AB40" i="4"/>
  <c r="AA31" i="4"/>
  <c r="AB17" i="4"/>
  <c r="F171" i="28" l="1"/>
  <c r="I41" i="28"/>
  <c r="L95" i="28"/>
  <c r="L38" i="28"/>
  <c r="L100" i="28"/>
  <c r="H146" i="28"/>
  <c r="L125" i="28"/>
  <c r="E42" i="28"/>
  <c r="L49" i="28"/>
  <c r="I37" i="28"/>
  <c r="I47" i="28"/>
  <c r="F46" i="28"/>
  <c r="H48" i="28"/>
  <c r="H102" i="28"/>
  <c r="F101" i="28"/>
  <c r="F129" i="28"/>
  <c r="I99" i="28"/>
  <c r="L146" i="28"/>
  <c r="H131" i="28"/>
  <c r="H174" i="28"/>
  <c r="I167" i="28"/>
  <c r="H115" i="28"/>
  <c r="H168" i="28"/>
  <c r="I88" i="28"/>
  <c r="I171" i="28"/>
  <c r="H172" i="28"/>
  <c r="F163" i="28"/>
  <c r="H145" i="28"/>
  <c r="I110" i="28"/>
  <c r="F59" i="28"/>
  <c r="L124" i="28"/>
  <c r="H107" i="28"/>
  <c r="H95" i="28"/>
  <c r="E107" i="28"/>
  <c r="F109" i="28"/>
  <c r="E146" i="28"/>
  <c r="I162" i="28"/>
  <c r="F130" i="28"/>
  <c r="I120" i="28"/>
  <c r="I107" i="28"/>
  <c r="I156" i="28"/>
  <c r="I132" i="28"/>
  <c r="H110" i="28"/>
  <c r="E64" i="28"/>
  <c r="AH55" i="4"/>
  <c r="H76" i="28"/>
  <c r="H113" i="28"/>
  <c r="L85" i="28"/>
  <c r="H132" i="28"/>
  <c r="H123" i="28"/>
  <c r="H126" i="28"/>
  <c r="H171" i="28"/>
  <c r="L119" i="28"/>
  <c r="I170" i="28"/>
  <c r="L107" i="28"/>
  <c r="H180" i="28"/>
  <c r="H65" i="28"/>
  <c r="H82" i="28"/>
  <c r="L163" i="28"/>
  <c r="H116" i="28"/>
  <c r="H127" i="28"/>
  <c r="E180" i="28"/>
  <c r="H176" i="28"/>
  <c r="L64" i="28"/>
  <c r="H122" i="28"/>
  <c r="E36" i="28"/>
  <c r="G36" i="28" s="1"/>
  <c r="Z194" i="4"/>
  <c r="H38" i="28"/>
  <c r="F157" i="28"/>
  <c r="F120" i="28"/>
  <c r="I72" i="28"/>
  <c r="H169" i="28"/>
  <c r="H167" i="28"/>
  <c r="H32" i="28"/>
  <c r="L178" i="28"/>
  <c r="F74" i="28"/>
  <c r="F68" i="28"/>
  <c r="L87" i="28"/>
  <c r="H64" i="28"/>
  <c r="I93" i="28"/>
  <c r="L102" i="28"/>
  <c r="L101" i="28"/>
  <c r="F62" i="28"/>
  <c r="L172" i="28"/>
  <c r="L149" i="28"/>
  <c r="L174" i="28"/>
  <c r="L131" i="28"/>
  <c r="H106" i="28"/>
  <c r="L122" i="28"/>
  <c r="I126" i="28"/>
  <c r="L138" i="28"/>
  <c r="H124" i="28"/>
  <c r="H101" i="28"/>
  <c r="I129" i="28"/>
  <c r="L156" i="28"/>
  <c r="L160" i="28"/>
  <c r="H37" i="28"/>
  <c r="H162" i="28"/>
  <c r="I49" i="28"/>
  <c r="L177" i="28"/>
  <c r="H141" i="28"/>
  <c r="I54" i="28"/>
  <c r="F58" i="28"/>
  <c r="I144" i="28"/>
  <c r="I148" i="28"/>
  <c r="I173" i="28"/>
  <c r="E135" i="28"/>
  <c r="I44" i="28"/>
  <c r="I104" i="28"/>
  <c r="H104" i="28"/>
  <c r="L34" i="28"/>
  <c r="M34" i="28" s="1"/>
  <c r="F97" i="28"/>
  <c r="H35" i="28"/>
  <c r="L114" i="28"/>
  <c r="L167" i="28"/>
  <c r="F118" i="28"/>
  <c r="L115" i="28"/>
  <c r="L134" i="28"/>
  <c r="F155" i="28"/>
  <c r="F146" i="28"/>
  <c r="L35" i="28"/>
  <c r="F51" i="28"/>
  <c r="E56" i="28"/>
  <c r="H61" i="28"/>
  <c r="F122" i="28"/>
  <c r="E34" i="28"/>
  <c r="J34" i="28" s="1"/>
  <c r="F104" i="28"/>
  <c r="L98" i="28"/>
  <c r="F41" i="28"/>
  <c r="I112" i="28"/>
  <c r="L43" i="28"/>
  <c r="H98" i="28"/>
  <c r="H34" i="28"/>
  <c r="H158" i="28"/>
  <c r="F134" i="28"/>
  <c r="O218" i="4"/>
  <c r="I133" i="28"/>
  <c r="H163" i="28"/>
  <c r="L46" i="28"/>
  <c r="F38" i="28"/>
  <c r="L33" i="28"/>
  <c r="L147" i="28"/>
  <c r="L162" i="28"/>
  <c r="I177" i="28"/>
  <c r="I111" i="28"/>
  <c r="L72" i="28"/>
  <c r="H46" i="28"/>
  <c r="E178" i="28"/>
  <c r="L97" i="28"/>
  <c r="F136" i="28"/>
  <c r="F158" i="28"/>
  <c r="M217" i="4"/>
  <c r="I33" i="28"/>
  <c r="I57" i="28"/>
  <c r="I82" i="28"/>
  <c r="H170" i="28"/>
  <c r="I176" i="28"/>
  <c r="H157" i="28"/>
  <c r="L176" i="28"/>
  <c r="I143" i="28"/>
  <c r="L139" i="28"/>
  <c r="H129" i="28"/>
  <c r="H83" i="28"/>
  <c r="H177" i="28"/>
  <c r="I127" i="28"/>
  <c r="H173" i="28"/>
  <c r="L116" i="28"/>
  <c r="L29" i="28"/>
  <c r="L99" i="28"/>
  <c r="L170" i="28"/>
  <c r="I123" i="28"/>
  <c r="H136" i="28"/>
  <c r="H112" i="28"/>
  <c r="H45" i="28"/>
  <c r="L56" i="28"/>
  <c r="E97" i="28"/>
  <c r="L168" i="28"/>
  <c r="F31" i="28"/>
  <c r="H41" i="28"/>
  <c r="I181" i="28"/>
  <c r="H165" i="28"/>
  <c r="I179" i="28"/>
  <c r="F154" i="28"/>
  <c r="H148" i="28"/>
  <c r="I32" i="28"/>
  <c r="L112" i="28"/>
  <c r="M112" i="28" s="1"/>
  <c r="H44" i="28"/>
  <c r="I114" i="28"/>
  <c r="L165" i="28"/>
  <c r="E76" i="28"/>
  <c r="L179" i="28"/>
  <c r="H97" i="28"/>
  <c r="I115" i="28"/>
  <c r="F114" i="28"/>
  <c r="F80" i="28"/>
  <c r="I121" i="28"/>
  <c r="L150" i="28"/>
  <c r="L159" i="28"/>
  <c r="I154" i="28"/>
  <c r="L54" i="28"/>
  <c r="N159" i="28"/>
  <c r="L118" i="28"/>
  <c r="I166" i="28"/>
  <c r="H178" i="28"/>
  <c r="I98" i="28"/>
  <c r="L104" i="28"/>
  <c r="H69" i="28"/>
  <c r="V193" i="4"/>
  <c r="V192" i="4"/>
  <c r="F44" i="28"/>
  <c r="F42" i="28"/>
  <c r="L48" i="28"/>
  <c r="L96" i="28"/>
  <c r="L154" i="28"/>
  <c r="I124" i="28"/>
  <c r="F116" i="28"/>
  <c r="L113" i="28"/>
  <c r="L164" i="28"/>
  <c r="I155" i="28"/>
  <c r="I178" i="28"/>
  <c r="H156" i="28"/>
  <c r="L41" i="28"/>
  <c r="M41" i="28" s="1"/>
  <c r="I45" i="28"/>
  <c r="I97" i="28"/>
  <c r="E38" i="28"/>
  <c r="L180" i="28"/>
  <c r="L39" i="28"/>
  <c r="E105" i="28"/>
  <c r="L110" i="28"/>
  <c r="O222" i="4"/>
  <c r="L94" i="28"/>
  <c r="I73" i="28"/>
  <c r="E139" i="28"/>
  <c r="H117" i="28"/>
  <c r="L30" i="28"/>
  <c r="L171" i="28"/>
  <c r="L103" i="28"/>
  <c r="F141" i="28"/>
  <c r="F39" i="28"/>
  <c r="H73" i="28"/>
  <c r="L105" i="28"/>
  <c r="E109" i="28"/>
  <c r="L62" i="28"/>
  <c r="H75" i="28"/>
  <c r="E73" i="28"/>
  <c r="I101" i="28"/>
  <c r="H105" i="28"/>
  <c r="F108" i="28"/>
  <c r="F87" i="28"/>
  <c r="F95" i="28"/>
  <c r="H103" i="28"/>
  <c r="H99" i="28"/>
  <c r="F107" i="28"/>
  <c r="L130" i="28"/>
  <c r="L175" i="28"/>
  <c r="H161" i="28"/>
  <c r="E134" i="28"/>
  <c r="H133" i="28"/>
  <c r="I138" i="28"/>
  <c r="L173" i="28"/>
  <c r="I100" i="28"/>
  <c r="M100" i="28" s="1"/>
  <c r="H125" i="28"/>
  <c r="H155" i="28"/>
  <c r="F124" i="28"/>
  <c r="L117" i="28"/>
  <c r="I164" i="28"/>
  <c r="M222" i="4"/>
  <c r="I139" i="28"/>
  <c r="L108" i="28"/>
  <c r="I116" i="28"/>
  <c r="F131" i="28"/>
  <c r="F84" i="28"/>
  <c r="F165" i="28"/>
  <c r="H33" i="28"/>
  <c r="H120" i="28"/>
  <c r="I46" i="28"/>
  <c r="L161" i="28"/>
  <c r="H152" i="28"/>
  <c r="E161" i="28"/>
  <c r="L32" i="28"/>
  <c r="H100" i="28"/>
  <c r="L106" i="28"/>
  <c r="H94" i="28"/>
  <c r="L157" i="28"/>
  <c r="L120" i="28"/>
  <c r="E78" i="28"/>
  <c r="Z207" i="4"/>
  <c r="H114" i="28"/>
  <c r="I38" i="28"/>
  <c r="E29" i="28"/>
  <c r="H50" i="28"/>
  <c r="E98" i="28"/>
  <c r="F178" i="28"/>
  <c r="I80" i="28"/>
  <c r="E69" i="28"/>
  <c r="L76" i="28"/>
  <c r="E48" i="28"/>
  <c r="L67" i="28"/>
  <c r="E87" i="28"/>
  <c r="E92" i="28"/>
  <c r="H79" i="28"/>
  <c r="L109" i="28"/>
  <c r="H86" i="28"/>
  <c r="H92" i="28"/>
  <c r="I94" i="28"/>
  <c r="L73" i="28"/>
  <c r="I106" i="28"/>
  <c r="H109" i="28"/>
  <c r="I71" i="28"/>
  <c r="L81" i="28"/>
  <c r="L88" i="28"/>
  <c r="F105" i="28"/>
  <c r="G105" i="28" s="1"/>
  <c r="F85" i="28"/>
  <c r="F100" i="28"/>
  <c r="I122" i="28"/>
  <c r="I131" i="28"/>
  <c r="L142" i="28"/>
  <c r="F135" i="28"/>
  <c r="E155" i="28"/>
  <c r="F150" i="28"/>
  <c r="H128" i="28"/>
  <c r="H121" i="28"/>
  <c r="I134" i="28"/>
  <c r="H139" i="28"/>
  <c r="L123" i="28"/>
  <c r="L121" i="28"/>
  <c r="I109" i="28"/>
  <c r="H96" i="28"/>
  <c r="I62" i="28"/>
  <c r="I95" i="28"/>
  <c r="H30" i="28"/>
  <c r="H164" i="28"/>
  <c r="H140" i="28"/>
  <c r="F180" i="28"/>
  <c r="F117" i="28"/>
  <c r="L132" i="28"/>
  <c r="L145" i="28"/>
  <c r="H119" i="28"/>
  <c r="F73" i="28"/>
  <c r="I85" i="28"/>
  <c r="F139" i="28"/>
  <c r="I125" i="28"/>
  <c r="F35" i="28"/>
  <c r="L136" i="28"/>
  <c r="F37" i="28"/>
  <c r="I35" i="28"/>
  <c r="F111" i="28"/>
  <c r="H166" i="28"/>
  <c r="L158" i="28"/>
  <c r="H135" i="28"/>
  <c r="F176" i="28"/>
  <c r="F126" i="28"/>
  <c r="E166" i="28"/>
  <c r="H43" i="28"/>
  <c r="F43" i="28"/>
  <c r="I136" i="28"/>
  <c r="L51" i="28"/>
  <c r="I159" i="28"/>
  <c r="L135" i="28"/>
  <c r="N160" i="28"/>
  <c r="H160" i="28"/>
  <c r="H159" i="28"/>
  <c r="L40" i="28"/>
  <c r="H39" i="28"/>
  <c r="I157" i="28"/>
  <c r="H179" i="28"/>
  <c r="H42" i="28"/>
  <c r="I168" i="28"/>
  <c r="H40" i="28"/>
  <c r="L42" i="28"/>
  <c r="I39" i="28"/>
  <c r="I169" i="28"/>
  <c r="F32" i="28"/>
  <c r="H137" i="28"/>
  <c r="H130" i="28"/>
  <c r="I105" i="28"/>
  <c r="I36" i="28"/>
  <c r="I118" i="28"/>
  <c r="H49" i="28"/>
  <c r="I42" i="28"/>
  <c r="J42" i="28" s="1"/>
  <c r="F112" i="28"/>
  <c r="E41" i="28"/>
  <c r="J41" i="28" s="1"/>
  <c r="E165" i="28"/>
  <c r="L137" i="28"/>
  <c r="I158" i="28"/>
  <c r="H111" i="28"/>
  <c r="L169" i="28"/>
  <c r="L166" i="28"/>
  <c r="L127" i="28"/>
  <c r="I165" i="28"/>
  <c r="H134" i="28"/>
  <c r="H118" i="28"/>
  <c r="F29" i="28"/>
  <c r="L44" i="28"/>
  <c r="I40" i="28"/>
  <c r="I137" i="28"/>
  <c r="I135" i="28"/>
  <c r="E136" i="28"/>
  <c r="L111" i="28"/>
  <c r="L143" i="28"/>
  <c r="I91" i="28"/>
  <c r="H54" i="28"/>
  <c r="F64" i="28"/>
  <c r="L133" i="28"/>
  <c r="L141" i="28"/>
  <c r="I146" i="28"/>
  <c r="L47" i="28"/>
  <c r="M47" i="28" s="1"/>
  <c r="F47" i="28"/>
  <c r="H53" i="28"/>
  <c r="F81" i="28"/>
  <c r="L57" i="28"/>
  <c r="L90" i="28"/>
  <c r="H68" i="28"/>
  <c r="L84" i="28"/>
  <c r="L86" i="28"/>
  <c r="I89" i="28"/>
  <c r="H62" i="28"/>
  <c r="L61" i="28"/>
  <c r="H85" i="28"/>
  <c r="F66" i="28"/>
  <c r="I180" i="28"/>
  <c r="H63" i="28"/>
  <c r="I84" i="28"/>
  <c r="I92" i="28"/>
  <c r="I64" i="28"/>
  <c r="L93" i="28"/>
  <c r="L151" i="28"/>
  <c r="L155" i="28"/>
  <c r="H89" i="28"/>
  <c r="H55" i="28"/>
  <c r="F143" i="28"/>
  <c r="I140" i="28"/>
  <c r="F79" i="28"/>
  <c r="H138" i="28"/>
  <c r="I87" i="28"/>
  <c r="H149" i="28"/>
  <c r="F90" i="28"/>
  <c r="F50" i="28"/>
  <c r="E58" i="28"/>
  <c r="L31" i="28"/>
  <c r="H153" i="28"/>
  <c r="H150" i="28"/>
  <c r="H147" i="28"/>
  <c r="E61" i="28"/>
  <c r="F33" i="28"/>
  <c r="L53" i="28"/>
  <c r="L140" i="28"/>
  <c r="E67" i="28"/>
  <c r="E47" i="28"/>
  <c r="I141" i="28"/>
  <c r="L152" i="28"/>
  <c r="N53" i="28"/>
  <c r="I48" i="28"/>
  <c r="L148" i="28"/>
  <c r="E90" i="28"/>
  <c r="H66" i="28"/>
  <c r="I83" i="28"/>
  <c r="F70" i="28"/>
  <c r="F145" i="28"/>
  <c r="F138" i="28"/>
  <c r="H93" i="28"/>
  <c r="H154" i="28"/>
  <c r="E54" i="28"/>
  <c r="H151" i="28"/>
  <c r="F54" i="28"/>
  <c r="H67" i="28"/>
  <c r="I69" i="28"/>
  <c r="I70" i="28"/>
  <c r="L68" i="28"/>
  <c r="H84" i="28"/>
  <c r="I86" i="28"/>
  <c r="H74" i="28"/>
  <c r="L89" i="28"/>
  <c r="F128" i="28"/>
  <c r="L144" i="28"/>
  <c r="F152" i="28"/>
  <c r="I142" i="28"/>
  <c r="I153" i="28"/>
  <c r="I150" i="28"/>
  <c r="E133" i="28"/>
  <c r="F144" i="28"/>
  <c r="L128" i="28"/>
  <c r="L63" i="28"/>
  <c r="F86" i="28"/>
  <c r="H143" i="28"/>
  <c r="H58" i="28"/>
  <c r="E50" i="28"/>
  <c r="F133" i="28"/>
  <c r="I31" i="28"/>
  <c r="F69" i="28"/>
  <c r="H144" i="28"/>
  <c r="I128" i="28"/>
  <c r="H175" i="28"/>
  <c r="L153" i="28"/>
  <c r="I90" i="28"/>
  <c r="H47" i="28"/>
  <c r="L55" i="28"/>
  <c r="H31" i="28"/>
  <c r="F45" i="28"/>
  <c r="L45" i="28"/>
  <c r="L52" i="28"/>
  <c r="Z198" i="4"/>
  <c r="Z205" i="4"/>
  <c r="I9" i="28"/>
  <c r="L16" i="28"/>
  <c r="L23" i="28"/>
  <c r="F12" i="28"/>
  <c r="L15" i="28"/>
  <c r="L24" i="28"/>
  <c r="I11" i="28"/>
  <c r="I19" i="28"/>
  <c r="F24" i="28"/>
  <c r="F28" i="28"/>
  <c r="Y205" i="4"/>
  <c r="F7" i="28"/>
  <c r="E25" i="28"/>
  <c r="AG44" i="4"/>
  <c r="AH36" i="4"/>
  <c r="H52" i="28"/>
  <c r="AD37" i="4"/>
  <c r="AH37" i="4" s="1"/>
  <c r="E40" i="28"/>
  <c r="AD70" i="4"/>
  <c r="AD12" i="4"/>
  <c r="N29" i="28" s="1"/>
  <c r="Z210" i="4"/>
  <c r="X194" i="4"/>
  <c r="AH65" i="4"/>
  <c r="E53" i="28"/>
  <c r="AD58" i="4"/>
  <c r="AD179" i="4"/>
  <c r="E111" i="28"/>
  <c r="AH178" i="4"/>
  <c r="M218" i="4"/>
  <c r="AG65" i="4"/>
  <c r="H57" i="28"/>
  <c r="AI24" i="4"/>
  <c r="AK24" i="4" s="1"/>
  <c r="AG24" i="4"/>
  <c r="E55" i="28"/>
  <c r="AH40" i="4"/>
  <c r="AH185" i="4"/>
  <c r="AE193" i="4"/>
  <c r="AH23" i="4"/>
  <c r="AH24" i="4"/>
  <c r="AG58" i="4"/>
  <c r="Z195" i="4"/>
  <c r="L217" i="4"/>
  <c r="AG13" i="4"/>
  <c r="L225" i="4"/>
  <c r="L223" i="4"/>
  <c r="AH45" i="4"/>
  <c r="E57" i="28"/>
  <c r="AG185" i="4"/>
  <c r="AG22" i="4"/>
  <c r="AH51" i="4"/>
  <c r="AG43" i="4"/>
  <c r="AH52" i="4"/>
  <c r="Y207" i="4"/>
  <c r="Z201" i="4"/>
  <c r="Z199" i="4"/>
  <c r="Z193" i="4"/>
  <c r="Z211" i="4"/>
  <c r="AG54" i="4"/>
  <c r="AD50" i="4"/>
  <c r="N43" i="28" s="1"/>
  <c r="H181" i="28"/>
  <c r="AD189" i="4"/>
  <c r="N179" i="28" s="1"/>
  <c r="E160" i="28"/>
  <c r="E51" i="28"/>
  <c r="F181" i="28"/>
  <c r="E35" i="28"/>
  <c r="AI23" i="4"/>
  <c r="AK23" i="4" s="1"/>
  <c r="AG30" i="4"/>
  <c r="E104" i="28"/>
  <c r="AG50" i="4"/>
  <c r="I56" i="28"/>
  <c r="O223" i="4"/>
  <c r="E159" i="28"/>
  <c r="L66" i="28"/>
  <c r="AG25" i="4"/>
  <c r="AG27" i="4"/>
  <c r="AI55" i="4"/>
  <c r="AK55" i="4" s="1"/>
  <c r="E112" i="28"/>
  <c r="AG34" i="4"/>
  <c r="Z206" i="4"/>
  <c r="AD63" i="4"/>
  <c r="N55" i="28" s="1"/>
  <c r="AH26" i="4"/>
  <c r="AD184" i="4"/>
  <c r="AH184" i="4" s="1"/>
  <c r="AH42" i="4"/>
  <c r="E28" i="28"/>
  <c r="AD17" i="4"/>
  <c r="AD41" i="4"/>
  <c r="AI41" i="4" s="1"/>
  <c r="E167" i="28"/>
  <c r="AI28" i="4"/>
  <c r="AK28" i="4" s="1"/>
  <c r="Y198" i="4"/>
  <c r="AD72" i="4"/>
  <c r="AD27" i="4"/>
  <c r="AD47" i="4"/>
  <c r="E158" i="28"/>
  <c r="AH188" i="4"/>
  <c r="AI188" i="4"/>
  <c r="AK188" i="4" s="1"/>
  <c r="AG29" i="4"/>
  <c r="AG42" i="4"/>
  <c r="E149" i="28"/>
  <c r="AG53" i="4"/>
  <c r="AG49" i="4"/>
  <c r="AG188" i="4"/>
  <c r="AG41" i="4"/>
  <c r="Z191" i="4"/>
  <c r="AI25" i="4"/>
  <c r="E52" i="28"/>
  <c r="AD53" i="4"/>
  <c r="AH53" i="4" s="1"/>
  <c r="E143" i="28"/>
  <c r="I51" i="28"/>
  <c r="F98" i="28"/>
  <c r="AI14" i="4"/>
  <c r="AH30" i="4"/>
  <c r="H88" i="28"/>
  <c r="AH171" i="4"/>
  <c r="AH167" i="4"/>
  <c r="AI20" i="4"/>
  <c r="AK20" i="4" s="1"/>
  <c r="AD19" i="4"/>
  <c r="AH19" i="4" s="1"/>
  <c r="O217" i="4"/>
  <c r="AH61" i="4"/>
  <c r="AH186" i="4"/>
  <c r="AH20" i="4"/>
  <c r="AG32" i="4"/>
  <c r="AH175" i="4"/>
  <c r="AD16" i="4"/>
  <c r="AH16" i="4" s="1"/>
  <c r="AH169" i="4"/>
  <c r="AH165" i="4"/>
  <c r="AD66" i="4"/>
  <c r="AD38" i="4"/>
  <c r="N32" i="28" s="1"/>
  <c r="E174" i="28"/>
  <c r="AG19" i="4"/>
  <c r="AG66" i="4"/>
  <c r="E147" i="28"/>
  <c r="I43" i="28"/>
  <c r="E151" i="28"/>
  <c r="AH25" i="4"/>
  <c r="AG36" i="4"/>
  <c r="AH43" i="4"/>
  <c r="AG16" i="4"/>
  <c r="F76" i="28"/>
  <c r="F115" i="28"/>
  <c r="AG28" i="4"/>
  <c r="AG37" i="4"/>
  <c r="AG38" i="4"/>
  <c r="I52" i="28"/>
  <c r="AG171" i="4"/>
  <c r="AH162" i="4"/>
  <c r="AH64" i="4"/>
  <c r="F34" i="28"/>
  <c r="E32" i="28"/>
  <c r="E175" i="28"/>
  <c r="E45" i="28"/>
  <c r="AG45" i="4"/>
  <c r="E33" i="28"/>
  <c r="AI35" i="4"/>
  <c r="AI30" i="4"/>
  <c r="AK30" i="4" s="1"/>
  <c r="AI43" i="4"/>
  <c r="AK43" i="4" s="1"/>
  <c r="AI13" i="4"/>
  <c r="AI45" i="4"/>
  <c r="AK45" i="4" s="1"/>
  <c r="H87" i="28"/>
  <c r="AI15" i="4"/>
  <c r="AK15" i="4" s="1"/>
  <c r="E169" i="28"/>
  <c r="E27" i="28"/>
  <c r="E43" i="28"/>
  <c r="E179" i="28"/>
  <c r="AH28" i="4"/>
  <c r="AI26" i="4"/>
  <c r="AK26" i="4" s="1"/>
  <c r="AH22" i="4"/>
  <c r="AI186" i="4"/>
  <c r="AK186" i="4" s="1"/>
  <c r="AD46" i="4"/>
  <c r="AI46" i="4" s="1"/>
  <c r="AK46" i="4" s="1"/>
  <c r="E46" i="28"/>
  <c r="G46" i="28" s="1"/>
  <c r="E6" i="28"/>
  <c r="AI32" i="4"/>
  <c r="AK32" i="4" s="1"/>
  <c r="AG26" i="4"/>
  <c r="AH13" i="4"/>
  <c r="F179" i="28"/>
  <c r="F169" i="28"/>
  <c r="E31" i="28"/>
  <c r="AI22" i="4"/>
  <c r="AK22" i="4" s="1"/>
  <c r="E137" i="28"/>
  <c r="AB192" i="4"/>
  <c r="H142" i="28"/>
  <c r="AG46" i="4"/>
  <c r="AH14" i="4"/>
  <c r="AI187" i="4"/>
  <c r="AK187" i="4" s="1"/>
  <c r="AG186" i="4"/>
  <c r="AG18" i="4"/>
  <c r="AH18" i="4"/>
  <c r="AH15" i="4"/>
  <c r="AG189" i="4"/>
  <c r="AG14" i="4"/>
  <c r="AD182" i="4"/>
  <c r="E163" i="28"/>
  <c r="AG35" i="4"/>
  <c r="F159" i="28"/>
  <c r="AH32" i="4"/>
  <c r="AI18" i="4"/>
  <c r="AH187" i="4"/>
  <c r="E44" i="28"/>
  <c r="AG12" i="4"/>
  <c r="AG57" i="4"/>
  <c r="H60" i="28"/>
  <c r="H72" i="28"/>
  <c r="AH35" i="4"/>
  <c r="AI36" i="4"/>
  <c r="AK36" i="4" s="1"/>
  <c r="AG59" i="4"/>
  <c r="AG20" i="4"/>
  <c r="AI42" i="4"/>
  <c r="AK42" i="4" s="1"/>
  <c r="AG187" i="4"/>
  <c r="AG15" i="4"/>
  <c r="E168" i="28"/>
  <c r="Z212" i="4"/>
  <c r="Z200" i="4"/>
  <c r="Y191" i="4"/>
  <c r="Z196" i="4"/>
  <c r="Z209" i="4"/>
  <c r="Z192" i="4"/>
  <c r="Z190" i="4"/>
  <c r="Z202" i="4"/>
  <c r="Z213" i="4"/>
  <c r="O243" i="4"/>
  <c r="AE199" i="4"/>
  <c r="AF190" i="4"/>
  <c r="L6" i="28" s="1"/>
  <c r="E177" i="28"/>
  <c r="AF209" i="4"/>
  <c r="L25" i="28" s="1"/>
  <c r="L60" i="28"/>
  <c r="I160" i="28"/>
  <c r="AH166" i="4"/>
  <c r="Z203" i="4"/>
  <c r="M219" i="4"/>
  <c r="AF192" i="4"/>
  <c r="L8" i="28" s="1"/>
  <c r="I149" i="28"/>
  <c r="L70" i="28"/>
  <c r="F102" i="28"/>
  <c r="AB193" i="4"/>
  <c r="F9" i="28" s="1"/>
  <c r="V10" i="4"/>
  <c r="F175" i="28"/>
  <c r="Z208" i="4"/>
  <c r="AG112" i="4"/>
  <c r="Z197" i="4"/>
  <c r="I174" i="28"/>
  <c r="M174" i="28" s="1"/>
  <c r="AG159" i="4"/>
  <c r="AF191" i="4"/>
  <c r="L7" i="28" s="1"/>
  <c r="O238" i="4"/>
  <c r="AI178" i="4"/>
  <c r="AG107" i="4"/>
  <c r="AI168" i="4"/>
  <c r="E106" i="28"/>
  <c r="E150" i="28"/>
  <c r="AG155" i="4"/>
  <c r="I147" i="28"/>
  <c r="F140" i="28"/>
  <c r="I102" i="28"/>
  <c r="I161" i="28"/>
  <c r="O221" i="4"/>
  <c r="O219" i="4"/>
  <c r="L83" i="28"/>
  <c r="AG150" i="4"/>
  <c r="AF210" i="4"/>
  <c r="L26" i="28" s="1"/>
  <c r="Z204" i="4"/>
  <c r="L92" i="28"/>
  <c r="AF194" i="4"/>
  <c r="L10" i="28" s="1"/>
  <c r="AE198" i="4"/>
  <c r="I175" i="28"/>
  <c r="M37" i="28"/>
  <c r="AE194" i="4"/>
  <c r="I10" i="28" s="1"/>
  <c r="AF207" i="4"/>
  <c r="O231" i="4"/>
  <c r="E152" i="28"/>
  <c r="E129" i="28"/>
  <c r="F106" i="28"/>
  <c r="AG142" i="4"/>
  <c r="L241" i="4"/>
  <c r="AD112" i="4"/>
  <c r="AG114" i="4"/>
  <c r="AH107" i="4"/>
  <c r="L230" i="4"/>
  <c r="AI153" i="4"/>
  <c r="AK153" i="4" s="1"/>
  <c r="AI64" i="4"/>
  <c r="AK64" i="4" s="1"/>
  <c r="AH153" i="4"/>
  <c r="E132" i="28"/>
  <c r="AD151" i="4"/>
  <c r="AD62" i="4"/>
  <c r="L219" i="4"/>
  <c r="AI158" i="4"/>
  <c r="AH96" i="4"/>
  <c r="O232" i="4"/>
  <c r="AG62" i="4"/>
  <c r="AE208" i="4"/>
  <c r="AE197" i="4"/>
  <c r="I13" i="28" s="1"/>
  <c r="L69" i="28"/>
  <c r="L65" i="28"/>
  <c r="E93" i="28"/>
  <c r="E170" i="28"/>
  <c r="I163" i="28"/>
  <c r="E65" i="28"/>
  <c r="AD114" i="4"/>
  <c r="AH97" i="4"/>
  <c r="E171" i="28"/>
  <c r="AD54" i="4"/>
  <c r="AH158" i="4"/>
  <c r="AF200" i="4"/>
  <c r="AF212" i="4"/>
  <c r="L28" i="28" s="1"/>
  <c r="L71" i="28"/>
  <c r="E108" i="28"/>
  <c r="H108" i="28"/>
  <c r="AD138" i="4"/>
  <c r="E113" i="28"/>
  <c r="AI167" i="4"/>
  <c r="AK167" i="4" s="1"/>
  <c r="I65" i="28"/>
  <c r="I151" i="28"/>
  <c r="L82" i="28"/>
  <c r="L240" i="4"/>
  <c r="AD135" i="4"/>
  <c r="E164" i="28"/>
  <c r="AE206" i="4"/>
  <c r="I22" i="28" s="1"/>
  <c r="O242" i="4"/>
  <c r="AD157" i="4"/>
  <c r="E142" i="28"/>
  <c r="AD131" i="4"/>
  <c r="E16" i="28"/>
  <c r="E127" i="28"/>
  <c r="AD147" i="4"/>
  <c r="AH147" i="4" s="1"/>
  <c r="E144" i="28"/>
  <c r="AD159" i="4"/>
  <c r="AD155" i="4"/>
  <c r="E140" i="28"/>
  <c r="AD130" i="4"/>
  <c r="E145" i="28"/>
  <c r="AD160" i="4"/>
  <c r="AH160" i="4" s="1"/>
  <c r="AD183" i="4"/>
  <c r="N177" i="28" s="1"/>
  <c r="AG183" i="4"/>
  <c r="AG182" i="4"/>
  <c r="F151" i="28"/>
  <c r="AG167" i="4"/>
  <c r="I145" i="28"/>
  <c r="AD150" i="4"/>
  <c r="E131" i="28"/>
  <c r="AD75" i="4"/>
  <c r="E71" i="28"/>
  <c r="AG177" i="4"/>
  <c r="E157" i="28"/>
  <c r="AD177" i="4"/>
  <c r="AG158" i="4"/>
  <c r="AD152" i="4"/>
  <c r="AI152" i="4" s="1"/>
  <c r="AK152" i="4" s="1"/>
  <c r="E128" i="28"/>
  <c r="AG145" i="4"/>
  <c r="E122" i="28"/>
  <c r="AD143" i="4"/>
  <c r="AI143" i="4" s="1"/>
  <c r="AD141" i="4"/>
  <c r="E120" i="28"/>
  <c r="AG141" i="4"/>
  <c r="L246" i="4"/>
  <c r="AA192" i="4"/>
  <c r="E8" i="28" s="1"/>
  <c r="E172" i="28"/>
  <c r="AD129" i="4"/>
  <c r="AI129" i="4" s="1"/>
  <c r="AD123" i="4"/>
  <c r="F110" i="28"/>
  <c r="M236" i="4"/>
  <c r="AB210" i="4"/>
  <c r="E63" i="28"/>
  <c r="AD92" i="4"/>
  <c r="I117" i="28"/>
  <c r="E148" i="28"/>
  <c r="AD164" i="4"/>
  <c r="AH164" i="4" s="1"/>
  <c r="F125" i="28"/>
  <c r="AG180" i="4"/>
  <c r="AG184" i="4"/>
  <c r="F162" i="28"/>
  <c r="AG181" i="4"/>
  <c r="AD173" i="4"/>
  <c r="AH173" i="4" s="1"/>
  <c r="AG173" i="4"/>
  <c r="F153" i="28"/>
  <c r="AG170" i="4"/>
  <c r="AI166" i="4"/>
  <c r="AG166" i="4"/>
  <c r="AI162" i="4"/>
  <c r="AK162" i="4" s="1"/>
  <c r="F147" i="28"/>
  <c r="AG162" i="4"/>
  <c r="I130" i="28"/>
  <c r="AD146" i="4"/>
  <c r="AG146" i="4"/>
  <c r="E126" i="28"/>
  <c r="AD139" i="4"/>
  <c r="AI139" i="4" s="1"/>
  <c r="E173" i="28"/>
  <c r="AG135" i="4"/>
  <c r="F164" i="28"/>
  <c r="F8" i="28"/>
  <c r="AG130" i="4"/>
  <c r="AF193" i="4"/>
  <c r="L9" i="28" s="1"/>
  <c r="E99" i="28"/>
  <c r="AD101" i="4"/>
  <c r="F161" i="28"/>
  <c r="AG179" i="4"/>
  <c r="AH168" i="4"/>
  <c r="I152" i="28"/>
  <c r="F142" i="28"/>
  <c r="AG157" i="4"/>
  <c r="AH148" i="4"/>
  <c r="AH140" i="4"/>
  <c r="AD137" i="4"/>
  <c r="AG137" i="4"/>
  <c r="E117" i="28"/>
  <c r="AD128" i="4"/>
  <c r="AI128" i="4" s="1"/>
  <c r="AA206" i="4"/>
  <c r="L242" i="4"/>
  <c r="AD119" i="4"/>
  <c r="AD76" i="4"/>
  <c r="E77" i="28"/>
  <c r="O247" i="4"/>
  <c r="AE205" i="4"/>
  <c r="I21" i="28" s="1"/>
  <c r="AI107" i="4"/>
  <c r="F123" i="28"/>
  <c r="AG144" i="4"/>
  <c r="F177" i="28"/>
  <c r="AG175" i="4"/>
  <c r="AI175" i="4"/>
  <c r="E162" i="28"/>
  <c r="AD181" i="4"/>
  <c r="L126" i="28"/>
  <c r="AG169" i="4"/>
  <c r="F174" i="28"/>
  <c r="AI169" i="4"/>
  <c r="AI165" i="4"/>
  <c r="AK165" i="4" s="1"/>
  <c r="AG165" i="4"/>
  <c r="F149" i="28"/>
  <c r="F132" i="28"/>
  <c r="AG151" i="4"/>
  <c r="I113" i="28"/>
  <c r="AD125" i="4"/>
  <c r="I25" i="28"/>
  <c r="AE192" i="4"/>
  <c r="O246" i="4"/>
  <c r="E68" i="28"/>
  <c r="AD73" i="4"/>
  <c r="AG178" i="4"/>
  <c r="F160" i="28"/>
  <c r="AG160" i="4"/>
  <c r="AG153" i="4"/>
  <c r="AD144" i="4"/>
  <c r="E123" i="28"/>
  <c r="E121" i="28"/>
  <c r="AD142" i="4"/>
  <c r="AI142" i="4" s="1"/>
  <c r="AF211" i="4"/>
  <c r="L27" i="28" s="1"/>
  <c r="AA205" i="4"/>
  <c r="E21" i="28" s="1"/>
  <c r="E22" i="28"/>
  <c r="AD127" i="4"/>
  <c r="AI127" i="4" s="1"/>
  <c r="L247" i="4"/>
  <c r="AD113" i="4"/>
  <c r="AH113" i="4" s="1"/>
  <c r="AA191" i="4"/>
  <c r="E7" i="28" s="1"/>
  <c r="F121" i="28"/>
  <c r="AG148" i="4"/>
  <c r="AI148" i="4"/>
  <c r="E138" i="28"/>
  <c r="AI171" i="4"/>
  <c r="AD105" i="4"/>
  <c r="AI105" i="4" s="1"/>
  <c r="E103" i="28"/>
  <c r="L220" i="4"/>
  <c r="F173" i="28"/>
  <c r="AG139" i="4"/>
  <c r="AD145" i="4"/>
  <c r="N137" i="28" s="1"/>
  <c r="E124" i="28"/>
  <c r="AG152" i="4"/>
  <c r="E153" i="28"/>
  <c r="AD170" i="4"/>
  <c r="E156" i="28"/>
  <c r="AD176" i="4"/>
  <c r="AI176" i="4" s="1"/>
  <c r="F137" i="28"/>
  <c r="AI185" i="4"/>
  <c r="AK185" i="4" s="1"/>
  <c r="AD180" i="4"/>
  <c r="E125" i="28"/>
  <c r="AG176" i="4"/>
  <c r="F156" i="28"/>
  <c r="E176" i="28"/>
  <c r="AD174" i="4"/>
  <c r="AG174" i="4"/>
  <c r="E154" i="28"/>
  <c r="AD172" i="4"/>
  <c r="AG172" i="4"/>
  <c r="AG168" i="4"/>
  <c r="F148" i="28"/>
  <c r="AG164" i="4"/>
  <c r="AD161" i="4"/>
  <c r="AI161" i="4" s="1"/>
  <c r="AK161" i="4" s="1"/>
  <c r="AG161" i="4"/>
  <c r="AD154" i="4"/>
  <c r="AG154" i="4"/>
  <c r="F127" i="28"/>
  <c r="AG147" i="4"/>
  <c r="AG140" i="4"/>
  <c r="AI140" i="4"/>
  <c r="F119" i="28"/>
  <c r="M245" i="4"/>
  <c r="AB211" i="4"/>
  <c r="F27" i="28" s="1"/>
  <c r="AD69" i="4"/>
  <c r="E74" i="28"/>
  <c r="AG163" i="4"/>
  <c r="AD163" i="4"/>
  <c r="AI163" i="4" s="1"/>
  <c r="E141" i="28"/>
  <c r="AD156" i="4"/>
  <c r="AI156" i="4" s="1"/>
  <c r="AK156" i="4" s="1"/>
  <c r="AG156" i="4"/>
  <c r="L129" i="28"/>
  <c r="AG149" i="4"/>
  <c r="AG138" i="4"/>
  <c r="F113" i="28"/>
  <c r="AD136" i="4"/>
  <c r="AI136" i="4" s="1"/>
  <c r="AK136" i="4" s="1"/>
  <c r="E116" i="28"/>
  <c r="F16" i="28"/>
  <c r="AG131" i="4"/>
  <c r="M238" i="4"/>
  <c r="AB209" i="4"/>
  <c r="AD77" i="4"/>
  <c r="AH77" i="4" s="1"/>
  <c r="AA201" i="4"/>
  <c r="E17" i="28" s="1"/>
  <c r="L244" i="4"/>
  <c r="AG136" i="4"/>
  <c r="AD149" i="4"/>
  <c r="E130" i="28"/>
  <c r="AA190" i="4"/>
  <c r="AG143" i="4"/>
  <c r="I119" i="28"/>
  <c r="AD60" i="4"/>
  <c r="AI60" i="4" s="1"/>
  <c r="E72" i="28"/>
  <c r="M237" i="4"/>
  <c r="F75" i="28"/>
  <c r="AB196" i="4"/>
  <c r="AD99" i="4"/>
  <c r="E96" i="28"/>
  <c r="AD134" i="4"/>
  <c r="AI134" i="4" s="1"/>
  <c r="AA212" i="4"/>
  <c r="L234" i="4"/>
  <c r="AG134" i="4"/>
  <c r="I14" i="28"/>
  <c r="O237" i="4"/>
  <c r="AE196" i="4"/>
  <c r="I12" i="28" s="1"/>
  <c r="AH126" i="4"/>
  <c r="I77" i="28"/>
  <c r="AD81" i="4"/>
  <c r="E83" i="28"/>
  <c r="E89" i="28"/>
  <c r="AD87" i="4"/>
  <c r="E94" i="28"/>
  <c r="AD94" i="4"/>
  <c r="AD115" i="4"/>
  <c r="AI115" i="4" s="1"/>
  <c r="AA193" i="4"/>
  <c r="E9" i="28" s="1"/>
  <c r="L251" i="4"/>
  <c r="AG119" i="4"/>
  <c r="F10" i="28"/>
  <c r="I67" i="28"/>
  <c r="O251" i="4"/>
  <c r="L22" i="28"/>
  <c r="AF205" i="4"/>
  <c r="L21" i="28" s="1"/>
  <c r="I61" i="28"/>
  <c r="AE203" i="4"/>
  <c r="I79" i="28"/>
  <c r="O239" i="4"/>
  <c r="I30" i="28"/>
  <c r="AF206" i="4"/>
  <c r="AD132" i="4"/>
  <c r="AG132" i="4"/>
  <c r="E12" i="28"/>
  <c r="F53" i="28"/>
  <c r="I68" i="28"/>
  <c r="AD120" i="4"/>
  <c r="AH120" i="4" s="1"/>
  <c r="AA198" i="4"/>
  <c r="AG120" i="4"/>
  <c r="E24" i="28"/>
  <c r="L248" i="4"/>
  <c r="AD124" i="4"/>
  <c r="E30" i="28"/>
  <c r="F20" i="28"/>
  <c r="AG128" i="4"/>
  <c r="M242" i="4"/>
  <c r="AB206" i="4"/>
  <c r="AE202" i="4"/>
  <c r="O249" i="4"/>
  <c r="AB199" i="4"/>
  <c r="M243" i="4"/>
  <c r="F172" i="28"/>
  <c r="AG129" i="4"/>
  <c r="AE211" i="4"/>
  <c r="I27" i="28" s="1"/>
  <c r="O245" i="4"/>
  <c r="AD86" i="4"/>
  <c r="E88" i="28"/>
  <c r="AD103" i="4"/>
  <c r="AI103" i="4" s="1"/>
  <c r="E101" i="28"/>
  <c r="H71" i="28"/>
  <c r="AG70" i="4"/>
  <c r="AD82" i="4"/>
  <c r="AI82" i="4" s="1"/>
  <c r="E84" i="28"/>
  <c r="AG82" i="4"/>
  <c r="E86" i="28"/>
  <c r="AG84" i="4"/>
  <c r="AD84" i="4"/>
  <c r="AI84" i="4" s="1"/>
  <c r="AG89" i="4"/>
  <c r="AI89" i="4"/>
  <c r="M234" i="4"/>
  <c r="AB212" i="4"/>
  <c r="F93" i="28"/>
  <c r="AG93" i="4"/>
  <c r="E75" i="28"/>
  <c r="L237" i="4"/>
  <c r="AD93" i="4"/>
  <c r="AA196" i="4"/>
  <c r="AG99" i="4"/>
  <c r="F96" i="28"/>
  <c r="AD106" i="4"/>
  <c r="AI106" i="4" s="1"/>
  <c r="AG106" i="4"/>
  <c r="AH109" i="4"/>
  <c r="I108" i="28"/>
  <c r="L250" i="4"/>
  <c r="AD117" i="4"/>
  <c r="AI117" i="4" s="1"/>
  <c r="AG117" i="4"/>
  <c r="AA195" i="4"/>
  <c r="E11" i="28" s="1"/>
  <c r="AG122" i="4"/>
  <c r="AD122" i="4"/>
  <c r="AI122" i="4" s="1"/>
  <c r="AG125" i="4"/>
  <c r="M239" i="4"/>
  <c r="AB203" i="4"/>
  <c r="F19" i="28" s="1"/>
  <c r="I172" i="28"/>
  <c r="AG133" i="4"/>
  <c r="L245" i="4"/>
  <c r="AD133" i="4"/>
  <c r="AA211" i="4"/>
  <c r="AE191" i="4"/>
  <c r="I7" i="28" s="1"/>
  <c r="I53" i="28"/>
  <c r="O240" i="4"/>
  <c r="L74" i="28"/>
  <c r="AF195" i="4"/>
  <c r="L11" i="28" s="1"/>
  <c r="M244" i="4"/>
  <c r="F78" i="28"/>
  <c r="AB201" i="4"/>
  <c r="F17" i="28" s="1"/>
  <c r="AG77" i="4"/>
  <c r="F88" i="28"/>
  <c r="AG86" i="4"/>
  <c r="AD90" i="4"/>
  <c r="AI90" i="4" s="1"/>
  <c r="E62" i="28"/>
  <c r="AG90" i="4"/>
  <c r="AG92" i="4"/>
  <c r="F63" i="28"/>
  <c r="I96" i="28"/>
  <c r="M220" i="4"/>
  <c r="F103" i="28"/>
  <c r="AG105" i="4"/>
  <c r="I18" i="28"/>
  <c r="O241" i="4"/>
  <c r="AE190" i="4"/>
  <c r="I6" i="28" s="1"/>
  <c r="O225" i="4"/>
  <c r="I66" i="28"/>
  <c r="O235" i="4"/>
  <c r="AE207" i="4"/>
  <c r="I23" i="28" s="1"/>
  <c r="AD79" i="4"/>
  <c r="E81" i="28"/>
  <c r="AF196" i="4"/>
  <c r="L12" i="28" s="1"/>
  <c r="L75" i="28"/>
  <c r="AG103" i="4"/>
  <c r="AD110" i="4"/>
  <c r="AG110" i="4"/>
  <c r="AB190" i="4"/>
  <c r="F6" i="28" s="1"/>
  <c r="M241" i="4"/>
  <c r="F26" i="28"/>
  <c r="AG115" i="4"/>
  <c r="M251" i="4"/>
  <c r="I24" i="28"/>
  <c r="O248" i="4"/>
  <c r="AG126" i="4"/>
  <c r="AI126" i="4"/>
  <c r="AK126" i="4" s="1"/>
  <c r="I8" i="28"/>
  <c r="E70" i="28"/>
  <c r="AD74" i="4"/>
  <c r="AH74" i="4" s="1"/>
  <c r="AG74" i="4"/>
  <c r="I81" i="28"/>
  <c r="AB207" i="4"/>
  <c r="F23" i="28" s="1"/>
  <c r="AG87" i="4"/>
  <c r="F89" i="28"/>
  <c r="M235" i="4"/>
  <c r="F170" i="28"/>
  <c r="AG96" i="4"/>
  <c r="AI96" i="4"/>
  <c r="AD100" i="4"/>
  <c r="AI100" i="4" s="1"/>
  <c r="AG100" i="4"/>
  <c r="AG109" i="4"/>
  <c r="AI109" i="4"/>
  <c r="I15" i="28"/>
  <c r="I76" i="28"/>
  <c r="F167" i="28"/>
  <c r="F166" i="28"/>
  <c r="M248" i="4"/>
  <c r="AG76" i="4"/>
  <c r="AB198" i="4"/>
  <c r="F14" i="28" s="1"/>
  <c r="AD83" i="4"/>
  <c r="AI83" i="4" s="1"/>
  <c r="E85" i="28"/>
  <c r="AG83" i="4"/>
  <c r="AD85" i="4"/>
  <c r="AI85" i="4" s="1"/>
  <c r="AG85" i="4"/>
  <c r="AD88" i="4"/>
  <c r="AA209" i="4"/>
  <c r="AG88" i="4"/>
  <c r="L238" i="4"/>
  <c r="F94" i="28"/>
  <c r="AG94" i="4"/>
  <c r="AD98" i="4"/>
  <c r="E95" i="28"/>
  <c r="AG98" i="4"/>
  <c r="F15" i="28"/>
  <c r="M240" i="4"/>
  <c r="AB191" i="4"/>
  <c r="AG113" i="4"/>
  <c r="AD116" i="4"/>
  <c r="AG116" i="4"/>
  <c r="AD118" i="4"/>
  <c r="AI118" i="4" s="1"/>
  <c r="AG118" i="4"/>
  <c r="E14" i="28"/>
  <c r="AA199" i="4"/>
  <c r="E15" i="28" s="1"/>
  <c r="AD121" i="4"/>
  <c r="AI121" i="4" s="1"/>
  <c r="L243" i="4"/>
  <c r="AG121" i="4"/>
  <c r="AG123" i="4"/>
  <c r="AG127" i="4"/>
  <c r="M247" i="4"/>
  <c r="AB205" i="4"/>
  <c r="F21" i="28" s="1"/>
  <c r="F22" i="28"/>
  <c r="I16" i="28"/>
  <c r="AE209" i="4"/>
  <c r="AG71" i="4"/>
  <c r="L235" i="4"/>
  <c r="E66" i="28"/>
  <c r="AA207" i="4"/>
  <c r="E23" i="28" s="1"/>
  <c r="AD71" i="4"/>
  <c r="AI71" i="4" s="1"/>
  <c r="AG75" i="4"/>
  <c r="F71" i="28"/>
  <c r="AD91" i="4"/>
  <c r="AA203" i="4"/>
  <c r="E19" i="28" s="1"/>
  <c r="E79" i="28"/>
  <c r="L239" i="4"/>
  <c r="AG91" i="4"/>
  <c r="F65" i="28"/>
  <c r="AI97" i="4"/>
  <c r="AK97" i="4" s="1"/>
  <c r="AG97" i="4"/>
  <c r="AG104" i="4"/>
  <c r="AD104" i="4"/>
  <c r="AI104" i="4" s="1"/>
  <c r="AK104" i="4" s="1"/>
  <c r="E102" i="28"/>
  <c r="L222" i="4"/>
  <c r="F77" i="28"/>
  <c r="AG63" i="4"/>
  <c r="AG69" i="4"/>
  <c r="M250" i="4"/>
  <c r="AB195" i="4"/>
  <c r="F11" i="28" s="1"/>
  <c r="AG73" i="4"/>
  <c r="AF201" i="4"/>
  <c r="L17" i="28" s="1"/>
  <c r="L78" i="28"/>
  <c r="I63" i="28"/>
  <c r="AD102" i="4"/>
  <c r="AI102" i="4" s="1"/>
  <c r="E100" i="28"/>
  <c r="AG102" i="4"/>
  <c r="O220" i="4"/>
  <c r="I103" i="28"/>
  <c r="AD111" i="4"/>
  <c r="AI111" i="4" s="1"/>
  <c r="E110" i="28"/>
  <c r="AG111" i="4"/>
  <c r="L236" i="4"/>
  <c r="AA210" i="4"/>
  <c r="E26" i="28" s="1"/>
  <c r="F25" i="28"/>
  <c r="M246" i="4"/>
  <c r="AF199" i="4"/>
  <c r="L19" i="28"/>
  <c r="F30" i="28"/>
  <c r="AG124" i="4"/>
  <c r="AB202" i="4"/>
  <c r="F18" i="28" s="1"/>
  <c r="M249" i="4"/>
  <c r="AE210" i="4"/>
  <c r="I26" i="28" s="1"/>
  <c r="O236" i="4"/>
  <c r="AD68" i="4"/>
  <c r="E60" i="28"/>
  <c r="F67" i="28"/>
  <c r="AG72" i="4"/>
  <c r="L77" i="28"/>
  <c r="AF198" i="4"/>
  <c r="L14" i="28" s="1"/>
  <c r="AG81" i="4"/>
  <c r="F83" i="28"/>
  <c r="AE212" i="4"/>
  <c r="I28" i="28" s="1"/>
  <c r="O234" i="4"/>
  <c r="AH89" i="4"/>
  <c r="L80" i="28"/>
  <c r="L79" i="28"/>
  <c r="AF203" i="4"/>
  <c r="AG95" i="4"/>
  <c r="AD95" i="4"/>
  <c r="F99" i="28"/>
  <c r="M225" i="4"/>
  <c r="AG101" i="4"/>
  <c r="AD108" i="4"/>
  <c r="AI108" i="4" s="1"/>
  <c r="AG108" i="4"/>
  <c r="AI65" i="4"/>
  <c r="H78" i="28"/>
  <c r="H77" i="28"/>
  <c r="F82" i="28"/>
  <c r="AG79" i="4"/>
  <c r="F91" i="28"/>
  <c r="AA204" i="4"/>
  <c r="E20" i="28" s="1"/>
  <c r="AH34" i="4"/>
  <c r="AI34" i="4"/>
  <c r="M230" i="4"/>
  <c r="AG31" i="4"/>
  <c r="E114" i="28"/>
  <c r="H91" i="28"/>
  <c r="H90" i="28"/>
  <c r="O229" i="4"/>
  <c r="AE200" i="4"/>
  <c r="F72" i="28"/>
  <c r="AG60" i="4"/>
  <c r="F61" i="28"/>
  <c r="AG68" i="4"/>
  <c r="L59" i="28"/>
  <c r="E49" i="28"/>
  <c r="AD48" i="4"/>
  <c r="AI48" i="4" s="1"/>
  <c r="F92" i="28"/>
  <c r="M231" i="4"/>
  <c r="AG64" i="4"/>
  <c r="AB208" i="4"/>
  <c r="I75" i="28"/>
  <c r="AE195" i="4"/>
  <c r="O250" i="4"/>
  <c r="I74" i="28"/>
  <c r="I78" i="28"/>
  <c r="O244" i="4"/>
  <c r="AE201" i="4"/>
  <c r="I17" i="28" s="1"/>
  <c r="E82" i="28"/>
  <c r="AG80" i="4"/>
  <c r="AD80" i="4"/>
  <c r="AI80" i="4" s="1"/>
  <c r="I60" i="28"/>
  <c r="L232" i="4"/>
  <c r="H70" i="28"/>
  <c r="AB200" i="4"/>
  <c r="F55" i="28"/>
  <c r="H81" i="28"/>
  <c r="H80" i="28"/>
  <c r="AD33" i="4"/>
  <c r="E118" i="28"/>
  <c r="L91" i="28"/>
  <c r="AF208" i="4"/>
  <c r="F60" i="28"/>
  <c r="L218" i="4"/>
  <c r="E181" i="28"/>
  <c r="AA202" i="4"/>
  <c r="E18" i="28" s="1"/>
  <c r="AD78" i="4"/>
  <c r="AG78" i="4"/>
  <c r="L249" i="4"/>
  <c r="H59" i="28"/>
  <c r="AA194" i="4"/>
  <c r="E10" i="28" s="1"/>
  <c r="AD57" i="4"/>
  <c r="N51" i="28" s="1"/>
  <c r="E80" i="28"/>
  <c r="I59" i="28"/>
  <c r="I58" i="28"/>
  <c r="AG67" i="4"/>
  <c r="AD67" i="4"/>
  <c r="AI67" i="4" s="1"/>
  <c r="E59" i="28"/>
  <c r="H56" i="28"/>
  <c r="O233" i="4"/>
  <c r="AI59" i="4"/>
  <c r="AH59" i="4"/>
  <c r="AF202" i="4"/>
  <c r="L18" i="28" s="1"/>
  <c r="L181" i="28"/>
  <c r="H51" i="28"/>
  <c r="AB204" i="4"/>
  <c r="E5" i="27"/>
  <c r="D37" i="26" s="1"/>
  <c r="L229" i="4"/>
  <c r="AI29" i="4"/>
  <c r="AH29" i="4"/>
  <c r="AI44" i="4"/>
  <c r="AK44" i="4" s="1"/>
  <c r="AH44" i="4"/>
  <c r="AA213" i="4"/>
  <c r="F56" i="28"/>
  <c r="AG61" i="4"/>
  <c r="M229" i="4"/>
  <c r="AI61" i="4"/>
  <c r="AA200" i="4"/>
  <c r="AG33" i="4"/>
  <c r="E119" i="28"/>
  <c r="AD56" i="4"/>
  <c r="E91" i="28"/>
  <c r="L231" i="4"/>
  <c r="AG56" i="4"/>
  <c r="AI56" i="4"/>
  <c r="AA208" i="4"/>
  <c r="E39" i="28"/>
  <c r="AD39" i="4"/>
  <c r="N33" i="28" s="1"/>
  <c r="AG39" i="4"/>
  <c r="L224" i="4"/>
  <c r="I29" i="28"/>
  <c r="O224" i="4"/>
  <c r="AE10" i="4"/>
  <c r="AE213" i="4"/>
  <c r="AG52" i="4"/>
  <c r="AI52" i="4"/>
  <c r="AK52" i="4" s="1"/>
  <c r="E37" i="28"/>
  <c r="AG21" i="4"/>
  <c r="AD21" i="4"/>
  <c r="L221" i="4"/>
  <c r="I50" i="28"/>
  <c r="AH49" i="4"/>
  <c r="O230" i="4"/>
  <c r="AI49" i="4"/>
  <c r="AE204" i="4"/>
  <c r="I20" i="28" s="1"/>
  <c r="L36" i="28"/>
  <c r="AF213" i="4"/>
  <c r="AF10" i="4"/>
  <c r="I55" i="28"/>
  <c r="F52" i="28"/>
  <c r="AG51" i="4"/>
  <c r="M221" i="4"/>
  <c r="AI51" i="4"/>
  <c r="L50" i="28"/>
  <c r="AF204" i="4"/>
  <c r="L20" i="28" s="1"/>
  <c r="L58" i="28"/>
  <c r="AF197" i="4"/>
  <c r="L13" i="28" s="1"/>
  <c r="F57" i="28"/>
  <c r="AB197" i="4"/>
  <c r="F13" i="28" s="1"/>
  <c r="M233" i="4"/>
  <c r="AG55" i="4"/>
  <c r="F48" i="28"/>
  <c r="AG47" i="4"/>
  <c r="F168" i="28"/>
  <c r="M223" i="4"/>
  <c r="AG17" i="4"/>
  <c r="AB213" i="4"/>
  <c r="AB10" i="4"/>
  <c r="F49" i="28"/>
  <c r="AG48" i="4"/>
  <c r="M232" i="4"/>
  <c r="AB194" i="4"/>
  <c r="AD31" i="4"/>
  <c r="AA197" i="4"/>
  <c r="E13" i="28" s="1"/>
  <c r="E115" i="28"/>
  <c r="L233" i="4"/>
  <c r="AA10" i="4"/>
  <c r="AG40" i="4"/>
  <c r="F40" i="28"/>
  <c r="M224" i="4"/>
  <c r="AI40" i="4"/>
  <c r="G171" i="28" l="1"/>
  <c r="M38" i="28"/>
  <c r="M95" i="28"/>
  <c r="M125" i="28"/>
  <c r="G42" i="28"/>
  <c r="N150" i="28"/>
  <c r="K150" i="28" s="1"/>
  <c r="B154" i="27" s="1"/>
  <c r="M49" i="28"/>
  <c r="N170" i="28"/>
  <c r="K170" i="28" s="1"/>
  <c r="B174" i="27" s="1"/>
  <c r="J47" i="28"/>
  <c r="J88" i="28"/>
  <c r="M180" i="28"/>
  <c r="N40" i="28"/>
  <c r="K40" i="28" s="1"/>
  <c r="B44" i="27" s="1"/>
  <c r="M87" i="28"/>
  <c r="M111" i="28"/>
  <c r="G130" i="28"/>
  <c r="M119" i="28"/>
  <c r="J99" i="28"/>
  <c r="M173" i="28"/>
  <c r="M54" i="28"/>
  <c r="M116" i="28"/>
  <c r="M72" i="28"/>
  <c r="M123" i="28"/>
  <c r="M120" i="28"/>
  <c r="N149" i="28"/>
  <c r="K149" i="28" s="1"/>
  <c r="B153" i="27" s="1"/>
  <c r="N158" i="28"/>
  <c r="K158" i="28" s="1"/>
  <c r="B162" i="27" s="1"/>
  <c r="N44" i="28"/>
  <c r="J64" i="28"/>
  <c r="G109" i="28"/>
  <c r="N118" i="28"/>
  <c r="K118" i="28" s="1"/>
  <c r="B122" i="27" s="1"/>
  <c r="M56" i="28"/>
  <c r="N161" i="28"/>
  <c r="K161" i="28" s="1"/>
  <c r="B165" i="27" s="1"/>
  <c r="G101" i="28"/>
  <c r="N93" i="28"/>
  <c r="K93" i="28" s="1"/>
  <c r="B97" i="27" s="1"/>
  <c r="J167" i="28"/>
  <c r="M171" i="28"/>
  <c r="M99" i="28"/>
  <c r="G59" i="28"/>
  <c r="J156" i="28"/>
  <c r="J162" i="28"/>
  <c r="N147" i="28"/>
  <c r="K147" i="28" s="1"/>
  <c r="B151" i="27" s="1"/>
  <c r="M162" i="28"/>
  <c r="J107" i="28"/>
  <c r="M110" i="28"/>
  <c r="M167" i="28"/>
  <c r="M156" i="28"/>
  <c r="N136" i="28"/>
  <c r="K136" i="28" s="1"/>
  <c r="B140" i="27" s="1"/>
  <c r="G163" i="28"/>
  <c r="N169" i="28"/>
  <c r="K169" i="28" s="1"/>
  <c r="B173" i="27" s="1"/>
  <c r="N167" i="28"/>
  <c r="K167" i="28" s="1"/>
  <c r="B171" i="27" s="1"/>
  <c r="M88" i="28"/>
  <c r="M124" i="28"/>
  <c r="N132" i="28"/>
  <c r="K132" i="28" s="1"/>
  <c r="B136" i="27" s="1"/>
  <c r="N129" i="28"/>
  <c r="N106" i="28"/>
  <c r="K106" i="28" s="1"/>
  <c r="B110" i="27" s="1"/>
  <c r="J132" i="28"/>
  <c r="N104" i="28"/>
  <c r="K104" i="28" s="1"/>
  <c r="B108" i="27" s="1"/>
  <c r="M132" i="28"/>
  <c r="G107" i="28"/>
  <c r="M107" i="28"/>
  <c r="N108" i="28"/>
  <c r="K108" i="28" s="1"/>
  <c r="B112" i="27" s="1"/>
  <c r="N89" i="28"/>
  <c r="K89" i="28" s="1"/>
  <c r="B93" i="27" s="1"/>
  <c r="N65" i="28"/>
  <c r="K65" i="28" s="1"/>
  <c r="B69" i="27" s="1"/>
  <c r="N111" i="28"/>
  <c r="K111" i="28" s="1"/>
  <c r="B115" i="27" s="1"/>
  <c r="N163" i="28"/>
  <c r="K163" i="28" s="1"/>
  <c r="B167" i="27" s="1"/>
  <c r="J146" i="28"/>
  <c r="G146" i="28"/>
  <c r="G64" i="28"/>
  <c r="M170" i="28"/>
  <c r="G180" i="28"/>
  <c r="M163" i="28"/>
  <c r="J170" i="28"/>
  <c r="M85" i="28"/>
  <c r="N139" i="28"/>
  <c r="K139" i="28" s="1"/>
  <c r="B143" i="27" s="1"/>
  <c r="J36" i="28"/>
  <c r="K33" i="28"/>
  <c r="B37" i="27" s="1"/>
  <c r="M129" i="28"/>
  <c r="K129" i="28"/>
  <c r="B133" i="27" s="1"/>
  <c r="M33" i="28"/>
  <c r="G117" i="28"/>
  <c r="M139" i="28"/>
  <c r="G120" i="28"/>
  <c r="G155" i="28"/>
  <c r="G108" i="28"/>
  <c r="G176" i="28"/>
  <c r="G124" i="28"/>
  <c r="J121" i="28"/>
  <c r="G122" i="28"/>
  <c r="J129" i="28"/>
  <c r="K32" i="28"/>
  <c r="B36" i="27" s="1"/>
  <c r="J111" i="28"/>
  <c r="M126" i="28"/>
  <c r="G43" i="28"/>
  <c r="N45" i="28"/>
  <c r="K45" i="28" s="1"/>
  <c r="B49" i="27" s="1"/>
  <c r="G98" i="28"/>
  <c r="J133" i="28"/>
  <c r="M71" i="28"/>
  <c r="M68" i="28"/>
  <c r="M169" i="28"/>
  <c r="M168" i="28"/>
  <c r="M114" i="28"/>
  <c r="M135" i="28"/>
  <c r="M127" i="28"/>
  <c r="M157" i="28"/>
  <c r="M158" i="28"/>
  <c r="M73" i="28"/>
  <c r="M109" i="28"/>
  <c r="M101" i="28"/>
  <c r="M176" i="28"/>
  <c r="J123" i="28"/>
  <c r="J44" i="28"/>
  <c r="G158" i="28"/>
  <c r="G165" i="28"/>
  <c r="G73" i="28"/>
  <c r="J139" i="28"/>
  <c r="M131" i="28"/>
  <c r="M43" i="28"/>
  <c r="G74" i="28"/>
  <c r="M144" i="28"/>
  <c r="M93" i="28"/>
  <c r="M44" i="28"/>
  <c r="M118" i="28"/>
  <c r="K44" i="28"/>
  <c r="B48" i="27" s="1"/>
  <c r="G97" i="28"/>
  <c r="M177" i="28"/>
  <c r="M96" i="28"/>
  <c r="G51" i="28"/>
  <c r="G136" i="28"/>
  <c r="M138" i="28"/>
  <c r="J166" i="28"/>
  <c r="M154" i="28"/>
  <c r="J178" i="28"/>
  <c r="G38" i="28"/>
  <c r="M98" i="28"/>
  <c r="M115" i="28"/>
  <c r="M104" i="28"/>
  <c r="J106" i="28"/>
  <c r="G34" i="28"/>
  <c r="J38" i="28"/>
  <c r="J49" i="28"/>
  <c r="M134" i="28"/>
  <c r="M178" i="28"/>
  <c r="M122" i="28"/>
  <c r="M159" i="28"/>
  <c r="G157" i="28"/>
  <c r="G134" i="28"/>
  <c r="M179" i="28"/>
  <c r="J135" i="28"/>
  <c r="G56" i="28"/>
  <c r="J73" i="28"/>
  <c r="J116" i="28"/>
  <c r="G141" i="28"/>
  <c r="J138" i="28"/>
  <c r="G68" i="28"/>
  <c r="J71" i="28"/>
  <c r="J144" i="28"/>
  <c r="M82" i="28"/>
  <c r="J93" i="28"/>
  <c r="G32" i="28"/>
  <c r="G76" i="28"/>
  <c r="G104" i="28"/>
  <c r="M46" i="28"/>
  <c r="J114" i="28"/>
  <c r="J148" i="28"/>
  <c r="M102" i="28"/>
  <c r="G41" i="28"/>
  <c r="J159" i="28"/>
  <c r="M150" i="28"/>
  <c r="M148" i="28"/>
  <c r="M181" i="28"/>
  <c r="J100" i="28"/>
  <c r="J72" i="28"/>
  <c r="K137" i="28"/>
  <c r="B141" i="27" s="1"/>
  <c r="K179" i="28"/>
  <c r="B183" i="27" s="1"/>
  <c r="G135" i="28"/>
  <c r="N113" i="28"/>
  <c r="K113" i="28" s="1"/>
  <c r="B117" i="27" s="1"/>
  <c r="M42" i="28"/>
  <c r="J136" i="28"/>
  <c r="K159" i="28"/>
  <c r="B163" i="27" s="1"/>
  <c r="M147" i="28"/>
  <c r="J177" i="28"/>
  <c r="G31" i="28"/>
  <c r="G112" i="28"/>
  <c r="J57" i="28"/>
  <c r="G69" i="28"/>
  <c r="J69" i="28"/>
  <c r="J165" i="28"/>
  <c r="J134" i="28"/>
  <c r="J98" i="28"/>
  <c r="M121" i="28"/>
  <c r="M165" i="28"/>
  <c r="M32" i="28"/>
  <c r="M97" i="28"/>
  <c r="N152" i="28"/>
  <c r="K152" i="28" s="1"/>
  <c r="B156" i="27" s="1"/>
  <c r="G178" i="28"/>
  <c r="J97" i="28"/>
  <c r="G29" i="28"/>
  <c r="M106" i="28"/>
  <c r="N144" i="28"/>
  <c r="K144" i="28" s="1"/>
  <c r="B148" i="27" s="1"/>
  <c r="N112" i="28"/>
  <c r="K112" i="28" s="1"/>
  <c r="B116" i="27" s="1"/>
  <c r="N98" i="28"/>
  <c r="K98" i="28" s="1"/>
  <c r="B102" i="27" s="1"/>
  <c r="M164" i="28"/>
  <c r="N119" i="28"/>
  <c r="K119" i="28" s="1"/>
  <c r="B123" i="27" s="1"/>
  <c r="J94" i="28"/>
  <c r="J109" i="28"/>
  <c r="J168" i="28"/>
  <c r="N168" i="28"/>
  <c r="K168" i="28" s="1"/>
  <c r="B172" i="27" s="1"/>
  <c r="D42" i="28"/>
  <c r="E46" i="27" s="1"/>
  <c r="J40" i="28"/>
  <c r="M40" i="28"/>
  <c r="J118" i="28"/>
  <c r="G161" i="28"/>
  <c r="J173" i="28"/>
  <c r="N126" i="28"/>
  <c r="K126" i="28" s="1"/>
  <c r="B130" i="27" s="1"/>
  <c r="J127" i="28"/>
  <c r="N69" i="28"/>
  <c r="K69" i="28" s="1"/>
  <c r="B73" i="27" s="1"/>
  <c r="J179" i="28"/>
  <c r="J33" i="28"/>
  <c r="N166" i="28"/>
  <c r="K166" i="28" s="1"/>
  <c r="B170" i="27" s="1"/>
  <c r="G58" i="28"/>
  <c r="M57" i="28"/>
  <c r="M133" i="28"/>
  <c r="M35" i="28"/>
  <c r="K177" i="28"/>
  <c r="B181" i="27" s="1"/>
  <c r="G87" i="28"/>
  <c r="N143" i="28"/>
  <c r="K143" i="28" s="1"/>
  <c r="B147" i="27" s="1"/>
  <c r="M143" i="28"/>
  <c r="M166" i="28"/>
  <c r="M137" i="28"/>
  <c r="M105" i="28"/>
  <c r="G139" i="28"/>
  <c r="M62" i="28"/>
  <c r="M94" i="28"/>
  <c r="M39" i="28"/>
  <c r="J155" i="28"/>
  <c r="N165" i="28"/>
  <c r="K165" i="28" s="1"/>
  <c r="B169" i="27" s="1"/>
  <c r="N54" i="28"/>
  <c r="K54" i="28" s="1"/>
  <c r="B58" i="27" s="1"/>
  <c r="N151" i="28"/>
  <c r="K151" i="28" s="1"/>
  <c r="B155" i="27" s="1"/>
  <c r="N90" i="28"/>
  <c r="K90" i="28" s="1"/>
  <c r="B94" i="27" s="1"/>
  <c r="J80" i="28"/>
  <c r="M80" i="28"/>
  <c r="N96" i="28"/>
  <c r="K96" i="28" s="1"/>
  <c r="B100" i="27" s="1"/>
  <c r="N117" i="28"/>
  <c r="K117" i="28" s="1"/>
  <c r="B121" i="27" s="1"/>
  <c r="J105" i="28"/>
  <c r="J137" i="28"/>
  <c r="J45" i="28"/>
  <c r="N67" i="28"/>
  <c r="K67" i="28" s="1"/>
  <c r="B71" i="27" s="1"/>
  <c r="AH189" i="4"/>
  <c r="G48" i="28"/>
  <c r="M136" i="28"/>
  <c r="N114" i="28"/>
  <c r="K114" i="28" s="1"/>
  <c r="B118" i="27" s="1"/>
  <c r="J95" i="28"/>
  <c r="G166" i="28"/>
  <c r="G78" i="28"/>
  <c r="N130" i="28"/>
  <c r="K130" i="28" s="1"/>
  <c r="B134" i="27" s="1"/>
  <c r="J125" i="28"/>
  <c r="N131" i="28"/>
  <c r="K131" i="28" s="1"/>
  <c r="B135" i="27" s="1"/>
  <c r="N138" i="28"/>
  <c r="K138" i="28" s="1"/>
  <c r="B142" i="27" s="1"/>
  <c r="J164" i="28"/>
  <c r="D160" i="28"/>
  <c r="E164" i="27" s="1"/>
  <c r="K160" i="28"/>
  <c r="B164" i="27" s="1"/>
  <c r="N41" i="28"/>
  <c r="K41" i="28" s="1"/>
  <c r="B45" i="27" s="1"/>
  <c r="N35" i="28"/>
  <c r="K35" i="28" s="1"/>
  <c r="B39" i="27" s="1"/>
  <c r="J35" i="28"/>
  <c r="N61" i="28"/>
  <c r="K61" i="28" s="1"/>
  <c r="B65" i="27" s="1"/>
  <c r="M45" i="28"/>
  <c r="M142" i="28"/>
  <c r="N31" i="28"/>
  <c r="K31" i="28" s="1"/>
  <c r="B35" i="27" s="1"/>
  <c r="M48" i="28"/>
  <c r="N171" i="28"/>
  <c r="K171" i="28" s="1"/>
  <c r="B175" i="27" s="1"/>
  <c r="N217" i="4"/>
  <c r="N164" i="28"/>
  <c r="K164" i="28" s="1"/>
  <c r="B168" i="27" s="1"/>
  <c r="N76" i="28"/>
  <c r="K76" i="28" s="1"/>
  <c r="B80" i="27" s="1"/>
  <c r="G92" i="28"/>
  <c r="N124" i="28"/>
  <c r="K124" i="28" s="1"/>
  <c r="B128" i="27" s="1"/>
  <c r="N63" i="28"/>
  <c r="K63" i="28" s="1"/>
  <c r="B67" i="27" s="1"/>
  <c r="N120" i="28"/>
  <c r="K120" i="28" s="1"/>
  <c r="B124" i="27" s="1"/>
  <c r="G131" i="28"/>
  <c r="J169" i="28"/>
  <c r="N50" i="28"/>
  <c r="K50" i="28" s="1"/>
  <c r="B54" i="27" s="1"/>
  <c r="M155" i="28"/>
  <c r="J92" i="28"/>
  <c r="N174" i="28"/>
  <c r="K174" i="28" s="1"/>
  <c r="B178" i="27" s="1"/>
  <c r="G152" i="28"/>
  <c r="M86" i="28"/>
  <c r="G54" i="28"/>
  <c r="M128" i="28"/>
  <c r="M61" i="28"/>
  <c r="G145" i="28"/>
  <c r="G50" i="28"/>
  <c r="G133" i="28"/>
  <c r="J87" i="28"/>
  <c r="J180" i="28"/>
  <c r="M140" i="28"/>
  <c r="M89" i="28"/>
  <c r="G47" i="28"/>
  <c r="M64" i="28"/>
  <c r="J48" i="28"/>
  <c r="J142" i="28"/>
  <c r="G66" i="28"/>
  <c r="J89" i="28"/>
  <c r="G143" i="28"/>
  <c r="G90" i="28"/>
  <c r="M141" i="28"/>
  <c r="M92" i="28"/>
  <c r="M153" i="28"/>
  <c r="G24" i="28"/>
  <c r="M70" i="28"/>
  <c r="M31" i="28"/>
  <c r="M63" i="28"/>
  <c r="G70" i="28"/>
  <c r="J150" i="28"/>
  <c r="M90" i="28"/>
  <c r="M84" i="28"/>
  <c r="N60" i="28"/>
  <c r="K60" i="28" s="1"/>
  <c r="B64" i="27" s="1"/>
  <c r="J153" i="28"/>
  <c r="N142" i="28"/>
  <c r="K142" i="28" s="1"/>
  <c r="B146" i="27" s="1"/>
  <c r="K51" i="28"/>
  <c r="B55" i="27" s="1"/>
  <c r="N57" i="28"/>
  <c r="K57" i="28" s="1"/>
  <c r="B61" i="27" s="1"/>
  <c r="J90" i="28"/>
  <c r="G81" i="28"/>
  <c r="N94" i="28"/>
  <c r="K94" i="28" s="1"/>
  <c r="B98" i="27" s="1"/>
  <c r="J83" i="28"/>
  <c r="N68" i="28"/>
  <c r="K68" i="28" s="1"/>
  <c r="B72" i="27" s="1"/>
  <c r="N77" i="28"/>
  <c r="K77" i="28" s="1"/>
  <c r="B81" i="27" s="1"/>
  <c r="G128" i="28"/>
  <c r="N56" i="28"/>
  <c r="K56" i="28" s="1"/>
  <c r="B60" i="27" s="1"/>
  <c r="M69" i="28"/>
  <c r="M146" i="28"/>
  <c r="J54" i="28"/>
  <c r="N180" i="28"/>
  <c r="K180" i="28" s="1"/>
  <c r="B184" i="27" s="1"/>
  <c r="G67" i="28"/>
  <c r="N81" i="28"/>
  <c r="K81" i="28" s="1"/>
  <c r="B85" i="27" s="1"/>
  <c r="J86" i="28"/>
  <c r="N83" i="28"/>
  <c r="K83" i="28" s="1"/>
  <c r="B87" i="27" s="1"/>
  <c r="N74" i="28"/>
  <c r="K74" i="28" s="1"/>
  <c r="B78" i="27" s="1"/>
  <c r="J140" i="28"/>
  <c r="M83" i="28"/>
  <c r="N47" i="28"/>
  <c r="K47" i="28" s="1"/>
  <c r="B51" i="27" s="1"/>
  <c r="N58" i="28"/>
  <c r="K58" i="28" s="1"/>
  <c r="B62" i="27" s="1"/>
  <c r="N49" i="28"/>
  <c r="K49" i="28" s="1"/>
  <c r="B53" i="27" s="1"/>
  <c r="N71" i="28"/>
  <c r="K71" i="28" s="1"/>
  <c r="B75" i="27" s="1"/>
  <c r="M91" i="28"/>
  <c r="G61" i="28"/>
  <c r="N175" i="28"/>
  <c r="K175" i="28" s="1"/>
  <c r="B179" i="27" s="1"/>
  <c r="M9" i="28"/>
  <c r="M19" i="28"/>
  <c r="M27" i="28"/>
  <c r="J10" i="28"/>
  <c r="M10" i="28"/>
  <c r="G28" i="28"/>
  <c r="M11" i="28"/>
  <c r="M23" i="28"/>
  <c r="M28" i="28"/>
  <c r="M7" i="28"/>
  <c r="M6" i="28"/>
  <c r="G18" i="28"/>
  <c r="G27" i="28"/>
  <c r="N25" i="28"/>
  <c r="K25" i="28" s="1"/>
  <c r="B29" i="27" s="1"/>
  <c r="J6" i="28"/>
  <c r="G12" i="28"/>
  <c r="M14" i="28"/>
  <c r="G25" i="28"/>
  <c r="AI58" i="4"/>
  <c r="AI37" i="4"/>
  <c r="N178" i="28"/>
  <c r="K178" i="28" s="1"/>
  <c r="B182" i="27" s="1"/>
  <c r="G53" i="28"/>
  <c r="AI70" i="4"/>
  <c r="AK70" i="4" s="1"/>
  <c r="AH70" i="4"/>
  <c r="AH12" i="4"/>
  <c r="AI12" i="4"/>
  <c r="AK12" i="4" s="1"/>
  <c r="K29" i="28"/>
  <c r="B33" i="27" s="1"/>
  <c r="N135" i="28"/>
  <c r="K135" i="28" s="1"/>
  <c r="B139" i="27" s="1"/>
  <c r="G111" i="28"/>
  <c r="AH17" i="4"/>
  <c r="N223" i="4"/>
  <c r="G55" i="28"/>
  <c r="AH179" i="4"/>
  <c r="AH58" i="4"/>
  <c r="AI179" i="4"/>
  <c r="AH50" i="4"/>
  <c r="G57" i="28"/>
  <c r="AI50" i="4"/>
  <c r="AK50" i="4" s="1"/>
  <c r="G35" i="28"/>
  <c r="AK25" i="4"/>
  <c r="AI17" i="4"/>
  <c r="AK17" i="4" s="1"/>
  <c r="G160" i="28"/>
  <c r="G159" i="28"/>
  <c r="J112" i="28"/>
  <c r="J104" i="28"/>
  <c r="AI189" i="4"/>
  <c r="AK189" i="4" s="1"/>
  <c r="AI72" i="4"/>
  <c r="AH38" i="4"/>
  <c r="AK14" i="4"/>
  <c r="N42" i="28"/>
  <c r="K42" i="28" s="1"/>
  <c r="B46" i="27" s="1"/>
  <c r="AI47" i="4"/>
  <c r="D39" i="28" s="1"/>
  <c r="E43" i="27" s="1"/>
  <c r="AI66" i="4"/>
  <c r="AK66" i="4" s="1"/>
  <c r="J56" i="28"/>
  <c r="AH41" i="4"/>
  <c r="D159" i="28"/>
  <c r="E163" i="27" s="1"/>
  <c r="AH47" i="4"/>
  <c r="K55" i="28"/>
  <c r="B59" i="27" s="1"/>
  <c r="J27" i="28"/>
  <c r="G6" i="28"/>
  <c r="G167" i="28"/>
  <c r="G175" i="28"/>
  <c r="G174" i="28"/>
  <c r="J175" i="28"/>
  <c r="J28" i="28"/>
  <c r="AH62" i="4"/>
  <c r="AH72" i="4"/>
  <c r="AK35" i="4"/>
  <c r="AI38" i="4"/>
  <c r="AK38" i="4" s="1"/>
  <c r="J158" i="28"/>
  <c r="AH27" i="4"/>
  <c r="AH63" i="4"/>
  <c r="N97" i="28"/>
  <c r="K97" i="28" s="1"/>
  <c r="B101" i="27" s="1"/>
  <c r="AI184" i="4"/>
  <c r="AI63" i="4"/>
  <c r="AK63" i="4" s="1"/>
  <c r="AI27" i="4"/>
  <c r="AK27" i="4" s="1"/>
  <c r="G169" i="28"/>
  <c r="AK18" i="4"/>
  <c r="G52" i="28"/>
  <c r="G137" i="28"/>
  <c r="N34" i="28"/>
  <c r="K34" i="28" s="1"/>
  <c r="B38" i="27" s="1"/>
  <c r="G179" i="28"/>
  <c r="M51" i="28"/>
  <c r="G149" i="28"/>
  <c r="J149" i="28"/>
  <c r="G45" i="28"/>
  <c r="AI19" i="4"/>
  <c r="D34" i="28" s="1"/>
  <c r="E38" i="27" s="1"/>
  <c r="AH182" i="4"/>
  <c r="AI16" i="4"/>
  <c r="D97" i="28" s="1"/>
  <c r="E101" i="27" s="1"/>
  <c r="J52" i="28"/>
  <c r="AI112" i="4"/>
  <c r="D103" i="28" s="1"/>
  <c r="E107" i="27" s="1"/>
  <c r="AH112" i="4"/>
  <c r="G168" i="28"/>
  <c r="AH66" i="4"/>
  <c r="AI182" i="4"/>
  <c r="AK182" i="4" s="1"/>
  <c r="J51" i="28"/>
  <c r="G33" i="28"/>
  <c r="N218" i="4"/>
  <c r="J31" i="28"/>
  <c r="J46" i="28"/>
  <c r="AI53" i="4"/>
  <c r="AK53" i="4" s="1"/>
  <c r="N52" i="28"/>
  <c r="K52" i="28" s="1"/>
  <c r="B56" i="27" s="1"/>
  <c r="AK13" i="4"/>
  <c r="G147" i="28"/>
  <c r="J143" i="28"/>
  <c r="M52" i="28"/>
  <c r="D35" i="28"/>
  <c r="E39" i="27" s="1"/>
  <c r="AK41" i="4"/>
  <c r="K43" i="28"/>
  <c r="B47" i="27" s="1"/>
  <c r="J32" i="28"/>
  <c r="J43" i="28"/>
  <c r="G44" i="28"/>
  <c r="G151" i="28"/>
  <c r="M160" i="28"/>
  <c r="AI76" i="4"/>
  <c r="AG192" i="4"/>
  <c r="AH46" i="4"/>
  <c r="N46" i="28"/>
  <c r="K46" i="28" s="1"/>
  <c r="B50" i="27" s="1"/>
  <c r="AH76" i="4"/>
  <c r="AK158" i="4"/>
  <c r="AI92" i="4"/>
  <c r="AK92" i="4" s="1"/>
  <c r="AH92" i="4"/>
  <c r="J65" i="28"/>
  <c r="AI62" i="4"/>
  <c r="AG212" i="4"/>
  <c r="G177" i="28"/>
  <c r="J160" i="28"/>
  <c r="M161" i="28"/>
  <c r="AH132" i="4"/>
  <c r="AI54" i="4"/>
  <c r="D48" i="28" s="1"/>
  <c r="E52" i="27" s="1"/>
  <c r="AH54" i="4"/>
  <c r="AI138" i="4"/>
  <c r="AI159" i="4"/>
  <c r="AK159" i="4" s="1"/>
  <c r="M149" i="28"/>
  <c r="AK178" i="4"/>
  <c r="AI130" i="4"/>
  <c r="AK130" i="4" s="1"/>
  <c r="AH130" i="4"/>
  <c r="G113" i="28"/>
  <c r="AI151" i="4"/>
  <c r="AK151" i="4" s="1"/>
  <c r="J171" i="28"/>
  <c r="J157" i="28"/>
  <c r="AH69" i="4"/>
  <c r="AG201" i="4"/>
  <c r="AH138" i="4"/>
  <c r="AI157" i="4"/>
  <c r="AK157" i="4" s="1"/>
  <c r="AH151" i="4"/>
  <c r="AG193" i="4"/>
  <c r="G150" i="28"/>
  <c r="J141" i="28"/>
  <c r="M151" i="28"/>
  <c r="J174" i="28"/>
  <c r="G65" i="28"/>
  <c r="G13" i="28"/>
  <c r="G106" i="28"/>
  <c r="G63" i="28"/>
  <c r="J147" i="28"/>
  <c r="J161" i="28"/>
  <c r="G102" i="28"/>
  <c r="G22" i="28"/>
  <c r="J124" i="28"/>
  <c r="AG209" i="4"/>
  <c r="AI69" i="4"/>
  <c r="AK69" i="4" s="1"/>
  <c r="J122" i="28"/>
  <c r="M175" i="28"/>
  <c r="G71" i="28"/>
  <c r="AK168" i="4"/>
  <c r="AH73" i="4"/>
  <c r="G16" i="28"/>
  <c r="AI73" i="4"/>
  <c r="AK73" i="4" s="1"/>
  <c r="AG191" i="4"/>
  <c r="AG199" i="4"/>
  <c r="AI132" i="4"/>
  <c r="AI114" i="4"/>
  <c r="AK114" i="4" s="1"/>
  <c r="AI75" i="4"/>
  <c r="AK75" i="4" s="1"/>
  <c r="N70" i="28"/>
  <c r="K70" i="28" s="1"/>
  <c r="B74" i="27" s="1"/>
  <c r="G129" i="28"/>
  <c r="AG195" i="4"/>
  <c r="J101" i="28"/>
  <c r="G77" i="28"/>
  <c r="AH114" i="4"/>
  <c r="AI81" i="4"/>
  <c r="AG196" i="4"/>
  <c r="AD192" i="4"/>
  <c r="AC192" i="4" s="1"/>
  <c r="H8" i="28" s="1"/>
  <c r="AH75" i="4"/>
  <c r="AI135" i="4"/>
  <c r="G148" i="28"/>
  <c r="J120" i="28"/>
  <c r="G49" i="28"/>
  <c r="G96" i="28"/>
  <c r="G20" i="28"/>
  <c r="AH159" i="4"/>
  <c r="AI120" i="4"/>
  <c r="D112" i="28" s="1"/>
  <c r="E116" i="27" s="1"/>
  <c r="AH81" i="4"/>
  <c r="AH150" i="4"/>
  <c r="AH135" i="4"/>
  <c r="G94" i="28"/>
  <c r="G173" i="28"/>
  <c r="AH79" i="4"/>
  <c r="AH131" i="4"/>
  <c r="J102" i="28"/>
  <c r="AI87" i="4"/>
  <c r="G110" i="28"/>
  <c r="G75" i="28"/>
  <c r="M22" i="28"/>
  <c r="G164" i="28"/>
  <c r="M17" i="28"/>
  <c r="G172" i="28"/>
  <c r="G30" i="28"/>
  <c r="G170" i="28"/>
  <c r="G132" i="28"/>
  <c r="G83" i="28"/>
  <c r="M58" i="28"/>
  <c r="G121" i="28"/>
  <c r="J20" i="28"/>
  <c r="G21" i="28"/>
  <c r="M65" i="28"/>
  <c r="G99" i="28"/>
  <c r="G26" i="28"/>
  <c r="M20" i="28"/>
  <c r="J77" i="28"/>
  <c r="G127" i="28"/>
  <c r="J128" i="28"/>
  <c r="J70" i="28"/>
  <c r="J110" i="28"/>
  <c r="G156" i="28"/>
  <c r="G86" i="28"/>
  <c r="G88" i="28"/>
  <c r="AI94" i="4"/>
  <c r="AK94" i="4" s="1"/>
  <c r="AH99" i="4"/>
  <c r="N246" i="4"/>
  <c r="AI137" i="4"/>
  <c r="AK137" i="4" s="1"/>
  <c r="G142" i="28"/>
  <c r="G144" i="28"/>
  <c r="AI77" i="4"/>
  <c r="G72" i="28"/>
  <c r="J176" i="28"/>
  <c r="J131" i="28"/>
  <c r="AI131" i="4"/>
  <c r="AK131" i="4" s="1"/>
  <c r="G93" i="28"/>
  <c r="G103" i="28"/>
  <c r="AI99" i="4"/>
  <c r="D96" i="28" s="1"/>
  <c r="E100" i="27" s="1"/>
  <c r="AH141" i="4"/>
  <c r="AH123" i="4"/>
  <c r="AI141" i="4"/>
  <c r="AK141" i="4" s="1"/>
  <c r="J163" i="28"/>
  <c r="J151" i="28"/>
  <c r="J152" i="28"/>
  <c r="AI123" i="4"/>
  <c r="AK123" i="4" s="1"/>
  <c r="G8" i="28"/>
  <c r="AH137" i="4"/>
  <c r="AI125" i="4"/>
  <c r="G140" i="28"/>
  <c r="AH157" i="4"/>
  <c r="M79" i="28"/>
  <c r="AH105" i="4"/>
  <c r="AI79" i="4"/>
  <c r="AK79" i="4" s="1"/>
  <c r="M77" i="28"/>
  <c r="G15" i="28"/>
  <c r="G10" i="28"/>
  <c r="AH125" i="4"/>
  <c r="N140" i="28"/>
  <c r="K140" i="28" s="1"/>
  <c r="B144" i="27" s="1"/>
  <c r="AI155" i="4"/>
  <c r="AH155" i="4"/>
  <c r="N127" i="28"/>
  <c r="K127" i="28" s="1"/>
  <c r="B131" i="27" s="1"/>
  <c r="AI147" i="4"/>
  <c r="AK163" i="4"/>
  <c r="N154" i="28"/>
  <c r="K154" i="28" s="1"/>
  <c r="B158" i="27" s="1"/>
  <c r="AH172" i="4"/>
  <c r="AI174" i="4"/>
  <c r="D168" i="28" s="1"/>
  <c r="E172" i="27" s="1"/>
  <c r="AH174" i="4"/>
  <c r="N176" i="28"/>
  <c r="K176" i="28" s="1"/>
  <c r="B180" i="27" s="1"/>
  <c r="AK176" i="4"/>
  <c r="AK142" i="4"/>
  <c r="AH145" i="4"/>
  <c r="G123" i="28"/>
  <c r="J21" i="28"/>
  <c r="N20" i="28"/>
  <c r="K20" i="28" s="1"/>
  <c r="B24" i="27" s="1"/>
  <c r="AH128" i="4"/>
  <c r="AD206" i="4"/>
  <c r="AI206" i="4" s="1"/>
  <c r="AK206" i="4" s="1"/>
  <c r="N242" i="4"/>
  <c r="G126" i="28"/>
  <c r="J126" i="28"/>
  <c r="AH149" i="4"/>
  <c r="G153" i="28"/>
  <c r="AK143" i="4"/>
  <c r="N128" i="28"/>
  <c r="K128" i="28" s="1"/>
  <c r="B132" i="27" s="1"/>
  <c r="AH152" i="4"/>
  <c r="M152" i="28"/>
  <c r="AH136" i="4"/>
  <c r="N116" i="28"/>
  <c r="K116" i="28" s="1"/>
  <c r="B120" i="27" s="1"/>
  <c r="AI149" i="4"/>
  <c r="AI172" i="4"/>
  <c r="AH176" i="4"/>
  <c r="N156" i="28"/>
  <c r="K156" i="28" s="1"/>
  <c r="B160" i="27" s="1"/>
  <c r="AK171" i="4"/>
  <c r="AK148" i="4"/>
  <c r="AD205" i="4"/>
  <c r="AC205" i="4" s="1"/>
  <c r="H21" i="28" s="1"/>
  <c r="AH127" i="4"/>
  <c r="N22" i="28"/>
  <c r="K22" i="28" s="1"/>
  <c r="B26" i="27" s="1"/>
  <c r="N247" i="4"/>
  <c r="N123" i="28"/>
  <c r="K123" i="28" s="1"/>
  <c r="B127" i="27" s="1"/>
  <c r="AH144" i="4"/>
  <c r="AH181" i="4"/>
  <c r="N162" i="28"/>
  <c r="K162" i="28" s="1"/>
  <c r="B166" i="27" s="1"/>
  <c r="G116" i="28"/>
  <c r="N99" i="28"/>
  <c r="K99" i="28" s="1"/>
  <c r="B103" i="27" s="1"/>
  <c r="AH101" i="4"/>
  <c r="AI101" i="4"/>
  <c r="N225" i="4"/>
  <c r="AI146" i="4"/>
  <c r="J130" i="28"/>
  <c r="AI173" i="4"/>
  <c r="AI181" i="4"/>
  <c r="AH146" i="4"/>
  <c r="AI145" i="4"/>
  <c r="AI183" i="4"/>
  <c r="D177" i="28" s="1"/>
  <c r="E181" i="27" s="1"/>
  <c r="AH183" i="4"/>
  <c r="N134" i="28"/>
  <c r="K134" i="28" s="1"/>
  <c r="B138" i="27" s="1"/>
  <c r="AG204" i="4"/>
  <c r="AG200" i="4"/>
  <c r="AI68" i="4"/>
  <c r="AK68" i="4" s="1"/>
  <c r="AH156" i="4"/>
  <c r="N141" i="28"/>
  <c r="K141" i="28" s="1"/>
  <c r="B145" i="27" s="1"/>
  <c r="N133" i="28"/>
  <c r="K133" i="28" s="1"/>
  <c r="B137" i="27" s="1"/>
  <c r="AH163" i="4"/>
  <c r="AK140" i="4"/>
  <c r="J154" i="28"/>
  <c r="G154" i="28"/>
  <c r="AH180" i="4"/>
  <c r="AI180" i="4"/>
  <c r="N125" i="28"/>
  <c r="K125" i="28" s="1"/>
  <c r="B129" i="27" s="1"/>
  <c r="N220" i="4"/>
  <c r="N103" i="28"/>
  <c r="K103" i="28" s="1"/>
  <c r="B107" i="27" s="1"/>
  <c r="AD190" i="4"/>
  <c r="N121" i="28"/>
  <c r="K121" i="28" s="1"/>
  <c r="B125" i="27" s="1"/>
  <c r="AH142" i="4"/>
  <c r="J113" i="28"/>
  <c r="M113" i="28"/>
  <c r="AI144" i="4"/>
  <c r="D136" i="28" s="1"/>
  <c r="E140" i="27" s="1"/>
  <c r="AK107" i="4"/>
  <c r="AH154" i="4"/>
  <c r="J22" i="28"/>
  <c r="AK166" i="4"/>
  <c r="G162" i="28"/>
  <c r="G125" i="28"/>
  <c r="AI177" i="4"/>
  <c r="N157" i="28"/>
  <c r="K157" i="28" s="1"/>
  <c r="B161" i="27" s="1"/>
  <c r="AH177" i="4"/>
  <c r="M145" i="28"/>
  <c r="J145" i="28"/>
  <c r="AI160" i="4"/>
  <c r="N145" i="28"/>
  <c r="K145" i="28" s="1"/>
  <c r="B149" i="27" s="1"/>
  <c r="M21" i="28"/>
  <c r="M130" i="28"/>
  <c r="J13" i="28"/>
  <c r="M13" i="28"/>
  <c r="AD201" i="4"/>
  <c r="AC201" i="4" s="1"/>
  <c r="H17" i="28" s="1"/>
  <c r="N78" i="28"/>
  <c r="K78" i="28" s="1"/>
  <c r="B82" i="27" s="1"/>
  <c r="N244" i="4"/>
  <c r="AI154" i="4"/>
  <c r="AH161" i="4"/>
  <c r="N146" i="28"/>
  <c r="K146" i="28" s="1"/>
  <c r="B150" i="27" s="1"/>
  <c r="N155" i="28"/>
  <c r="K155" i="28" s="1"/>
  <c r="B159" i="27" s="1"/>
  <c r="N153" i="28"/>
  <c r="K153" i="28" s="1"/>
  <c r="B157" i="27" s="1"/>
  <c r="AH170" i="4"/>
  <c r="AI170" i="4"/>
  <c r="AK139" i="4"/>
  <c r="N241" i="4"/>
  <c r="AI113" i="4"/>
  <c r="N240" i="4"/>
  <c r="AD191" i="4"/>
  <c r="N7" i="28" s="1"/>
  <c r="K7" i="28" s="1"/>
  <c r="B11" i="27" s="1"/>
  <c r="J25" i="28"/>
  <c r="AK169" i="4"/>
  <c r="AK175" i="4"/>
  <c r="M25" i="28"/>
  <c r="N10" i="28"/>
  <c r="K10" i="28" s="1"/>
  <c r="B14" i="27" s="1"/>
  <c r="AI119" i="4"/>
  <c r="AH119" i="4"/>
  <c r="N173" i="28"/>
  <c r="K173" i="28" s="1"/>
  <c r="B177" i="27" s="1"/>
  <c r="AH139" i="4"/>
  <c r="N148" i="28"/>
  <c r="K148" i="28" s="1"/>
  <c r="B152" i="27" s="1"/>
  <c r="AI164" i="4"/>
  <c r="D156" i="28" s="1"/>
  <c r="E160" i="27" s="1"/>
  <c r="J117" i="28"/>
  <c r="AH129" i="4"/>
  <c r="N172" i="28"/>
  <c r="K172" i="28" s="1"/>
  <c r="B176" i="27" s="1"/>
  <c r="AH143" i="4"/>
  <c r="N122" i="28"/>
  <c r="K122" i="28" s="1"/>
  <c r="B126" i="27" s="1"/>
  <c r="AI150" i="4"/>
  <c r="M117" i="28"/>
  <c r="G138" i="28"/>
  <c r="G89" i="28"/>
  <c r="AG206" i="4"/>
  <c r="J30" i="28"/>
  <c r="M30" i="28"/>
  <c r="AH60" i="4"/>
  <c r="N72" i="28"/>
  <c r="K72" i="28" s="1"/>
  <c r="B76" i="27" s="1"/>
  <c r="AI124" i="4"/>
  <c r="N30" i="28"/>
  <c r="K30" i="28" s="1"/>
  <c r="B34" i="27" s="1"/>
  <c r="AK134" i="4"/>
  <c r="AH134" i="4"/>
  <c r="AD212" i="4"/>
  <c r="N234" i="4"/>
  <c r="M26" i="28"/>
  <c r="J26" i="28"/>
  <c r="N251" i="4"/>
  <c r="AD193" i="4"/>
  <c r="N9" i="28" s="1"/>
  <c r="K9" i="28" s="1"/>
  <c r="B13" i="27" s="1"/>
  <c r="AI33" i="4"/>
  <c r="AD200" i="4"/>
  <c r="AI200" i="4" s="1"/>
  <c r="AK200" i="4" s="1"/>
  <c r="AG198" i="4"/>
  <c r="N248" i="4"/>
  <c r="AD198" i="4"/>
  <c r="AI198" i="4" s="1"/>
  <c r="AK198" i="4" s="1"/>
  <c r="N24" i="28"/>
  <c r="K24" i="28" s="1"/>
  <c r="B28" i="27" s="1"/>
  <c r="J67" i="28"/>
  <c r="M67" i="28"/>
  <c r="AH94" i="4"/>
  <c r="AH87" i="4"/>
  <c r="N101" i="28"/>
  <c r="K101" i="28" s="1"/>
  <c r="B105" i="27" s="1"/>
  <c r="AH103" i="4"/>
  <c r="J61" i="28"/>
  <c r="N229" i="4"/>
  <c r="AH33" i="4"/>
  <c r="G60" i="28"/>
  <c r="AI74" i="4"/>
  <c r="AK74" i="4" s="1"/>
  <c r="N88" i="28"/>
  <c r="K88" i="28" s="1"/>
  <c r="B92" i="27" s="1"/>
  <c r="AH86" i="4"/>
  <c r="AI86" i="4"/>
  <c r="AK128" i="4"/>
  <c r="J68" i="28"/>
  <c r="AH124" i="4"/>
  <c r="AH115" i="4"/>
  <c r="J11" i="28"/>
  <c r="G11" i="28"/>
  <c r="AK108" i="4"/>
  <c r="AK82" i="4"/>
  <c r="AK121" i="4"/>
  <c r="J12" i="28"/>
  <c r="M12" i="28"/>
  <c r="J103" i="28"/>
  <c r="AD203" i="4"/>
  <c r="AI203" i="4" s="1"/>
  <c r="AK203" i="4" s="1"/>
  <c r="N79" i="28"/>
  <c r="K79" i="28" s="1"/>
  <c r="B83" i="27" s="1"/>
  <c r="AH91" i="4"/>
  <c r="AI91" i="4"/>
  <c r="N239" i="4"/>
  <c r="AK71" i="4"/>
  <c r="J16" i="28"/>
  <c r="M16" i="28"/>
  <c r="G14" i="28"/>
  <c r="J14" i="28"/>
  <c r="AH88" i="4"/>
  <c r="N238" i="4"/>
  <c r="N92" i="28"/>
  <c r="K92" i="28" s="1"/>
  <c r="B96" i="27" s="1"/>
  <c r="AD209" i="4"/>
  <c r="AI88" i="4"/>
  <c r="AK83" i="4"/>
  <c r="AK109" i="4"/>
  <c r="AH100" i="4"/>
  <c r="N73" i="28"/>
  <c r="K73" i="28" s="1"/>
  <c r="B77" i="27" s="1"/>
  <c r="AG207" i="4"/>
  <c r="AK103" i="4"/>
  <c r="M53" i="28"/>
  <c r="J53" i="28"/>
  <c r="AK129" i="4"/>
  <c r="AH122" i="4"/>
  <c r="J108" i="28"/>
  <c r="M108" i="28"/>
  <c r="AK106" i="4"/>
  <c r="AK89" i="4"/>
  <c r="G95" i="28"/>
  <c r="AH102" i="4"/>
  <c r="N100" i="28"/>
  <c r="K100" i="28" s="1"/>
  <c r="B104" i="27" s="1"/>
  <c r="N66" i="28"/>
  <c r="K66" i="28" s="1"/>
  <c r="B70" i="27" s="1"/>
  <c r="AD207" i="4"/>
  <c r="N235" i="4"/>
  <c r="AK127" i="4"/>
  <c r="D22" i="28"/>
  <c r="E26" i="27" s="1"/>
  <c r="J19" i="28"/>
  <c r="G19" i="28"/>
  <c r="AH116" i="4"/>
  <c r="AI116" i="4"/>
  <c r="AH98" i="4"/>
  <c r="N95" i="28"/>
  <c r="K95" i="28" s="1"/>
  <c r="B99" i="27" s="1"/>
  <c r="AH68" i="4"/>
  <c r="J76" i="28"/>
  <c r="AK96" i="4"/>
  <c r="M81" i="28"/>
  <c r="J81" i="28"/>
  <c r="J24" i="28"/>
  <c r="M24" i="28"/>
  <c r="AG190" i="4"/>
  <c r="J66" i="28"/>
  <c r="M66" i="28"/>
  <c r="G100" i="28"/>
  <c r="M18" i="28"/>
  <c r="J18" i="28"/>
  <c r="J62" i="28"/>
  <c r="G62" i="28"/>
  <c r="N23" i="28"/>
  <c r="K23" i="28" s="1"/>
  <c r="B27" i="27" s="1"/>
  <c r="N250" i="4"/>
  <c r="AH117" i="4"/>
  <c r="AD195" i="4"/>
  <c r="AC195" i="4" s="1"/>
  <c r="H11" i="28" s="1"/>
  <c r="AI93" i="4"/>
  <c r="D87" i="28" s="1"/>
  <c r="E91" i="27" s="1"/>
  <c r="N237" i="4"/>
  <c r="N75" i="28"/>
  <c r="K75" i="28" s="1"/>
  <c r="B79" i="27" s="1"/>
  <c r="AH93" i="4"/>
  <c r="AD196" i="4"/>
  <c r="N12" i="28" s="1"/>
  <c r="K12" i="28" s="1"/>
  <c r="B16" i="27" s="1"/>
  <c r="N84" i="28"/>
  <c r="K84" i="28" s="1"/>
  <c r="B88" i="27" s="1"/>
  <c r="AH82" i="4"/>
  <c r="AH108" i="4"/>
  <c r="N107" i="28"/>
  <c r="K107" i="28" s="1"/>
  <c r="B111" i="27" s="1"/>
  <c r="N64" i="28"/>
  <c r="K64" i="28" s="1"/>
  <c r="B68" i="27" s="1"/>
  <c r="AH95" i="4"/>
  <c r="AI95" i="4"/>
  <c r="AG210" i="4"/>
  <c r="AK111" i="4"/>
  <c r="AK102" i="4"/>
  <c r="D100" i="28"/>
  <c r="E104" i="27" s="1"/>
  <c r="G79" i="28"/>
  <c r="J79" i="28"/>
  <c r="AH118" i="4"/>
  <c r="N14" i="28"/>
  <c r="K14" i="28" s="1"/>
  <c r="B18" i="27" s="1"/>
  <c r="AI98" i="4"/>
  <c r="AK85" i="4"/>
  <c r="G85" i="28"/>
  <c r="J85" i="28"/>
  <c r="M103" i="28"/>
  <c r="J15" i="28"/>
  <c r="M15" i="28"/>
  <c r="AK100" i="4"/>
  <c r="AK115" i="4"/>
  <c r="AK105" i="4"/>
  <c r="J96" i="28"/>
  <c r="AH90" i="4"/>
  <c r="N62" i="28"/>
  <c r="K62" i="28" s="1"/>
  <c r="B66" i="27" s="1"/>
  <c r="AG211" i="4"/>
  <c r="G17" i="28"/>
  <c r="J17" i="28"/>
  <c r="AG203" i="4"/>
  <c r="AK122" i="4"/>
  <c r="AK117" i="4"/>
  <c r="G23" i="28"/>
  <c r="J23" i="28"/>
  <c r="AK84" i="4"/>
  <c r="AK65" i="4"/>
  <c r="D53" i="28"/>
  <c r="E57" i="27" s="1"/>
  <c r="N236" i="4"/>
  <c r="N110" i="28"/>
  <c r="K110" i="28" s="1"/>
  <c r="B114" i="27" s="1"/>
  <c r="AD210" i="4"/>
  <c r="AC210" i="4" s="1"/>
  <c r="H26" i="28" s="1"/>
  <c r="AH111" i="4"/>
  <c r="J63" i="28"/>
  <c r="N222" i="4"/>
  <c r="AH104" i="4"/>
  <c r="N102" i="28"/>
  <c r="K102" i="28" s="1"/>
  <c r="B106" i="27" s="1"/>
  <c r="AG205" i="4"/>
  <c r="AH121" i="4"/>
  <c r="N243" i="4"/>
  <c r="N19" i="28"/>
  <c r="K19" i="28" s="1"/>
  <c r="B23" i="27" s="1"/>
  <c r="AD199" i="4"/>
  <c r="N15" i="28" s="1"/>
  <c r="K15" i="28" s="1"/>
  <c r="B19" i="27" s="1"/>
  <c r="AK118" i="4"/>
  <c r="D14" i="28"/>
  <c r="E18" i="27" s="1"/>
  <c r="G9" i="28"/>
  <c r="J9" i="28"/>
  <c r="N87" i="28"/>
  <c r="K87" i="28" s="1"/>
  <c r="B91" i="27" s="1"/>
  <c r="AH85" i="4"/>
  <c r="AH83" i="4"/>
  <c r="N85" i="28"/>
  <c r="K85" i="28" s="1"/>
  <c r="B89" i="27" s="1"/>
  <c r="M8" i="28"/>
  <c r="J8" i="28"/>
  <c r="AI110" i="4"/>
  <c r="D102" i="28" s="1"/>
  <c r="E106" i="27" s="1"/>
  <c r="AH110" i="4"/>
  <c r="N109" i="28"/>
  <c r="K109" i="28" s="1"/>
  <c r="B113" i="27" s="1"/>
  <c r="N219" i="4"/>
  <c r="AH71" i="4"/>
  <c r="M76" i="28"/>
  <c r="AK90" i="4"/>
  <c r="AI133" i="4"/>
  <c r="AD211" i="4"/>
  <c r="AH133" i="4"/>
  <c r="N17" i="28"/>
  <c r="K17" i="28" s="1"/>
  <c r="B21" i="27" s="1"/>
  <c r="N245" i="4"/>
  <c r="J172" i="28"/>
  <c r="M172" i="28"/>
  <c r="G7" i="28"/>
  <c r="J7" i="28"/>
  <c r="AH106" i="4"/>
  <c r="N105" i="28"/>
  <c r="K105" i="28" s="1"/>
  <c r="B109" i="27" s="1"/>
  <c r="AH84" i="4"/>
  <c r="N86" i="28"/>
  <c r="K86" i="28" s="1"/>
  <c r="B90" i="27" s="1"/>
  <c r="J84" i="28"/>
  <c r="G84" i="28"/>
  <c r="K53" i="28"/>
  <c r="B57" i="27" s="1"/>
  <c r="AI31" i="4"/>
  <c r="AK67" i="4"/>
  <c r="G118" i="28"/>
  <c r="AI21" i="4"/>
  <c r="D36" i="28" s="1"/>
  <c r="E40" i="27" s="1"/>
  <c r="N36" i="28"/>
  <c r="K36" i="28" s="1"/>
  <c r="B40" i="27" s="1"/>
  <c r="AI39" i="4"/>
  <c r="D38" i="28" s="1"/>
  <c r="E42" i="27" s="1"/>
  <c r="N38" i="28"/>
  <c r="K38" i="28" s="1"/>
  <c r="B42" i="27" s="1"/>
  <c r="N181" i="28"/>
  <c r="K181" i="28" s="1"/>
  <c r="B185" i="27" s="1"/>
  <c r="AH78" i="4"/>
  <c r="N249" i="4"/>
  <c r="AD202" i="4"/>
  <c r="AI202" i="4" s="1"/>
  <c r="AK202" i="4" s="1"/>
  <c r="AK80" i="4"/>
  <c r="M74" i="28"/>
  <c r="J74" i="28"/>
  <c r="M59" i="28"/>
  <c r="AK59" i="4"/>
  <c r="J58" i="28"/>
  <c r="AH57" i="4"/>
  <c r="AD204" i="4"/>
  <c r="AC204" i="4" s="1"/>
  <c r="H20" i="28" s="1"/>
  <c r="N230" i="4"/>
  <c r="N80" i="28"/>
  <c r="K80" i="28" s="1"/>
  <c r="B84" i="27" s="1"/>
  <c r="AI78" i="4"/>
  <c r="AG202" i="4"/>
  <c r="J60" i="28"/>
  <c r="M75" i="28"/>
  <c r="J75" i="28"/>
  <c r="AK60" i="4"/>
  <c r="AK34" i="4"/>
  <c r="G82" i="28"/>
  <c r="J59" i="28"/>
  <c r="J181" i="28"/>
  <c r="G181" i="28"/>
  <c r="J82" i="28"/>
  <c r="M78" i="28"/>
  <c r="J78" i="28"/>
  <c r="N48" i="28"/>
  <c r="K48" i="28" s="1"/>
  <c r="B52" i="27" s="1"/>
  <c r="AH48" i="4"/>
  <c r="AD194" i="4"/>
  <c r="AI194" i="4" s="1"/>
  <c r="AK194" i="4" s="1"/>
  <c r="N232" i="4"/>
  <c r="G114" i="28"/>
  <c r="G80" i="28"/>
  <c r="AH67" i="4"/>
  <c r="N59" i="28"/>
  <c r="K59" i="28" s="1"/>
  <c r="B63" i="27" s="1"/>
  <c r="AI57" i="4"/>
  <c r="D49" i="28" s="1"/>
  <c r="E53" i="27" s="1"/>
  <c r="N82" i="28"/>
  <c r="K82" i="28" s="1"/>
  <c r="B86" i="27" s="1"/>
  <c r="AH80" i="4"/>
  <c r="M60" i="28"/>
  <c r="I3" i="28"/>
  <c r="AK29" i="4"/>
  <c r="M50" i="28"/>
  <c r="M36" i="28"/>
  <c r="L3" i="28"/>
  <c r="L4" i="28"/>
  <c r="J29" i="28"/>
  <c r="M29" i="28"/>
  <c r="I4" i="28"/>
  <c r="M11" i="26" s="1"/>
  <c r="N39" i="28"/>
  <c r="K39" i="28" s="1"/>
  <c r="B43" i="27" s="1"/>
  <c r="AH39" i="4"/>
  <c r="N224" i="4"/>
  <c r="AG208" i="4"/>
  <c r="G91" i="28"/>
  <c r="J91" i="28"/>
  <c r="J55" i="28"/>
  <c r="M55" i="28"/>
  <c r="J50" i="28"/>
  <c r="G37" i="28"/>
  <c r="J37" i="28"/>
  <c r="J39" i="28"/>
  <c r="G39" i="28"/>
  <c r="AK56" i="4"/>
  <c r="AH56" i="4"/>
  <c r="N231" i="4"/>
  <c r="AD208" i="4"/>
  <c r="N91" i="28"/>
  <c r="K91" i="28" s="1"/>
  <c r="B95" i="27" s="1"/>
  <c r="AK49" i="4"/>
  <c r="D37" i="28"/>
  <c r="E41" i="27" s="1"/>
  <c r="D119" i="28"/>
  <c r="E123" i="27" s="1"/>
  <c r="AK61" i="4"/>
  <c r="AK51" i="4"/>
  <c r="AH21" i="4"/>
  <c r="N221" i="4"/>
  <c r="N37" i="28"/>
  <c r="K37" i="28" s="1"/>
  <c r="B41" i="27" s="1"/>
  <c r="AD213" i="4"/>
  <c r="G119" i="28"/>
  <c r="J119" i="28"/>
  <c r="AG197" i="4"/>
  <c r="AG194" i="4"/>
  <c r="AK40" i="4"/>
  <c r="J115" i="28"/>
  <c r="G115" i="28"/>
  <c r="E4" i="28"/>
  <c r="AG213" i="4"/>
  <c r="G40" i="28"/>
  <c r="F4" i="28"/>
  <c r="F3" i="28"/>
  <c r="N115" i="28"/>
  <c r="K115" i="28" s="1"/>
  <c r="B119" i="27" s="1"/>
  <c r="AH31" i="4"/>
  <c r="AD197" i="4"/>
  <c r="N13" i="28" s="1"/>
  <c r="K13" i="28" s="1"/>
  <c r="B17" i="27" s="1"/>
  <c r="N233" i="4"/>
  <c r="AD10" i="4"/>
  <c r="AH10" i="4" s="1"/>
  <c r="AK48" i="4"/>
  <c r="AG10" i="4"/>
  <c r="E3" i="28"/>
  <c r="D108" i="28" l="1"/>
  <c r="E112" i="27" s="1"/>
  <c r="F112" i="27" s="1"/>
  <c r="D73" i="28"/>
  <c r="E77" i="27" s="1"/>
  <c r="F77" i="27" s="1"/>
  <c r="D118" i="28"/>
  <c r="E122" i="27" s="1"/>
  <c r="F122" i="27" s="1"/>
  <c r="D44" i="28"/>
  <c r="E48" i="27" s="1"/>
  <c r="F48" i="27" s="1"/>
  <c r="D110" i="28"/>
  <c r="E114" i="27" s="1"/>
  <c r="F114" i="27" s="1"/>
  <c r="D113" i="28"/>
  <c r="E117" i="27" s="1"/>
  <c r="F117" i="27" s="1"/>
  <c r="D82" i="28"/>
  <c r="E86" i="27" s="1"/>
  <c r="F86" i="27" s="1"/>
  <c r="D151" i="28"/>
  <c r="E155" i="27" s="1"/>
  <c r="F155" i="27" s="1"/>
  <c r="D51" i="28"/>
  <c r="E55" i="27" s="1"/>
  <c r="F55" i="27" s="1"/>
  <c r="D175" i="28"/>
  <c r="E179" i="27" s="1"/>
  <c r="F179" i="27" s="1"/>
  <c r="D158" i="28"/>
  <c r="E162" i="27" s="1"/>
  <c r="F162" i="27" s="1"/>
  <c r="D47" i="28"/>
  <c r="E51" i="27" s="1"/>
  <c r="F51" i="27" s="1"/>
  <c r="D178" i="28"/>
  <c r="E182" i="27" s="1"/>
  <c r="F182" i="27" s="1"/>
  <c r="D121" i="28"/>
  <c r="E125" i="27" s="1"/>
  <c r="F125" i="27" s="1"/>
  <c r="D172" i="28"/>
  <c r="E176" i="27" s="1"/>
  <c r="F176" i="27" s="1"/>
  <c r="D114" i="28"/>
  <c r="E118" i="27" s="1"/>
  <c r="F118" i="27" s="1"/>
  <c r="D90" i="28"/>
  <c r="E94" i="27" s="1"/>
  <c r="F94" i="27" s="1"/>
  <c r="D116" i="28"/>
  <c r="E120" i="27" s="1"/>
  <c r="F120" i="27" s="1"/>
  <c r="D169" i="28"/>
  <c r="E173" i="27" s="1"/>
  <c r="F173" i="27" s="1"/>
  <c r="D137" i="28"/>
  <c r="E141" i="27" s="1"/>
  <c r="F141" i="27" s="1"/>
  <c r="D141" i="28"/>
  <c r="E145" i="27" s="1"/>
  <c r="F145" i="27" s="1"/>
  <c r="D170" i="28"/>
  <c r="E174" i="27" s="1"/>
  <c r="F174" i="27" s="1"/>
  <c r="D150" i="28"/>
  <c r="E154" i="27" s="1"/>
  <c r="F154" i="27" s="1"/>
  <c r="D101" i="28"/>
  <c r="E105" i="27" s="1"/>
  <c r="F105" i="27" s="1"/>
  <c r="D107" i="28"/>
  <c r="E111" i="27" s="1"/>
  <c r="F111" i="27" s="1"/>
  <c r="D179" i="28"/>
  <c r="E183" i="27" s="1"/>
  <c r="F183" i="27" s="1"/>
  <c r="D167" i="28"/>
  <c r="E171" i="27" s="1"/>
  <c r="F171" i="27" s="1"/>
  <c r="D105" i="28"/>
  <c r="E109" i="27" s="1"/>
  <c r="F109" i="27" s="1"/>
  <c r="D72" i="28"/>
  <c r="E76" i="27" s="1"/>
  <c r="F76" i="27" s="1"/>
  <c r="D173" i="28"/>
  <c r="E177" i="27" s="1"/>
  <c r="F177" i="27" s="1"/>
  <c r="D85" i="28"/>
  <c r="E89" i="27" s="1"/>
  <c r="F89" i="27" s="1"/>
  <c r="D128" i="28"/>
  <c r="E132" i="27" s="1"/>
  <c r="F132" i="27" s="1"/>
  <c r="D111" i="28"/>
  <c r="E115" i="27" s="1"/>
  <c r="F115" i="27" s="1"/>
  <c r="D138" i="28"/>
  <c r="E142" i="27" s="1"/>
  <c r="F142" i="27" s="1"/>
  <c r="D77" i="28"/>
  <c r="E81" i="27" s="1"/>
  <c r="F81" i="27" s="1"/>
  <c r="D104" i="28"/>
  <c r="E108" i="27" s="1"/>
  <c r="F108" i="27" s="1"/>
  <c r="D161" i="28"/>
  <c r="E165" i="27" s="1"/>
  <c r="F165" i="27" s="1"/>
  <c r="D57" i="28"/>
  <c r="E61" i="27" s="1"/>
  <c r="F61" i="27" s="1"/>
  <c r="D122" i="28"/>
  <c r="E126" i="27" s="1"/>
  <c r="F126" i="27" s="1"/>
  <c r="D135" i="28"/>
  <c r="E139" i="27" s="1"/>
  <c r="F139" i="27" s="1"/>
  <c r="D84" i="28"/>
  <c r="E88" i="27" s="1"/>
  <c r="F88" i="27" s="1"/>
  <c r="D143" i="28"/>
  <c r="E147" i="27" s="1"/>
  <c r="F147" i="27" s="1"/>
  <c r="D86" i="28"/>
  <c r="E90" i="27" s="1"/>
  <c r="F90" i="27" s="1"/>
  <c r="D171" i="28"/>
  <c r="E175" i="27" s="1"/>
  <c r="F175" i="27" s="1"/>
  <c r="F163" i="27"/>
  <c r="F181" i="27"/>
  <c r="F116" i="27"/>
  <c r="D93" i="28"/>
  <c r="E97" i="27" s="1"/>
  <c r="F97" i="27" s="1"/>
  <c r="F164" i="27"/>
  <c r="D40" i="28"/>
  <c r="E44" i="27" s="1"/>
  <c r="F44" i="27" s="1"/>
  <c r="D55" i="28"/>
  <c r="E59" i="27" s="1"/>
  <c r="F59" i="27" s="1"/>
  <c r="D174" i="28"/>
  <c r="E178" i="27" s="1"/>
  <c r="F178" i="27" s="1"/>
  <c r="F140" i="27"/>
  <c r="D69" i="28"/>
  <c r="E73" i="27" s="1"/>
  <c r="F73" i="27" s="1"/>
  <c r="F46" i="27"/>
  <c r="D43" i="28"/>
  <c r="E47" i="27" s="1"/>
  <c r="F47" i="27" s="1"/>
  <c r="D106" i="28"/>
  <c r="E110" i="27" s="1"/>
  <c r="F110" i="27" s="1"/>
  <c r="D129" i="28"/>
  <c r="E133" i="27" s="1"/>
  <c r="F133" i="27" s="1"/>
  <c r="D65" i="28"/>
  <c r="E69" i="27" s="1"/>
  <c r="F69" i="27" s="1"/>
  <c r="D152" i="28"/>
  <c r="E156" i="27" s="1"/>
  <c r="F156" i="27" s="1"/>
  <c r="D62" i="28"/>
  <c r="E66" i="27" s="1"/>
  <c r="F66" i="27" s="1"/>
  <c r="D33" i="28"/>
  <c r="E37" i="27" s="1"/>
  <c r="F37" i="27" s="1"/>
  <c r="D45" i="28"/>
  <c r="E49" i="27" s="1"/>
  <c r="F49" i="27" s="1"/>
  <c r="D66" i="28"/>
  <c r="E70" i="27" s="1"/>
  <c r="F70" i="27" s="1"/>
  <c r="D133" i="28"/>
  <c r="E137" i="27" s="1"/>
  <c r="F137" i="27" s="1"/>
  <c r="D78" i="28"/>
  <c r="E82" i="27" s="1"/>
  <c r="F82" i="27" s="1"/>
  <c r="D67" i="28"/>
  <c r="E71" i="27" s="1"/>
  <c r="F71" i="27" s="1"/>
  <c r="D31" i="28"/>
  <c r="E35" i="27" s="1"/>
  <c r="F35" i="27" s="1"/>
  <c r="D32" i="28"/>
  <c r="E36" i="27" s="1"/>
  <c r="F36" i="27" s="1"/>
  <c r="D115" i="28"/>
  <c r="E119" i="27" s="1"/>
  <c r="F119" i="27" s="1"/>
  <c r="F172" i="27"/>
  <c r="D147" i="28"/>
  <c r="E151" i="27" s="1"/>
  <c r="F151" i="27" s="1"/>
  <c r="D164" i="28"/>
  <c r="E168" i="27" s="1"/>
  <c r="F168" i="27" s="1"/>
  <c r="D83" i="28"/>
  <c r="E87" i="27" s="1"/>
  <c r="F87" i="27" s="1"/>
  <c r="D46" i="28"/>
  <c r="E50" i="27" s="1"/>
  <c r="F50" i="27" s="1"/>
  <c r="F39" i="27"/>
  <c r="F101" i="27"/>
  <c r="F53" i="27"/>
  <c r="D56" i="28"/>
  <c r="E60" i="27" s="1"/>
  <c r="F60" i="27" s="1"/>
  <c r="D54" i="28"/>
  <c r="E58" i="27" s="1"/>
  <c r="F58" i="27" s="1"/>
  <c r="D91" i="28"/>
  <c r="E95" i="27" s="1"/>
  <c r="F95" i="27" s="1"/>
  <c r="D180" i="28"/>
  <c r="E184" i="27" s="1"/>
  <c r="F184" i="27" s="1"/>
  <c r="D59" i="28"/>
  <c r="E63" i="27" s="1"/>
  <c r="F63" i="27" s="1"/>
  <c r="N26" i="28"/>
  <c r="K26" i="28" s="1"/>
  <c r="B30" i="27" s="1"/>
  <c r="N16" i="28"/>
  <c r="K16" i="28" s="1"/>
  <c r="B20" i="27" s="1"/>
  <c r="N18" i="28"/>
  <c r="K18" i="28" s="1"/>
  <c r="B22" i="27" s="1"/>
  <c r="AI211" i="4"/>
  <c r="N27" i="28"/>
  <c r="K27" i="28" s="1"/>
  <c r="B31" i="27" s="1"/>
  <c r="AC212" i="4"/>
  <c r="H28" i="28" s="1"/>
  <c r="N28" i="28"/>
  <c r="K28" i="28" s="1"/>
  <c r="B32" i="27" s="1"/>
  <c r="D19" i="28"/>
  <c r="E23" i="27" s="1"/>
  <c r="F23" i="27" s="1"/>
  <c r="N11" i="28"/>
  <c r="K11" i="28" s="1"/>
  <c r="B15" i="27" s="1"/>
  <c r="AC190" i="4"/>
  <c r="H6" i="28" s="1"/>
  <c r="N6" i="28"/>
  <c r="K6" i="28" s="1"/>
  <c r="B10" i="27" s="1"/>
  <c r="D18" i="28"/>
  <c r="E22" i="27" s="1"/>
  <c r="N21" i="28"/>
  <c r="K21" i="28" s="1"/>
  <c r="B25" i="27" s="1"/>
  <c r="N8" i="28"/>
  <c r="K8" i="28" s="1"/>
  <c r="B12" i="27" s="1"/>
  <c r="AK58" i="4"/>
  <c r="D61" i="28"/>
  <c r="E65" i="27" s="1"/>
  <c r="F65" i="27" s="1"/>
  <c r="AK37" i="4"/>
  <c r="D29" i="28"/>
  <c r="E33" i="27" s="1"/>
  <c r="F33" i="27" s="1"/>
  <c r="AK179" i="4"/>
  <c r="D50" i="28"/>
  <c r="E54" i="27" s="1"/>
  <c r="F54" i="27" s="1"/>
  <c r="D165" i="28"/>
  <c r="E169" i="27" s="1"/>
  <c r="F169" i="27" s="1"/>
  <c r="D166" i="28"/>
  <c r="E170" i="27" s="1"/>
  <c r="F170" i="27" s="1"/>
  <c r="AK47" i="4"/>
  <c r="AK72" i="4"/>
  <c r="D98" i="28"/>
  <c r="E102" i="27" s="1"/>
  <c r="F102" i="27" s="1"/>
  <c r="D41" i="28"/>
  <c r="E45" i="27" s="1"/>
  <c r="F45" i="27" s="1"/>
  <c r="D76" i="28"/>
  <c r="E80" i="27" s="1"/>
  <c r="F80" i="27" s="1"/>
  <c r="AK184" i="4"/>
  <c r="D52" i="28"/>
  <c r="E56" i="27" s="1"/>
  <c r="F56" i="27" s="1"/>
  <c r="D58" i="28"/>
  <c r="E62" i="27" s="1"/>
  <c r="F62" i="27" s="1"/>
  <c r="AK112" i="4"/>
  <c r="D163" i="28"/>
  <c r="E167" i="27" s="1"/>
  <c r="F167" i="27" s="1"/>
  <c r="AK19" i="4"/>
  <c r="F38" i="27"/>
  <c r="D63" i="28"/>
  <c r="E67" i="27" s="1"/>
  <c r="F67" i="27" s="1"/>
  <c r="AK16" i="4"/>
  <c r="AK76" i="4"/>
  <c r="AC200" i="4"/>
  <c r="H16" i="28" s="1"/>
  <c r="AH200" i="4"/>
  <c r="AK62" i="4"/>
  <c r="AK54" i="4"/>
  <c r="AI201" i="4"/>
  <c r="AK201" i="4" s="1"/>
  <c r="D144" i="28"/>
  <c r="E148" i="27" s="1"/>
  <c r="F148" i="27" s="1"/>
  <c r="AK138" i="4"/>
  <c r="D142" i="28"/>
  <c r="E146" i="27" s="1"/>
  <c r="F146" i="27" s="1"/>
  <c r="D71" i="28"/>
  <c r="E75" i="27" s="1"/>
  <c r="F75" i="27" s="1"/>
  <c r="D60" i="28"/>
  <c r="E64" i="27" s="1"/>
  <c r="F64" i="27" s="1"/>
  <c r="AH201" i="4"/>
  <c r="AK81" i="4"/>
  <c r="AK135" i="4"/>
  <c r="D68" i="28"/>
  <c r="E72" i="27" s="1"/>
  <c r="F72" i="27" s="1"/>
  <c r="AK120" i="4"/>
  <c r="AK99" i="4"/>
  <c r="D74" i="28"/>
  <c r="E78" i="27" s="1"/>
  <c r="F78" i="27" s="1"/>
  <c r="D25" i="28"/>
  <c r="E29" i="27" s="1"/>
  <c r="F29" i="27" s="1"/>
  <c r="AK132" i="4"/>
  <c r="AK33" i="4"/>
  <c r="D21" i="28"/>
  <c r="E25" i="27" s="1"/>
  <c r="AK125" i="4"/>
  <c r="AH192" i="4"/>
  <c r="AH195" i="4"/>
  <c r="AI192" i="4"/>
  <c r="AK192" i="4" s="1"/>
  <c r="AI195" i="4"/>
  <c r="D120" i="28"/>
  <c r="E124" i="27" s="1"/>
  <c r="F124" i="27" s="1"/>
  <c r="AI205" i="4"/>
  <c r="AK205" i="4" s="1"/>
  <c r="F160" i="27"/>
  <c r="AK77" i="4"/>
  <c r="D16" i="28"/>
  <c r="E20" i="27" s="1"/>
  <c r="AK31" i="4"/>
  <c r="D117" i="28"/>
  <c r="E121" i="27" s="1"/>
  <c r="F121" i="27" s="1"/>
  <c r="AK21" i="4"/>
  <c r="D70" i="28"/>
  <c r="E74" i="27" s="1"/>
  <c r="F74" i="27" s="1"/>
  <c r="AI190" i="4"/>
  <c r="D94" i="28"/>
  <c r="E98" i="27" s="1"/>
  <c r="F98" i="27" s="1"/>
  <c r="AK87" i="4"/>
  <c r="D89" i="28"/>
  <c r="E93" i="27" s="1"/>
  <c r="F93" i="27" s="1"/>
  <c r="F107" i="27"/>
  <c r="F26" i="27"/>
  <c r="F106" i="27"/>
  <c r="F104" i="27"/>
  <c r="BJ25" i="4"/>
  <c r="BJ8" i="4" s="1"/>
  <c r="D140" i="28"/>
  <c r="E144" i="27" s="1"/>
  <c r="F144" i="27" s="1"/>
  <c r="AK155" i="4"/>
  <c r="D127" i="28"/>
  <c r="E131" i="27" s="1"/>
  <c r="F131" i="27" s="1"/>
  <c r="AK147" i="4"/>
  <c r="AK154" i="4"/>
  <c r="D139" i="28"/>
  <c r="E143" i="27" s="1"/>
  <c r="F143" i="27" s="1"/>
  <c r="AK177" i="4"/>
  <c r="D157" i="28"/>
  <c r="E161" i="27" s="1"/>
  <c r="F161" i="27" s="1"/>
  <c r="AK144" i="4"/>
  <c r="D123" i="28"/>
  <c r="E127" i="27" s="1"/>
  <c r="F127" i="27" s="1"/>
  <c r="AC206" i="4"/>
  <c r="H22" i="28" s="1"/>
  <c r="AH206" i="4"/>
  <c r="AK39" i="4"/>
  <c r="AK113" i="4"/>
  <c r="AK181" i="4"/>
  <c r="D162" i="28"/>
  <c r="E166" i="27" s="1"/>
  <c r="F166" i="27" s="1"/>
  <c r="AK146" i="4"/>
  <c r="D126" i="28"/>
  <c r="E130" i="27" s="1"/>
  <c r="F130" i="27" s="1"/>
  <c r="AK172" i="4"/>
  <c r="D154" i="28"/>
  <c r="E158" i="27" s="1"/>
  <c r="F158" i="27" s="1"/>
  <c r="AH190" i="4"/>
  <c r="AH205" i="4"/>
  <c r="D149" i="28"/>
  <c r="E153" i="27" s="1"/>
  <c r="F153" i="27" s="1"/>
  <c r="AK164" i="4"/>
  <c r="D148" i="28"/>
  <c r="E152" i="27" s="1"/>
  <c r="F152" i="27" s="1"/>
  <c r="AK119" i="4"/>
  <c r="D10" i="28"/>
  <c r="E14" i="27" s="1"/>
  <c r="F14" i="27" s="1"/>
  <c r="D153" i="28"/>
  <c r="E157" i="27" s="1"/>
  <c r="F157" i="27" s="1"/>
  <c r="AK170" i="4"/>
  <c r="D125" i="28"/>
  <c r="E129" i="27" s="1"/>
  <c r="F129" i="27" s="1"/>
  <c r="AK180" i="4"/>
  <c r="AK183" i="4"/>
  <c r="D134" i="28"/>
  <c r="E138" i="27" s="1"/>
  <c r="F138" i="27" s="1"/>
  <c r="AK173" i="4"/>
  <c r="D155" i="28"/>
  <c r="E159" i="27" s="1"/>
  <c r="F159" i="27" s="1"/>
  <c r="AK149" i="4"/>
  <c r="D130" i="28"/>
  <c r="E134" i="27" s="1"/>
  <c r="F134" i="27" s="1"/>
  <c r="AK174" i="4"/>
  <c r="D176" i="28"/>
  <c r="E180" i="27" s="1"/>
  <c r="F180" i="27" s="1"/>
  <c r="AI212" i="4"/>
  <c r="D132" i="28"/>
  <c r="E136" i="27" s="1"/>
  <c r="F136" i="27" s="1"/>
  <c r="D131" i="28"/>
  <c r="E135" i="27" s="1"/>
  <c r="F135" i="27" s="1"/>
  <c r="AK150" i="4"/>
  <c r="AC191" i="4"/>
  <c r="H7" i="28" s="1"/>
  <c r="AI191" i="4"/>
  <c r="AH191" i="4"/>
  <c r="D146" i="28"/>
  <c r="E150" i="27" s="1"/>
  <c r="F150" i="27" s="1"/>
  <c r="AK160" i="4"/>
  <c r="D145" i="28"/>
  <c r="E149" i="27" s="1"/>
  <c r="F149" i="27" s="1"/>
  <c r="D124" i="28"/>
  <c r="E128" i="27" s="1"/>
  <c r="F128" i="27" s="1"/>
  <c r="AK145" i="4"/>
  <c r="AK101" i="4"/>
  <c r="D99" i="28"/>
  <c r="E103" i="27" s="1"/>
  <c r="F103" i="27" s="1"/>
  <c r="D88" i="28"/>
  <c r="E92" i="27" s="1"/>
  <c r="F92" i="27" s="1"/>
  <c r="AK86" i="4"/>
  <c r="AH210" i="4"/>
  <c r="AC193" i="4"/>
  <c r="H9" i="28" s="1"/>
  <c r="AH193" i="4"/>
  <c r="AI193" i="4"/>
  <c r="AK193" i="4" s="1"/>
  <c r="AC198" i="4"/>
  <c r="H14" i="28" s="1"/>
  <c r="AH198" i="4"/>
  <c r="D30" i="28"/>
  <c r="E34" i="27" s="1"/>
  <c r="F34" i="27" s="1"/>
  <c r="AK124" i="4"/>
  <c r="AH212" i="4"/>
  <c r="F57" i="27"/>
  <c r="D109" i="28"/>
  <c r="E113" i="27" s="1"/>
  <c r="F113" i="27" s="1"/>
  <c r="AK110" i="4"/>
  <c r="AK98" i="4"/>
  <c r="D95" i="28"/>
  <c r="E99" i="27" s="1"/>
  <c r="F99" i="27" s="1"/>
  <c r="F100" i="27"/>
  <c r="AK116" i="4"/>
  <c r="D9" i="28"/>
  <c r="E13" i="27" s="1"/>
  <c r="F13" i="27" s="1"/>
  <c r="AI207" i="4"/>
  <c r="AC207" i="4"/>
  <c r="H23" i="28" s="1"/>
  <c r="AH207" i="4"/>
  <c r="F18" i="27"/>
  <c r="BI25" i="4"/>
  <c r="AC211" i="4"/>
  <c r="H27" i="28" s="1"/>
  <c r="AH211" i="4"/>
  <c r="F91" i="27"/>
  <c r="AI196" i="4"/>
  <c r="AK196" i="4" s="1"/>
  <c r="AC196" i="4"/>
  <c r="H12" i="28" s="1"/>
  <c r="AH196" i="4"/>
  <c r="AK93" i="4"/>
  <c r="D75" i="28"/>
  <c r="E79" i="27" s="1"/>
  <c r="F79" i="27" s="1"/>
  <c r="D92" i="28"/>
  <c r="E96" i="27" s="1"/>
  <c r="F96" i="27" s="1"/>
  <c r="AK88" i="4"/>
  <c r="AC203" i="4"/>
  <c r="H19" i="28" s="1"/>
  <c r="AH203" i="4"/>
  <c r="D17" i="28"/>
  <c r="E21" i="27" s="1"/>
  <c r="F21" i="27" s="1"/>
  <c r="AK133" i="4"/>
  <c r="AC199" i="4"/>
  <c r="H15" i="28" s="1"/>
  <c r="AH199" i="4"/>
  <c r="AI199" i="4"/>
  <c r="AK199" i="4" s="1"/>
  <c r="AI210" i="4"/>
  <c r="D64" i="28"/>
  <c r="E68" i="27" s="1"/>
  <c r="F68" i="27" s="1"/>
  <c r="AK95" i="4"/>
  <c r="AC209" i="4"/>
  <c r="H25" i="28" s="1"/>
  <c r="AH209" i="4"/>
  <c r="AI209" i="4"/>
  <c r="AK209" i="4" s="1"/>
  <c r="D79" i="28"/>
  <c r="E83" i="27" s="1"/>
  <c r="F83" i="27" s="1"/>
  <c r="AK91" i="4"/>
  <c r="AH197" i="4"/>
  <c r="AC197" i="4"/>
  <c r="H13" i="28" s="1"/>
  <c r="AH213" i="4"/>
  <c r="AC213" i="4"/>
  <c r="AH202" i="4"/>
  <c r="AC202" i="4"/>
  <c r="H18" i="28" s="1"/>
  <c r="AH208" i="4"/>
  <c r="AC208" i="4"/>
  <c r="H24" i="28" s="1"/>
  <c r="AH194" i="4"/>
  <c r="AC194" i="4"/>
  <c r="H10" i="28" s="1"/>
  <c r="F52" i="27"/>
  <c r="F42" i="27"/>
  <c r="F40" i="27"/>
  <c r="D81" i="28"/>
  <c r="E85" i="27" s="1"/>
  <c r="F85" i="27" s="1"/>
  <c r="AK57" i="4"/>
  <c r="D80" i="28"/>
  <c r="E84" i="27" s="1"/>
  <c r="F84" i="27" s="1"/>
  <c r="AH204" i="4"/>
  <c r="AI204" i="4"/>
  <c r="BG25" i="4"/>
  <c r="AK78" i="4"/>
  <c r="D181" i="28"/>
  <c r="E185" i="27" s="1"/>
  <c r="F185" i="27" s="1"/>
  <c r="BH25" i="4"/>
  <c r="J3" i="28"/>
  <c r="AI213" i="4"/>
  <c r="AK213" i="4" s="1"/>
  <c r="F123" i="27"/>
  <c r="F41" i="27"/>
  <c r="G3" i="28"/>
  <c r="AI208" i="4"/>
  <c r="AK208" i="4" s="1"/>
  <c r="M3" i="28"/>
  <c r="F43" i="27"/>
  <c r="Q11" i="26"/>
  <c r="R11" i="26" s="1"/>
  <c r="M4" i="28"/>
  <c r="AI10" i="4"/>
  <c r="I11" i="26"/>
  <c r="G4" i="28"/>
  <c r="J11" i="26" s="1"/>
  <c r="AI197" i="4"/>
  <c r="AK197" i="4" s="1"/>
  <c r="H11" i="26"/>
  <c r="J4" i="28"/>
  <c r="N11" i="26" s="1"/>
  <c r="F20" i="27" l="1"/>
  <c r="F25" i="27"/>
  <c r="F22" i="27"/>
  <c r="AK210" i="4"/>
  <c r="D26" i="28"/>
  <c r="E30" i="27" s="1"/>
  <c r="F30" i="27" s="1"/>
  <c r="D24" i="28"/>
  <c r="E28" i="27" s="1"/>
  <c r="F28" i="27" s="1"/>
  <c r="N4" i="28"/>
  <c r="H4" i="28" s="1"/>
  <c r="E11" i="26" s="1"/>
  <c r="F11" i="26" s="1"/>
  <c r="AK204" i="4"/>
  <c r="D20" i="28"/>
  <c r="E24" i="27" s="1"/>
  <c r="F24" i="27" s="1"/>
  <c r="D12" i="28"/>
  <c r="E16" i="27" s="1"/>
  <c r="F16" i="27" s="1"/>
  <c r="D13" i="28"/>
  <c r="E17" i="27" s="1"/>
  <c r="F17" i="27" s="1"/>
  <c r="AK212" i="4"/>
  <c r="D28" i="28"/>
  <c r="E32" i="27" s="1"/>
  <c r="F32" i="27" s="1"/>
  <c r="AK207" i="4"/>
  <c r="D23" i="28"/>
  <c r="E27" i="27" s="1"/>
  <c r="F27" i="27" s="1"/>
  <c r="AK211" i="4"/>
  <c r="D27" i="28"/>
  <c r="E31" i="27" s="1"/>
  <c r="F31" i="27" s="1"/>
  <c r="D15" i="28"/>
  <c r="E19" i="27" s="1"/>
  <c r="F19" i="27" s="1"/>
  <c r="AK190" i="4"/>
  <c r="D6" i="28"/>
  <c r="E10" i="27" s="1"/>
  <c r="F10" i="27" s="1"/>
  <c r="AK195" i="4"/>
  <c r="D11" i="28"/>
  <c r="E15" i="27" s="1"/>
  <c r="F15" i="27" s="1"/>
  <c r="D8" i="28"/>
  <c r="E12" i="27" s="1"/>
  <c r="F12" i="27" s="1"/>
  <c r="K3" i="28"/>
  <c r="AK191" i="4"/>
  <c r="D7" i="28"/>
  <c r="E11" i="27" s="1"/>
  <c r="F11" i="27" s="1"/>
  <c r="H3" i="28"/>
  <c r="G59" i="27" l="1"/>
  <c r="H59" i="27" s="1"/>
  <c r="P59" i="27" s="1"/>
  <c r="G50" i="27"/>
  <c r="H50" i="27" s="1"/>
  <c r="J50" i="27" s="1"/>
  <c r="G116" i="27"/>
  <c r="H116" i="27" s="1"/>
  <c r="J116" i="27" s="1"/>
  <c r="G125" i="27"/>
  <c r="H125" i="27" s="1"/>
  <c r="L125" i="27" s="1"/>
  <c r="G98" i="27"/>
  <c r="H98" i="27" s="1"/>
  <c r="N98" i="27" s="1"/>
  <c r="G93" i="27"/>
  <c r="H93" i="27" s="1"/>
  <c r="M93" i="27" s="1"/>
  <c r="G131" i="27"/>
  <c r="H131" i="27" s="1"/>
  <c r="N131" i="27" s="1"/>
  <c r="G107" i="27"/>
  <c r="H107" i="27" s="1"/>
  <c r="N107" i="27" s="1"/>
  <c r="G143" i="27"/>
  <c r="H143" i="27" s="1"/>
  <c r="N143" i="27" s="1"/>
  <c r="G24" i="27"/>
  <c r="H24" i="27" s="1"/>
  <c r="T24" i="27" s="1"/>
  <c r="G46" i="27"/>
  <c r="H46" i="27" s="1"/>
  <c r="Q46" i="27" s="1"/>
  <c r="G106" i="27"/>
  <c r="H106" i="27" s="1"/>
  <c r="K106" i="27" s="1"/>
  <c r="G71" i="27"/>
  <c r="H71" i="27" s="1"/>
  <c r="N71" i="27" s="1"/>
  <c r="G51" i="27"/>
  <c r="H51" i="27" s="1"/>
  <c r="S51" i="27" s="1"/>
  <c r="G112" i="27"/>
  <c r="H112" i="27" s="1"/>
  <c r="L112" i="27" s="1"/>
  <c r="G140" i="27"/>
  <c r="H140" i="27" s="1"/>
  <c r="N140" i="27" s="1"/>
  <c r="G146" i="27"/>
  <c r="H146" i="27" s="1"/>
  <c r="O146" i="27" s="1"/>
  <c r="G62" i="27"/>
  <c r="H62" i="27" s="1"/>
  <c r="S62" i="27" s="1"/>
  <c r="G26" i="27"/>
  <c r="H26" i="27" s="1"/>
  <c r="M26" i="27" s="1"/>
  <c r="G128" i="27"/>
  <c r="H128" i="27" s="1"/>
  <c r="M128" i="27" s="1"/>
  <c r="G183" i="27"/>
  <c r="H183" i="27" s="1"/>
  <c r="T183" i="27" s="1"/>
  <c r="G95" i="27"/>
  <c r="H95" i="27" s="1"/>
  <c r="P95" i="27" s="1"/>
  <c r="G167" i="27"/>
  <c r="H167" i="27" s="1"/>
  <c r="K167" i="27" s="1"/>
  <c r="G142" i="27"/>
  <c r="H142" i="27" s="1"/>
  <c r="G68" i="27"/>
  <c r="H68" i="27" s="1"/>
  <c r="R68" i="27" s="1"/>
  <c r="G144" i="27"/>
  <c r="H144" i="27" s="1"/>
  <c r="T144" i="27" s="1"/>
  <c r="G36" i="27"/>
  <c r="H36" i="27" s="1"/>
  <c r="R36" i="27" s="1"/>
  <c r="G17" i="27"/>
  <c r="H17" i="27" s="1"/>
  <c r="G19" i="27"/>
  <c r="H19" i="27" s="1"/>
  <c r="K19" i="27" s="1"/>
  <c r="G56" i="27"/>
  <c r="H56" i="27" s="1"/>
  <c r="N56" i="27" s="1"/>
  <c r="G94" i="27"/>
  <c r="H94" i="27" s="1"/>
  <c r="L94" i="27" s="1"/>
  <c r="G156" i="27"/>
  <c r="H156" i="27" s="1"/>
  <c r="Q156" i="27" s="1"/>
  <c r="G83" i="27"/>
  <c r="H83" i="27" s="1"/>
  <c r="L83" i="27" s="1"/>
  <c r="G182" i="27"/>
  <c r="H182" i="27" s="1"/>
  <c r="N182" i="27" s="1"/>
  <c r="G64" i="27"/>
  <c r="H64" i="27" s="1"/>
  <c r="Q64" i="27" s="1"/>
  <c r="G10" i="27"/>
  <c r="H10" i="27" s="1"/>
  <c r="G11" i="27"/>
  <c r="H11" i="27" s="1"/>
  <c r="N11" i="27" s="1"/>
  <c r="G18" i="27"/>
  <c r="H18" i="27" s="1"/>
  <c r="L18" i="27" s="1"/>
  <c r="G72" i="27"/>
  <c r="H72" i="27" s="1"/>
  <c r="Q72" i="27" s="1"/>
  <c r="G134" i="27"/>
  <c r="H134" i="27" s="1"/>
  <c r="G153" i="27"/>
  <c r="H153" i="27" s="1"/>
  <c r="S153" i="27" s="1"/>
  <c r="G130" i="27"/>
  <c r="H130" i="27" s="1"/>
  <c r="L130" i="27" s="1"/>
  <c r="G35" i="27"/>
  <c r="H35" i="27" s="1"/>
  <c r="K35" i="27" s="1"/>
  <c r="G60" i="27"/>
  <c r="H60" i="27" s="1"/>
  <c r="G147" i="27"/>
  <c r="H147" i="27" s="1"/>
  <c r="O147" i="27" s="1"/>
  <c r="G168" i="27"/>
  <c r="H168" i="27" s="1"/>
  <c r="S168" i="27" s="1"/>
  <c r="G160" i="27"/>
  <c r="H160" i="27" s="1"/>
  <c r="G180" i="27"/>
  <c r="H180" i="27" s="1"/>
  <c r="G89" i="27"/>
  <c r="H89" i="27" s="1"/>
  <c r="R89" i="27" s="1"/>
  <c r="G97" i="27"/>
  <c r="H97" i="27" s="1"/>
  <c r="J97" i="27" s="1"/>
  <c r="G37" i="27"/>
  <c r="H37" i="27" s="1"/>
  <c r="R37" i="27" s="1"/>
  <c r="G165" i="27"/>
  <c r="H165" i="27" s="1"/>
  <c r="G39" i="27"/>
  <c r="H39" i="27" s="1"/>
  <c r="P39" i="27" s="1"/>
  <c r="G123" i="27"/>
  <c r="H123" i="27" s="1"/>
  <c r="K123" i="27" s="1"/>
  <c r="G117" i="27"/>
  <c r="H117" i="27" s="1"/>
  <c r="R117" i="27" s="1"/>
  <c r="G32" i="27"/>
  <c r="H32" i="27" s="1"/>
  <c r="S32" i="27" s="1"/>
  <c r="G103" i="27"/>
  <c r="H103" i="27" s="1"/>
  <c r="O103" i="27" s="1"/>
  <c r="G49" i="27"/>
  <c r="H49" i="27" s="1"/>
  <c r="P49" i="27" s="1"/>
  <c r="G159" i="27"/>
  <c r="H159" i="27" s="1"/>
  <c r="M159" i="27" s="1"/>
  <c r="G152" i="27"/>
  <c r="H152" i="27" s="1"/>
  <c r="T152" i="27" s="1"/>
  <c r="G171" i="27"/>
  <c r="H171" i="27" s="1"/>
  <c r="N171" i="27" s="1"/>
  <c r="G124" i="27"/>
  <c r="H124" i="27" s="1"/>
  <c r="L124" i="27" s="1"/>
  <c r="G13" i="27"/>
  <c r="H13" i="27" s="1"/>
  <c r="J13" i="27" s="1"/>
  <c r="G113" i="27"/>
  <c r="H113" i="27" s="1"/>
  <c r="S113" i="27" s="1"/>
  <c r="G14" i="27"/>
  <c r="H14" i="27" s="1"/>
  <c r="Q14" i="27" s="1"/>
  <c r="G66" i="27"/>
  <c r="H66" i="27" s="1"/>
  <c r="G70" i="27"/>
  <c r="H70" i="27" s="1"/>
  <c r="R70" i="27" s="1"/>
  <c r="G81" i="27"/>
  <c r="H81" i="27" s="1"/>
  <c r="J81" i="27" s="1"/>
  <c r="G44" i="27"/>
  <c r="H44" i="27" s="1"/>
  <c r="S44" i="27" s="1"/>
  <c r="G149" i="27"/>
  <c r="H149" i="27" s="1"/>
  <c r="G111" i="27"/>
  <c r="H111" i="27" s="1"/>
  <c r="P111" i="27" s="1"/>
  <c r="G177" i="27"/>
  <c r="H177" i="27" s="1"/>
  <c r="J177" i="27" s="1"/>
  <c r="G129" i="27"/>
  <c r="H129" i="27" s="1"/>
  <c r="N129" i="27" s="1"/>
  <c r="G21" i="27"/>
  <c r="H21" i="27" s="1"/>
  <c r="G174" i="27"/>
  <c r="H174" i="27" s="1"/>
  <c r="N174" i="27" s="1"/>
  <c r="G161" i="27"/>
  <c r="H161" i="27" s="1"/>
  <c r="R161" i="27" s="1"/>
  <c r="G99" i="27"/>
  <c r="H99" i="27" s="1"/>
  <c r="P99" i="27" s="1"/>
  <c r="G91" i="27"/>
  <c r="H91" i="27" s="1"/>
  <c r="L91" i="27" s="1"/>
  <c r="G163" i="27"/>
  <c r="H163" i="27" s="1"/>
  <c r="S163" i="27" s="1"/>
  <c r="G172" i="27"/>
  <c r="H172" i="27" s="1"/>
  <c r="N172" i="27" s="1"/>
  <c r="G184" i="27"/>
  <c r="H184" i="27" s="1"/>
  <c r="M184" i="27" s="1"/>
  <c r="G38" i="27"/>
  <c r="H38" i="27" s="1"/>
  <c r="M38" i="27" s="1"/>
  <c r="G47" i="27"/>
  <c r="H47" i="27" s="1"/>
  <c r="P47" i="27" s="1"/>
  <c r="G31" i="27"/>
  <c r="H31" i="27" s="1"/>
  <c r="S31" i="27" s="1"/>
  <c r="G90" i="27"/>
  <c r="H90" i="27" s="1"/>
  <c r="G82" i="27"/>
  <c r="H82" i="27" s="1"/>
  <c r="P82" i="27" s="1"/>
  <c r="G101" i="27"/>
  <c r="H101" i="27" s="1"/>
  <c r="K101" i="27" s="1"/>
  <c r="G136" i="27"/>
  <c r="H136" i="27" s="1"/>
  <c r="N136" i="27" s="1"/>
  <c r="G145" i="27"/>
  <c r="H145" i="27" s="1"/>
  <c r="J145" i="27" s="1"/>
  <c r="G85" i="27"/>
  <c r="H85" i="27" s="1"/>
  <c r="G42" i="27"/>
  <c r="H42" i="27" s="1"/>
  <c r="N42" i="27" s="1"/>
  <c r="G73" i="27"/>
  <c r="H73" i="27" s="1"/>
  <c r="O73" i="27" s="1"/>
  <c r="G88" i="27"/>
  <c r="H88" i="27" s="1"/>
  <c r="G28" i="27"/>
  <c r="H28" i="27" s="1"/>
  <c r="G92" i="27"/>
  <c r="H92" i="27" s="1"/>
  <c r="P92" i="27" s="1"/>
  <c r="G34" i="27"/>
  <c r="H34" i="27" s="1"/>
  <c r="Q34" i="27" s="1"/>
  <c r="G169" i="27"/>
  <c r="H169" i="27" s="1"/>
  <c r="S169" i="27" s="1"/>
  <c r="G155" i="27"/>
  <c r="H155" i="27" s="1"/>
  <c r="G150" i="27"/>
  <c r="H150" i="27" s="1"/>
  <c r="S150" i="27" s="1"/>
  <c r="G175" i="27"/>
  <c r="H175" i="27" s="1"/>
  <c r="P175" i="27" s="1"/>
  <c r="G120" i="27"/>
  <c r="H120" i="27" s="1"/>
  <c r="S120" i="27" s="1"/>
  <c r="G139" i="27"/>
  <c r="H139" i="27" s="1"/>
  <c r="G41" i="27"/>
  <c r="H41" i="27" s="1"/>
  <c r="M41" i="27" s="1"/>
  <c r="G79" i="27"/>
  <c r="H79" i="27" s="1"/>
  <c r="O79" i="27" s="1"/>
  <c r="G84" i="27"/>
  <c r="H84" i="27" s="1"/>
  <c r="G158" i="27"/>
  <c r="H158" i="27" s="1"/>
  <c r="G57" i="27"/>
  <c r="H57" i="27" s="1"/>
  <c r="J57" i="27" s="1"/>
  <c r="G86" i="27"/>
  <c r="H86" i="27" s="1"/>
  <c r="J86" i="27" s="1"/>
  <c r="G178" i="27"/>
  <c r="H178" i="27" s="1"/>
  <c r="M178" i="27" s="1"/>
  <c r="G122" i="27"/>
  <c r="H122" i="27" s="1"/>
  <c r="K122" i="27" s="1"/>
  <c r="G29" i="27"/>
  <c r="H29" i="27" s="1"/>
  <c r="S29" i="27" s="1"/>
  <c r="G121" i="27"/>
  <c r="H121" i="27" s="1"/>
  <c r="S121" i="27" s="1"/>
  <c r="G78" i="27"/>
  <c r="H78" i="27" s="1"/>
  <c r="T78" i="27" s="1"/>
  <c r="G16" i="27"/>
  <c r="H16" i="27" s="1"/>
  <c r="O16" i="27" s="1"/>
  <c r="G55" i="27"/>
  <c r="H55" i="27" s="1"/>
  <c r="T55" i="27" s="1"/>
  <c r="G76" i="27"/>
  <c r="H76" i="27" s="1"/>
  <c r="O76" i="27" s="1"/>
  <c r="G162" i="27"/>
  <c r="H162" i="27" s="1"/>
  <c r="N162" i="27" s="1"/>
  <c r="G77" i="27"/>
  <c r="H77" i="27" s="1"/>
  <c r="G151" i="27"/>
  <c r="H151" i="27" s="1"/>
  <c r="R151" i="27" s="1"/>
  <c r="G63" i="27"/>
  <c r="H63" i="27" s="1"/>
  <c r="S63" i="27" s="1"/>
  <c r="G104" i="27"/>
  <c r="H104" i="27" s="1"/>
  <c r="J104" i="27" s="1"/>
  <c r="G69" i="27"/>
  <c r="H69" i="27" s="1"/>
  <c r="L69" i="27" s="1"/>
  <c r="G80" i="27"/>
  <c r="H80" i="27" s="1"/>
  <c r="P80" i="27" s="1"/>
  <c r="G105" i="27"/>
  <c r="H105" i="27" s="1"/>
  <c r="Q105" i="27" s="1"/>
  <c r="G115" i="27"/>
  <c r="H115" i="27" s="1"/>
  <c r="T115" i="27" s="1"/>
  <c r="G53" i="27"/>
  <c r="H53" i="27" s="1"/>
  <c r="R53" i="27" s="1"/>
  <c r="G22" i="27"/>
  <c r="H22" i="27" s="1"/>
  <c r="Q22" i="27" s="1"/>
  <c r="G61" i="27"/>
  <c r="H61" i="27" s="1"/>
  <c r="O61" i="27" s="1"/>
  <c r="G157" i="27"/>
  <c r="H157" i="27" s="1"/>
  <c r="Q157" i="27" s="1"/>
  <c r="G170" i="27"/>
  <c r="H170" i="27" s="1"/>
  <c r="K170" i="27" s="1"/>
  <c r="G132" i="27"/>
  <c r="H132" i="27" s="1"/>
  <c r="P132" i="27" s="1"/>
  <c r="G185" i="27"/>
  <c r="H185" i="27" s="1"/>
  <c r="L185" i="27" s="1"/>
  <c r="G65" i="27"/>
  <c r="H65" i="27" s="1"/>
  <c r="S65" i="27" s="1"/>
  <c r="G25" i="27"/>
  <c r="H25" i="27" s="1"/>
  <c r="J25" i="27" s="1"/>
  <c r="G96" i="27"/>
  <c r="H96" i="27" s="1"/>
  <c r="R96" i="27" s="1"/>
  <c r="G119" i="27"/>
  <c r="H119" i="27" s="1"/>
  <c r="Q119" i="27" s="1"/>
  <c r="G45" i="27"/>
  <c r="H45" i="27" s="1"/>
  <c r="R45" i="27" s="1"/>
  <c r="G164" i="27"/>
  <c r="H164" i="27" s="1"/>
  <c r="G138" i="27"/>
  <c r="H138" i="27" s="1"/>
  <c r="R138" i="27" s="1"/>
  <c r="G176" i="27"/>
  <c r="H176" i="27" s="1"/>
  <c r="P176" i="27" s="1"/>
  <c r="G74" i="27"/>
  <c r="H74" i="27" s="1"/>
  <c r="M74" i="27" s="1"/>
  <c r="G12" i="27"/>
  <c r="H12" i="27" s="1"/>
  <c r="S12" i="27" s="1"/>
  <c r="G126" i="27"/>
  <c r="H126" i="27" s="1"/>
  <c r="T126" i="27" s="1"/>
  <c r="G108" i="27"/>
  <c r="H108" i="27" s="1"/>
  <c r="O108" i="27" s="1"/>
  <c r="G118" i="27"/>
  <c r="H118" i="27" s="1"/>
  <c r="R118" i="27" s="1"/>
  <c r="G114" i="27"/>
  <c r="H114" i="27" s="1"/>
  <c r="G179" i="27"/>
  <c r="H179" i="27" s="1"/>
  <c r="M179" i="27" s="1"/>
  <c r="G141" i="27"/>
  <c r="H141" i="27" s="1"/>
  <c r="M141" i="27" s="1"/>
  <c r="G102" i="27"/>
  <c r="H102" i="27" s="1"/>
  <c r="L102" i="27" s="1"/>
  <c r="G48" i="27"/>
  <c r="H48" i="27" s="1"/>
  <c r="G110" i="27"/>
  <c r="H110" i="27" s="1"/>
  <c r="R110" i="27" s="1"/>
  <c r="G52" i="27"/>
  <c r="H52" i="27" s="1"/>
  <c r="S52" i="27" s="1"/>
  <c r="G27" i="27"/>
  <c r="H27" i="27" s="1"/>
  <c r="M27" i="27" s="1"/>
  <c r="G33" i="27"/>
  <c r="H33" i="27" s="1"/>
  <c r="O33" i="27" s="1"/>
  <c r="G40" i="27"/>
  <c r="H40" i="27" s="1"/>
  <c r="M40" i="27" s="1"/>
  <c r="G87" i="27"/>
  <c r="H87" i="27" s="1"/>
  <c r="O87" i="27" s="1"/>
  <c r="G148" i="27"/>
  <c r="H148" i="27" s="1"/>
  <c r="M148" i="27" s="1"/>
  <c r="G23" i="27"/>
  <c r="H23" i="27" s="1"/>
  <c r="Q23" i="27" s="1"/>
  <c r="G58" i="27"/>
  <c r="H58" i="27" s="1"/>
  <c r="Q58" i="27" s="1"/>
  <c r="G173" i="27"/>
  <c r="H173" i="27" s="1"/>
  <c r="L173" i="27" s="1"/>
  <c r="G20" i="27"/>
  <c r="H20" i="27" s="1"/>
  <c r="P20" i="27" s="1"/>
  <c r="G15" i="27"/>
  <c r="H15" i="27" s="1"/>
  <c r="P15" i="27" s="1"/>
  <c r="G75" i="27"/>
  <c r="H75" i="27" s="1"/>
  <c r="T75" i="27" s="1"/>
  <c r="G100" i="27"/>
  <c r="H100" i="27" s="1"/>
  <c r="J100" i="27" s="1"/>
  <c r="G135" i="27"/>
  <c r="H135" i="27" s="1"/>
  <c r="R135" i="27" s="1"/>
  <c r="G30" i="27"/>
  <c r="H30" i="27" s="1"/>
  <c r="G109" i="27"/>
  <c r="H109" i="27" s="1"/>
  <c r="S109" i="27" s="1"/>
  <c r="G67" i="27"/>
  <c r="H67" i="27" s="1"/>
  <c r="K67" i="27" s="1"/>
  <c r="G127" i="27"/>
  <c r="H127" i="27" s="1"/>
  <c r="G43" i="27"/>
  <c r="H43" i="27" s="1"/>
  <c r="R43" i="27" s="1"/>
  <c r="G137" i="27"/>
  <c r="H137" i="27" s="1"/>
  <c r="N137" i="27" s="1"/>
  <c r="G133" i="27"/>
  <c r="H133" i="27" s="1"/>
  <c r="O133" i="27" s="1"/>
  <c r="G166" i="27"/>
  <c r="H166" i="27" s="1"/>
  <c r="P166" i="27" s="1"/>
  <c r="G54" i="27"/>
  <c r="H54" i="27" s="1"/>
  <c r="G154" i="27"/>
  <c r="H154" i="27" s="1"/>
  <c r="T154" i="27" s="1"/>
  <c r="G181" i="27"/>
  <c r="H181" i="27" s="1"/>
  <c r="J181" i="27" s="1"/>
  <c r="L11" i="26"/>
  <c r="K4" i="28"/>
  <c r="O11" i="26" s="1"/>
  <c r="M101" i="27" l="1"/>
  <c r="R136" i="27"/>
  <c r="L153" i="27"/>
  <c r="S19" i="27"/>
  <c r="K39" i="27"/>
  <c r="K147" i="27"/>
  <c r="M59" i="27"/>
  <c r="N32" i="27"/>
  <c r="O59" i="27"/>
  <c r="J98" i="27"/>
  <c r="N111" i="27"/>
  <c r="P83" i="27"/>
  <c r="P19" i="27"/>
  <c r="J32" i="27"/>
  <c r="Q42" i="27"/>
  <c r="K183" i="27"/>
  <c r="N19" i="27"/>
  <c r="N113" i="27"/>
  <c r="R41" i="27"/>
  <c r="L146" i="27"/>
  <c r="Q19" i="27"/>
  <c r="L113" i="27"/>
  <c r="T89" i="27"/>
  <c r="R11" i="27"/>
  <c r="T146" i="27"/>
  <c r="S59" i="27"/>
  <c r="Q68" i="27"/>
  <c r="J39" i="27"/>
  <c r="Q174" i="27"/>
  <c r="Q11" i="27"/>
  <c r="L11" i="27"/>
  <c r="K71" i="27"/>
  <c r="N146" i="27"/>
  <c r="N59" i="27"/>
  <c r="M98" i="27"/>
  <c r="K83" i="27"/>
  <c r="T19" i="27"/>
  <c r="L147" i="27"/>
  <c r="Q39" i="27"/>
  <c r="M113" i="27"/>
  <c r="N39" i="27"/>
  <c r="R83" i="27"/>
  <c r="S11" i="27"/>
  <c r="K151" i="27"/>
  <c r="P113" i="27"/>
  <c r="K143" i="27"/>
  <c r="P71" i="27"/>
  <c r="S101" i="27"/>
  <c r="T47" i="27"/>
  <c r="J183" i="27"/>
  <c r="R19" i="27"/>
  <c r="N68" i="27"/>
  <c r="P147" i="27"/>
  <c r="P32" i="27"/>
  <c r="J89" i="27"/>
  <c r="R153" i="27"/>
  <c r="K153" i="27"/>
  <c r="M11" i="27"/>
  <c r="S39" i="27"/>
  <c r="J146" i="27"/>
  <c r="R143" i="27"/>
  <c r="O143" i="27"/>
  <c r="Q59" i="27"/>
  <c r="O98" i="27"/>
  <c r="T68" i="27"/>
  <c r="T83" i="27"/>
  <c r="L183" i="27"/>
  <c r="O163" i="27"/>
  <c r="S147" i="27"/>
  <c r="O32" i="27"/>
  <c r="M174" i="27"/>
  <c r="S89" i="27"/>
  <c r="L163" i="27"/>
  <c r="S183" i="27"/>
  <c r="N153" i="27"/>
  <c r="J11" i="27"/>
  <c r="O41" i="27"/>
  <c r="R59" i="27"/>
  <c r="T143" i="27"/>
  <c r="L143" i="27"/>
  <c r="Q143" i="27"/>
  <c r="S92" i="27"/>
  <c r="O70" i="27"/>
  <c r="L174" i="27"/>
  <c r="L111" i="27"/>
  <c r="L92" i="27"/>
  <c r="P42" i="27"/>
  <c r="J150" i="27"/>
  <c r="T92" i="27"/>
  <c r="L150" i="27"/>
  <c r="M32" i="27"/>
  <c r="R39" i="27"/>
  <c r="S70" i="27"/>
  <c r="N163" i="27"/>
  <c r="K113" i="27"/>
  <c r="R163" i="27"/>
  <c r="M57" i="27"/>
  <c r="N150" i="27"/>
  <c r="J101" i="27"/>
  <c r="K59" i="27"/>
  <c r="P98" i="27"/>
  <c r="R98" i="27"/>
  <c r="M19" i="27"/>
  <c r="M83" i="27"/>
  <c r="N183" i="27"/>
  <c r="O68" i="27"/>
  <c r="L70" i="27"/>
  <c r="J147" i="27"/>
  <c r="T39" i="27"/>
  <c r="R32" i="27"/>
  <c r="T70" i="27"/>
  <c r="T111" i="27"/>
  <c r="O113" i="27"/>
  <c r="K32" i="27"/>
  <c r="M111" i="27"/>
  <c r="T163" i="27"/>
  <c r="Q83" i="27"/>
  <c r="P68" i="27"/>
  <c r="Q153" i="27"/>
  <c r="K11" i="27"/>
  <c r="Q92" i="27"/>
  <c r="N41" i="27"/>
  <c r="T41" i="27"/>
  <c r="T113" i="27"/>
  <c r="S71" i="27"/>
  <c r="P143" i="27"/>
  <c r="R71" i="27"/>
  <c r="O89" i="27"/>
  <c r="Q71" i="27"/>
  <c r="K42" i="27"/>
  <c r="R42" i="27"/>
  <c r="L98" i="27"/>
  <c r="J59" i="27"/>
  <c r="T98" i="27"/>
  <c r="K98" i="27"/>
  <c r="R183" i="27"/>
  <c r="K68" i="27"/>
  <c r="N83" i="27"/>
  <c r="O19" i="27"/>
  <c r="L68" i="27"/>
  <c r="M47" i="27"/>
  <c r="K163" i="27"/>
  <c r="T147" i="27"/>
  <c r="Q147" i="27"/>
  <c r="L39" i="27"/>
  <c r="L32" i="27"/>
  <c r="P70" i="27"/>
  <c r="P174" i="27"/>
  <c r="K89" i="27"/>
  <c r="P89" i="27"/>
  <c r="N89" i="27"/>
  <c r="R147" i="27"/>
  <c r="J111" i="27"/>
  <c r="P163" i="27"/>
  <c r="J83" i="27"/>
  <c r="L19" i="27"/>
  <c r="T153" i="27"/>
  <c r="M153" i="27"/>
  <c r="P11" i="27"/>
  <c r="J174" i="27"/>
  <c r="O92" i="27"/>
  <c r="T150" i="27"/>
  <c r="P41" i="27"/>
  <c r="N29" i="27"/>
  <c r="N147" i="27"/>
  <c r="J143" i="27"/>
  <c r="L71" i="27"/>
  <c r="R146" i="27"/>
  <c r="M143" i="27"/>
  <c r="M146" i="27"/>
  <c r="S143" i="27"/>
  <c r="O71" i="27"/>
  <c r="S136" i="27"/>
  <c r="M42" i="27"/>
  <c r="R152" i="27"/>
  <c r="N47" i="27"/>
  <c r="Q47" i="27"/>
  <c r="R111" i="27"/>
  <c r="J152" i="27"/>
  <c r="K70" i="27"/>
  <c r="N70" i="27"/>
  <c r="R174" i="27"/>
  <c r="J113" i="27"/>
  <c r="S111" i="27"/>
  <c r="Q152" i="27"/>
  <c r="O111" i="27"/>
  <c r="Q163" i="27"/>
  <c r="J92" i="27"/>
  <c r="L57" i="27"/>
  <c r="J41" i="27"/>
  <c r="O150" i="27"/>
  <c r="S41" i="27"/>
  <c r="M29" i="27"/>
  <c r="R113" i="27"/>
  <c r="R101" i="27"/>
  <c r="L101" i="27"/>
  <c r="N101" i="27"/>
  <c r="P152" i="27"/>
  <c r="M152" i="27"/>
  <c r="S152" i="27"/>
  <c r="S73" i="27"/>
  <c r="N132" i="27"/>
  <c r="L132" i="27"/>
  <c r="Q73" i="27"/>
  <c r="R47" i="27"/>
  <c r="M183" i="27"/>
  <c r="L59" i="27"/>
  <c r="T59" i="27"/>
  <c r="Q98" i="27"/>
  <c r="S98" i="27"/>
  <c r="M68" i="27"/>
  <c r="J19" i="27"/>
  <c r="P183" i="27"/>
  <c r="O83" i="27"/>
  <c r="Q183" i="27"/>
  <c r="S68" i="27"/>
  <c r="J68" i="27"/>
  <c r="L47" i="27"/>
  <c r="K174" i="27"/>
  <c r="Q89" i="27"/>
  <c r="Q113" i="27"/>
  <c r="M147" i="27"/>
  <c r="O39" i="27"/>
  <c r="M39" i="27"/>
  <c r="Q32" i="27"/>
  <c r="T32" i="27"/>
  <c r="J70" i="27"/>
  <c r="Q70" i="27"/>
  <c r="S174" i="27"/>
  <c r="O174" i="27"/>
  <c r="L152" i="27"/>
  <c r="T171" i="27"/>
  <c r="M89" i="27"/>
  <c r="L89" i="27"/>
  <c r="T174" i="27"/>
  <c r="O152" i="27"/>
  <c r="K111" i="27"/>
  <c r="Q111" i="27"/>
  <c r="M163" i="27"/>
  <c r="J163" i="27"/>
  <c r="S83" i="27"/>
  <c r="O183" i="27"/>
  <c r="O153" i="27"/>
  <c r="P153" i="27"/>
  <c r="J153" i="27"/>
  <c r="T11" i="27"/>
  <c r="O11" i="27"/>
  <c r="O55" i="27"/>
  <c r="K92" i="27"/>
  <c r="R57" i="27"/>
  <c r="P150" i="27"/>
  <c r="K150" i="27"/>
  <c r="M150" i="27"/>
  <c r="Q41" i="27"/>
  <c r="K29" i="27"/>
  <c r="N152" i="27"/>
  <c r="M70" i="27"/>
  <c r="M71" i="27"/>
  <c r="Q146" i="27"/>
  <c r="J71" i="27"/>
  <c r="S146" i="27"/>
  <c r="T71" i="27"/>
  <c r="K152" i="27"/>
  <c r="P146" i="27"/>
  <c r="L93" i="27"/>
  <c r="K146" i="27"/>
  <c r="O101" i="27"/>
  <c r="T101" i="27"/>
  <c r="L42" i="27"/>
  <c r="Q136" i="27"/>
  <c r="T42" i="27"/>
  <c r="O75" i="27"/>
  <c r="J40" i="27"/>
  <c r="Q80" i="27"/>
  <c r="O47" i="27"/>
  <c r="J47" i="27"/>
  <c r="S47" i="27"/>
  <c r="K47" i="27"/>
  <c r="R132" i="27"/>
  <c r="P22" i="27"/>
  <c r="S22" i="27"/>
  <c r="S151" i="27"/>
  <c r="P96" i="27"/>
  <c r="M55" i="27"/>
  <c r="M92" i="27"/>
  <c r="R92" i="27"/>
  <c r="T57" i="27"/>
  <c r="R29" i="27"/>
  <c r="R150" i="27"/>
  <c r="Q150" i="27"/>
  <c r="L41" i="27"/>
  <c r="K41" i="27"/>
  <c r="L29" i="27"/>
  <c r="O42" i="27"/>
  <c r="P101" i="27"/>
  <c r="S42" i="27"/>
  <c r="Q101" i="27"/>
  <c r="J42" i="27"/>
  <c r="N92" i="27"/>
  <c r="N80" i="27"/>
  <c r="S132" i="27"/>
  <c r="M22" i="27"/>
  <c r="L179" i="27"/>
  <c r="J80" i="27"/>
  <c r="L96" i="27"/>
  <c r="Q55" i="27"/>
  <c r="P151" i="27"/>
  <c r="S144" i="27"/>
  <c r="K58" i="27"/>
  <c r="S18" i="27"/>
  <c r="N34" i="27"/>
  <c r="J151" i="27"/>
  <c r="T80" i="27"/>
  <c r="J119" i="27"/>
  <c r="J96" i="27"/>
  <c r="N55" i="27"/>
  <c r="S55" i="27"/>
  <c r="O151" i="27"/>
  <c r="K55" i="27"/>
  <c r="O80" i="27"/>
  <c r="Q40" i="27"/>
  <c r="R95" i="27"/>
  <c r="S105" i="27"/>
  <c r="M96" i="27"/>
  <c r="S96" i="27"/>
  <c r="O132" i="27"/>
  <c r="M34" i="27"/>
  <c r="Q24" i="27"/>
  <c r="Q62" i="27"/>
  <c r="P50" i="27"/>
  <c r="J108" i="27"/>
  <c r="T108" i="27"/>
  <c r="Q51" i="27"/>
  <c r="R133" i="27"/>
  <c r="L133" i="27"/>
  <c r="Q168" i="27"/>
  <c r="O130" i="27"/>
  <c r="T79" i="27"/>
  <c r="K86" i="27"/>
  <c r="M67" i="27"/>
  <c r="K182" i="27"/>
  <c r="T172" i="27"/>
  <c r="Q171" i="27"/>
  <c r="P62" i="27"/>
  <c r="K61" i="27"/>
  <c r="J182" i="27"/>
  <c r="L56" i="27"/>
  <c r="P81" i="27"/>
  <c r="M168" i="27"/>
  <c r="M97" i="27"/>
  <c r="T97" i="27"/>
  <c r="R177" i="27"/>
  <c r="P103" i="27"/>
  <c r="R130" i="27"/>
  <c r="J18" i="27"/>
  <c r="R79" i="27"/>
  <c r="M177" i="27"/>
  <c r="M62" i="27"/>
  <c r="L67" i="27"/>
  <c r="K93" i="27"/>
  <c r="L95" i="27"/>
  <c r="S50" i="27"/>
  <c r="L50" i="27"/>
  <c r="O182" i="27"/>
  <c r="R182" i="27"/>
  <c r="N31" i="27"/>
  <c r="R105" i="27"/>
  <c r="S95" i="27"/>
  <c r="T168" i="27"/>
  <c r="M172" i="27"/>
  <c r="R81" i="27"/>
  <c r="T182" i="27"/>
  <c r="P34" i="27"/>
  <c r="M76" i="27"/>
  <c r="J51" i="27"/>
  <c r="O24" i="27"/>
  <c r="M51" i="27"/>
  <c r="T133" i="27"/>
  <c r="M24" i="27"/>
  <c r="K62" i="27"/>
  <c r="P73" i="27"/>
  <c r="J31" i="27"/>
  <c r="R63" i="27"/>
  <c r="M144" i="27"/>
  <c r="K52" i="27"/>
  <c r="Q50" i="27"/>
  <c r="L171" i="27"/>
  <c r="O177" i="27"/>
  <c r="L103" i="27"/>
  <c r="N123" i="27"/>
  <c r="K130" i="27"/>
  <c r="N61" i="27"/>
  <c r="N18" i="27"/>
  <c r="J175" i="27"/>
  <c r="O51" i="27"/>
  <c r="Q108" i="27"/>
  <c r="K181" i="27"/>
  <c r="M181" i="27"/>
  <c r="M31" i="27"/>
  <c r="N50" i="27"/>
  <c r="N173" i="27"/>
  <c r="O56" i="27"/>
  <c r="N87" i="27"/>
  <c r="M182" i="27"/>
  <c r="K56" i="27"/>
  <c r="M50" i="27"/>
  <c r="T50" i="27"/>
  <c r="K95" i="27"/>
  <c r="R97" i="27"/>
  <c r="O161" i="27"/>
  <c r="S171" i="27"/>
  <c r="J130" i="27"/>
  <c r="K144" i="27"/>
  <c r="M119" i="27"/>
  <c r="M56" i="27"/>
  <c r="L175" i="27"/>
  <c r="L63" i="27"/>
  <c r="M175" i="27"/>
  <c r="T93" i="27"/>
  <c r="N93" i="27"/>
  <c r="L51" i="27"/>
  <c r="R176" i="27"/>
  <c r="K63" i="27"/>
  <c r="Q118" i="27"/>
  <c r="R87" i="27"/>
  <c r="L61" i="27"/>
  <c r="P185" i="27"/>
  <c r="R175" i="27"/>
  <c r="L86" i="27"/>
  <c r="R67" i="27"/>
  <c r="J179" i="27"/>
  <c r="J22" i="27"/>
  <c r="T22" i="27"/>
  <c r="J110" i="27"/>
  <c r="L22" i="27"/>
  <c r="N151" i="27"/>
  <c r="S80" i="27"/>
  <c r="M151" i="27"/>
  <c r="O110" i="27"/>
  <c r="N96" i="27"/>
  <c r="M132" i="27"/>
  <c r="K132" i="27"/>
  <c r="Q151" i="27"/>
  <c r="L151" i="27"/>
  <c r="J55" i="27"/>
  <c r="K57" i="27"/>
  <c r="S57" i="27"/>
  <c r="T29" i="27"/>
  <c r="O29" i="27"/>
  <c r="Q29" i="27"/>
  <c r="R55" i="27"/>
  <c r="J109" i="27"/>
  <c r="S154" i="27"/>
  <c r="R40" i="27"/>
  <c r="R80" i="27"/>
  <c r="N179" i="27"/>
  <c r="R22" i="27"/>
  <c r="K22" i="27"/>
  <c r="O22" i="27"/>
  <c r="M80" i="27"/>
  <c r="K80" i="27"/>
  <c r="T151" i="27"/>
  <c r="Q132" i="27"/>
  <c r="N22" i="27"/>
  <c r="K96" i="27"/>
  <c r="Q96" i="27"/>
  <c r="T132" i="27"/>
  <c r="L80" i="27"/>
  <c r="L55" i="27"/>
  <c r="P55" i="27"/>
  <c r="Q57" i="27"/>
  <c r="N57" i="27"/>
  <c r="P57" i="27"/>
  <c r="J29" i="27"/>
  <c r="P29" i="27"/>
  <c r="O57" i="27"/>
  <c r="K75" i="27"/>
  <c r="J141" i="27"/>
  <c r="K173" i="27"/>
  <c r="K100" i="27"/>
  <c r="Q144" i="27"/>
  <c r="P144" i="27"/>
  <c r="O144" i="27"/>
  <c r="J144" i="27"/>
  <c r="R31" i="27"/>
  <c r="P31" i="27"/>
  <c r="K176" i="27"/>
  <c r="S173" i="27"/>
  <c r="R108" i="27"/>
  <c r="S56" i="27"/>
  <c r="P52" i="27"/>
  <c r="R56" i="27"/>
  <c r="J105" i="27"/>
  <c r="K168" i="27"/>
  <c r="S161" i="27"/>
  <c r="K171" i="27"/>
  <c r="K161" i="27"/>
  <c r="P168" i="27"/>
  <c r="T123" i="27"/>
  <c r="M81" i="27"/>
  <c r="Q182" i="27"/>
  <c r="S182" i="27"/>
  <c r="T18" i="27"/>
  <c r="O34" i="27"/>
  <c r="S79" i="27"/>
  <c r="R121" i="27"/>
  <c r="P105" i="27"/>
  <c r="K79" i="27"/>
  <c r="P100" i="27"/>
  <c r="L181" i="27"/>
  <c r="O168" i="27"/>
  <c r="S103" i="27"/>
  <c r="P133" i="27"/>
  <c r="O86" i="27"/>
  <c r="M86" i="27"/>
  <c r="O105" i="27"/>
  <c r="J176" i="27"/>
  <c r="S108" i="27"/>
  <c r="Q63" i="27"/>
  <c r="T105" i="27"/>
  <c r="N63" i="27"/>
  <c r="J185" i="27"/>
  <c r="Q61" i="27"/>
  <c r="K76" i="27"/>
  <c r="Q121" i="27"/>
  <c r="S100" i="27"/>
  <c r="S133" i="27"/>
  <c r="Q126" i="27"/>
  <c r="R126" i="27"/>
  <c r="M58" i="27"/>
  <c r="K40" i="27"/>
  <c r="Q179" i="27"/>
  <c r="L126" i="27"/>
  <c r="J138" i="27"/>
  <c r="N126" i="27"/>
  <c r="P75" i="27"/>
  <c r="Q176" i="27"/>
  <c r="R58" i="27"/>
  <c r="N108" i="27"/>
  <c r="J58" i="27"/>
  <c r="J173" i="27"/>
  <c r="S40" i="27"/>
  <c r="N58" i="27"/>
  <c r="O176" i="27"/>
  <c r="K87" i="27"/>
  <c r="T87" i="27"/>
  <c r="P141" i="27"/>
  <c r="Q110" i="27"/>
  <c r="T61" i="27"/>
  <c r="S110" i="27"/>
  <c r="N138" i="27"/>
  <c r="Q31" i="27"/>
  <c r="O63" i="27"/>
  <c r="N177" i="27"/>
  <c r="Q97" i="27"/>
  <c r="J103" i="27"/>
  <c r="L161" i="27"/>
  <c r="K172" i="27"/>
  <c r="J171" i="27"/>
  <c r="S81" i="27"/>
  <c r="S185" i="27"/>
  <c r="S87" i="27"/>
  <c r="J76" i="27"/>
  <c r="R34" i="27"/>
  <c r="J79" i="27"/>
  <c r="R86" i="27"/>
  <c r="L121" i="27"/>
  <c r="R100" i="27"/>
  <c r="O154" i="27"/>
  <c r="M154" i="27"/>
  <c r="L100" i="27"/>
  <c r="L154" i="27"/>
  <c r="K109" i="27"/>
  <c r="L109" i="27"/>
  <c r="J154" i="27"/>
  <c r="R109" i="27"/>
  <c r="P136" i="27"/>
  <c r="S138" i="27"/>
  <c r="O138" i="27"/>
  <c r="P138" i="27"/>
  <c r="M138" i="27"/>
  <c r="P40" i="27"/>
  <c r="T40" i="27"/>
  <c r="M126" i="27"/>
  <c r="O58" i="27"/>
  <c r="T58" i="27"/>
  <c r="O179" i="27"/>
  <c r="K179" i="27"/>
  <c r="L110" i="27"/>
  <c r="J126" i="27"/>
  <c r="M110" i="27"/>
  <c r="O109" i="27"/>
  <c r="Q154" i="27"/>
  <c r="Q109" i="27"/>
  <c r="L75" i="27"/>
  <c r="N154" i="27"/>
  <c r="K137" i="27"/>
  <c r="L138" i="27"/>
  <c r="T138" i="27"/>
  <c r="S126" i="27"/>
  <c r="L58" i="27"/>
  <c r="L40" i="27"/>
  <c r="P137" i="27"/>
  <c r="S58" i="27"/>
  <c r="R154" i="27"/>
  <c r="O137" i="27"/>
  <c r="N109" i="27"/>
  <c r="M75" i="27"/>
  <c r="Q137" i="27"/>
  <c r="O126" i="27"/>
  <c r="K126" i="27"/>
  <c r="N40" i="27"/>
  <c r="P126" i="27"/>
  <c r="K138" i="27"/>
  <c r="P58" i="27"/>
  <c r="O40" i="27"/>
  <c r="P179" i="27"/>
  <c r="K110" i="27"/>
  <c r="R179" i="27"/>
  <c r="P110" i="27"/>
  <c r="N110" i="27"/>
  <c r="Q138" i="27"/>
  <c r="T179" i="27"/>
  <c r="O96" i="27"/>
  <c r="T96" i="27"/>
  <c r="J132" i="27"/>
  <c r="N75" i="27"/>
  <c r="J137" i="27"/>
  <c r="P109" i="27"/>
  <c r="S75" i="27"/>
  <c r="S137" i="27"/>
  <c r="R137" i="27"/>
  <c r="M109" i="27"/>
  <c r="P154" i="27"/>
  <c r="T109" i="27"/>
  <c r="Q45" i="27"/>
  <c r="M157" i="27"/>
  <c r="L166" i="27"/>
  <c r="Q181" i="27"/>
  <c r="N36" i="27"/>
  <c r="P104" i="27"/>
  <c r="L31" i="27"/>
  <c r="L105" i="27"/>
  <c r="O95" i="27"/>
  <c r="S176" i="27"/>
  <c r="T116" i="27"/>
  <c r="M173" i="27"/>
  <c r="P56" i="27"/>
  <c r="O141" i="27"/>
  <c r="N144" i="27"/>
  <c r="Q87" i="27"/>
  <c r="J61" i="27"/>
  <c r="R50" i="27"/>
  <c r="T56" i="27"/>
  <c r="L141" i="27"/>
  <c r="K50" i="27"/>
  <c r="O52" i="27"/>
  <c r="T52" i="27"/>
  <c r="T36" i="27"/>
  <c r="T95" i="27"/>
  <c r="J95" i="27"/>
  <c r="J161" i="27"/>
  <c r="P123" i="27"/>
  <c r="K97" i="27"/>
  <c r="K81" i="27"/>
  <c r="O123" i="27"/>
  <c r="R171" i="27"/>
  <c r="M130" i="27"/>
  <c r="P119" i="27"/>
  <c r="O185" i="27"/>
  <c r="Q56" i="27"/>
  <c r="R76" i="27"/>
  <c r="M121" i="27"/>
  <c r="Q175" i="27"/>
  <c r="T86" i="27"/>
  <c r="K24" i="27"/>
  <c r="M100" i="27"/>
  <c r="P24" i="27"/>
  <c r="M116" i="27"/>
  <c r="P157" i="27"/>
  <c r="T135" i="27"/>
  <c r="L74" i="27"/>
  <c r="N148" i="27"/>
  <c r="Q100" i="27"/>
  <c r="Q104" i="27"/>
  <c r="L87" i="27"/>
  <c r="T173" i="27"/>
  <c r="K108" i="27"/>
  <c r="L108" i="27"/>
  <c r="N176" i="27"/>
  <c r="R173" i="27"/>
  <c r="Q173" i="27"/>
  <c r="T176" i="27"/>
  <c r="R64" i="27"/>
  <c r="S141" i="27"/>
  <c r="K141" i="27"/>
  <c r="K94" i="27"/>
  <c r="P27" i="27"/>
  <c r="M108" i="27"/>
  <c r="N105" i="27"/>
  <c r="O184" i="27"/>
  <c r="P184" i="27"/>
  <c r="R119" i="27"/>
  <c r="T63" i="27"/>
  <c r="P63" i="27"/>
  <c r="K105" i="27"/>
  <c r="O145" i="27"/>
  <c r="M33" i="27"/>
  <c r="L104" i="27"/>
  <c r="R20" i="27"/>
  <c r="M118" i="27"/>
  <c r="O181" i="27"/>
  <c r="T181" i="27"/>
  <c r="P181" i="27"/>
  <c r="O100" i="27"/>
  <c r="N100" i="27"/>
  <c r="T100" i="27"/>
  <c r="L81" i="27"/>
  <c r="O81" i="27"/>
  <c r="T81" i="27"/>
  <c r="P171" i="27"/>
  <c r="M171" i="27"/>
  <c r="R103" i="27"/>
  <c r="T103" i="27"/>
  <c r="Q103" i="27"/>
  <c r="K103" i="27"/>
  <c r="M103" i="27"/>
  <c r="M123" i="27"/>
  <c r="J123" i="27"/>
  <c r="L123" i="27"/>
  <c r="S97" i="27"/>
  <c r="N97" i="27"/>
  <c r="P97" i="27"/>
  <c r="K84" i="27"/>
  <c r="Q84" i="27"/>
  <c r="O160" i="27"/>
  <c r="Q160" i="27"/>
  <c r="S27" i="27"/>
  <c r="S156" i="27"/>
  <c r="O36" i="27"/>
  <c r="R184" i="27"/>
  <c r="N99" i="27"/>
  <c r="M133" i="27"/>
  <c r="Q133" i="27"/>
  <c r="N133" i="27"/>
  <c r="Q67" i="27"/>
  <c r="O67" i="27"/>
  <c r="J67" i="27"/>
  <c r="N67" i="27"/>
  <c r="P67" i="27"/>
  <c r="Q52" i="27"/>
  <c r="L52" i="27"/>
  <c r="S119" i="27"/>
  <c r="L119" i="27"/>
  <c r="K119" i="27"/>
  <c r="N119" i="27"/>
  <c r="M185" i="27"/>
  <c r="K185" i="27"/>
  <c r="N185" i="27"/>
  <c r="Q185" i="27"/>
  <c r="S61" i="27"/>
  <c r="M61" i="27"/>
  <c r="Q76" i="27"/>
  <c r="T76" i="27"/>
  <c r="P76" i="27"/>
  <c r="S76" i="27"/>
  <c r="T121" i="27"/>
  <c r="P121" i="27"/>
  <c r="K121" i="27"/>
  <c r="Q86" i="27"/>
  <c r="S86" i="27"/>
  <c r="P86" i="27"/>
  <c r="L79" i="27"/>
  <c r="N79" i="27"/>
  <c r="Q79" i="27"/>
  <c r="O175" i="27"/>
  <c r="N175" i="27"/>
  <c r="T175" i="27"/>
  <c r="K175" i="27"/>
  <c r="L34" i="27"/>
  <c r="K34" i="27"/>
  <c r="T34" i="27"/>
  <c r="S34" i="27"/>
  <c r="M73" i="27"/>
  <c r="J73" i="27"/>
  <c r="N73" i="27"/>
  <c r="T73" i="27"/>
  <c r="L73" i="27"/>
  <c r="T136" i="27"/>
  <c r="J136" i="27"/>
  <c r="O136" i="27"/>
  <c r="M136" i="27"/>
  <c r="O172" i="27"/>
  <c r="L172" i="27"/>
  <c r="S172" i="27"/>
  <c r="Q172" i="27"/>
  <c r="Q161" i="27"/>
  <c r="M161" i="27"/>
  <c r="N161" i="27"/>
  <c r="P161" i="27"/>
  <c r="K177" i="27"/>
  <c r="S177" i="27"/>
  <c r="L177" i="27"/>
  <c r="Q177" i="27"/>
  <c r="L168" i="27"/>
  <c r="N168" i="27"/>
  <c r="R168" i="27"/>
  <c r="Q130" i="27"/>
  <c r="P130" i="27"/>
  <c r="T130" i="27"/>
  <c r="M18" i="27"/>
  <c r="P18" i="27"/>
  <c r="Q18" i="27"/>
  <c r="K18" i="27"/>
  <c r="R144" i="27"/>
  <c r="L144" i="27"/>
  <c r="T62" i="27"/>
  <c r="J62" i="27"/>
  <c r="N51" i="27"/>
  <c r="T51" i="27"/>
  <c r="L24" i="27"/>
  <c r="R24" i="27"/>
  <c r="J24" i="27"/>
  <c r="P93" i="27"/>
  <c r="Q93" i="27"/>
  <c r="O93" i="27"/>
  <c r="O31" i="27"/>
  <c r="T31" i="27"/>
  <c r="M63" i="27"/>
  <c r="O167" i="27"/>
  <c r="M87" i="27"/>
  <c r="K131" i="27"/>
  <c r="L148" i="27"/>
  <c r="P108" i="27"/>
  <c r="T20" i="27"/>
  <c r="L176" i="27"/>
  <c r="P173" i="27"/>
  <c r="O173" i="27"/>
  <c r="M176" i="27"/>
  <c r="P61" i="27"/>
  <c r="T141" i="27"/>
  <c r="R61" i="27"/>
  <c r="J87" i="27"/>
  <c r="J56" i="27"/>
  <c r="L182" i="27"/>
  <c r="M52" i="27"/>
  <c r="N141" i="27"/>
  <c r="L167" i="27"/>
  <c r="R141" i="27"/>
  <c r="P87" i="27"/>
  <c r="J27" i="27"/>
  <c r="R52" i="27"/>
  <c r="J52" i="27"/>
  <c r="O50" i="27"/>
  <c r="K31" i="27"/>
  <c r="J63" i="27"/>
  <c r="N95" i="27"/>
  <c r="M105" i="27"/>
  <c r="Q95" i="27"/>
  <c r="R172" i="27"/>
  <c r="M95" i="27"/>
  <c r="J168" i="27"/>
  <c r="L97" i="27"/>
  <c r="O97" i="27"/>
  <c r="N44" i="27"/>
  <c r="P177" i="27"/>
  <c r="Q129" i="27"/>
  <c r="O171" i="27"/>
  <c r="N103" i="27"/>
  <c r="T161" i="27"/>
  <c r="P172" i="27"/>
  <c r="T177" i="27"/>
  <c r="Q123" i="27"/>
  <c r="R123" i="27"/>
  <c r="S123" i="27"/>
  <c r="Q81" i="27"/>
  <c r="N81" i="27"/>
  <c r="S130" i="27"/>
  <c r="N130" i="27"/>
  <c r="P182" i="27"/>
  <c r="O119" i="27"/>
  <c r="T119" i="27"/>
  <c r="R185" i="27"/>
  <c r="N52" i="27"/>
  <c r="R18" i="27"/>
  <c r="O18" i="27"/>
  <c r="Q141" i="27"/>
  <c r="J172" i="27"/>
  <c r="O121" i="27"/>
  <c r="N76" i="27"/>
  <c r="J34" i="27"/>
  <c r="K169" i="27"/>
  <c r="S175" i="27"/>
  <c r="P79" i="27"/>
  <c r="M79" i="27"/>
  <c r="J121" i="27"/>
  <c r="N86" i="27"/>
  <c r="N121" i="27"/>
  <c r="L76" i="27"/>
  <c r="S93" i="27"/>
  <c r="R51" i="27"/>
  <c r="S67" i="27"/>
  <c r="R93" i="27"/>
  <c r="K51" i="27"/>
  <c r="R62" i="27"/>
  <c r="K133" i="27"/>
  <c r="S24" i="27"/>
  <c r="J93" i="27"/>
  <c r="P51" i="27"/>
  <c r="N62" i="27"/>
  <c r="R181" i="27"/>
  <c r="T67" i="27"/>
  <c r="T185" i="27"/>
  <c r="S181" i="27"/>
  <c r="N24" i="27"/>
  <c r="O62" i="27"/>
  <c r="L62" i="27"/>
  <c r="L136" i="27"/>
  <c r="R73" i="27"/>
  <c r="K73" i="27"/>
  <c r="K136" i="27"/>
  <c r="J128" i="27"/>
  <c r="Q159" i="27"/>
  <c r="R38" i="27"/>
  <c r="O115" i="27"/>
  <c r="Q148" i="27"/>
  <c r="S20" i="27"/>
  <c r="T23" i="27"/>
  <c r="T27" i="27"/>
  <c r="R170" i="27"/>
  <c r="J118" i="27"/>
  <c r="T104" i="27"/>
  <c r="R115" i="27"/>
  <c r="O44" i="27"/>
  <c r="P14" i="27"/>
  <c r="R35" i="27"/>
  <c r="J35" i="27"/>
  <c r="M72" i="27"/>
  <c r="N120" i="27"/>
  <c r="L156" i="27"/>
  <c r="S135" i="27"/>
  <c r="N181" i="27"/>
  <c r="J133" i="27"/>
  <c r="L135" i="27"/>
  <c r="O48" i="27"/>
  <c r="P48" i="27"/>
  <c r="S114" i="27"/>
  <c r="T114" i="27"/>
  <c r="L164" i="27"/>
  <c r="K164" i="27"/>
  <c r="N77" i="27"/>
  <c r="M77" i="27"/>
  <c r="N139" i="27"/>
  <c r="P139" i="27"/>
  <c r="T155" i="27"/>
  <c r="J155" i="27"/>
  <c r="S85" i="27"/>
  <c r="L85" i="27"/>
  <c r="Q149" i="27"/>
  <c r="R149" i="27"/>
  <c r="M66" i="27"/>
  <c r="O66" i="27"/>
  <c r="T66" i="27"/>
  <c r="N165" i="27"/>
  <c r="Q165" i="27"/>
  <c r="J60" i="27"/>
  <c r="K60" i="27"/>
  <c r="T10" i="27"/>
  <c r="Q10" i="27"/>
  <c r="J10" i="27"/>
  <c r="R15" i="27"/>
  <c r="K125" i="27"/>
  <c r="J48" i="27"/>
  <c r="N166" i="27"/>
  <c r="T166" i="27"/>
  <c r="Q166" i="27"/>
  <c r="S148" i="27"/>
  <c r="J148" i="27"/>
  <c r="J102" i="27"/>
  <c r="R102" i="27"/>
  <c r="P102" i="27"/>
  <c r="T102" i="27"/>
  <c r="O74" i="27"/>
  <c r="K74" i="27"/>
  <c r="R65" i="27"/>
  <c r="K65" i="27"/>
  <c r="N65" i="27"/>
  <c r="M65" i="27"/>
  <c r="P65" i="27"/>
  <c r="L65" i="27"/>
  <c r="T65" i="27"/>
  <c r="O65" i="27"/>
  <c r="J65" i="27"/>
  <c r="J115" i="27"/>
  <c r="Q115" i="27"/>
  <c r="K115" i="27"/>
  <c r="L115" i="27"/>
  <c r="S115" i="27"/>
  <c r="L162" i="27"/>
  <c r="J162" i="27"/>
  <c r="S162" i="27"/>
  <c r="M162" i="27"/>
  <c r="R162" i="27"/>
  <c r="P162" i="27"/>
  <c r="Q162" i="27"/>
  <c r="K162" i="27"/>
  <c r="T162" i="27"/>
  <c r="S178" i="27"/>
  <c r="R178" i="27"/>
  <c r="T178" i="27"/>
  <c r="J178" i="27"/>
  <c r="K178" i="27"/>
  <c r="Q178" i="27"/>
  <c r="L178" i="27"/>
  <c r="O178" i="27"/>
  <c r="Q120" i="27"/>
  <c r="L120" i="27"/>
  <c r="T120" i="27"/>
  <c r="J120" i="27"/>
  <c r="M120" i="27"/>
  <c r="O120" i="27"/>
  <c r="K120" i="27"/>
  <c r="R120" i="27"/>
  <c r="Q88" i="27"/>
  <c r="O88" i="27"/>
  <c r="J88" i="27"/>
  <c r="S88" i="27"/>
  <c r="L88" i="27"/>
  <c r="R88" i="27"/>
  <c r="N88" i="27"/>
  <c r="K88" i="27"/>
  <c r="M88" i="27"/>
  <c r="T88" i="27"/>
  <c r="N90" i="27"/>
  <c r="T90" i="27"/>
  <c r="L90" i="27"/>
  <c r="O90" i="27"/>
  <c r="S90" i="27"/>
  <c r="K90" i="27"/>
  <c r="P90" i="27"/>
  <c r="M90" i="27"/>
  <c r="Q90" i="27"/>
  <c r="R90" i="27"/>
  <c r="J90" i="27"/>
  <c r="K99" i="27"/>
  <c r="L99" i="27"/>
  <c r="J99" i="27"/>
  <c r="Q99" i="27"/>
  <c r="O99" i="27"/>
  <c r="M99" i="27"/>
  <c r="T99" i="27"/>
  <c r="R99" i="27"/>
  <c r="L129" i="27"/>
  <c r="T129" i="27"/>
  <c r="M129" i="27"/>
  <c r="P129" i="27"/>
  <c r="S129" i="27"/>
  <c r="K129" i="27"/>
  <c r="J129" i="27"/>
  <c r="T44" i="27"/>
  <c r="J44" i="27"/>
  <c r="R44" i="27"/>
  <c r="P44" i="27"/>
  <c r="M44" i="27"/>
  <c r="O124" i="27"/>
  <c r="T124" i="27"/>
  <c r="S124" i="27"/>
  <c r="Q124" i="27"/>
  <c r="J124" i="27"/>
  <c r="P124" i="27"/>
  <c r="M124" i="27"/>
  <c r="R124" i="27"/>
  <c r="P117" i="27"/>
  <c r="J117" i="27"/>
  <c r="N117" i="27"/>
  <c r="M117" i="27"/>
  <c r="T117" i="27"/>
  <c r="L117" i="27"/>
  <c r="O117" i="27"/>
  <c r="S117" i="27"/>
  <c r="T160" i="27"/>
  <c r="R160" i="27"/>
  <c r="L160" i="27"/>
  <c r="M160" i="27"/>
  <c r="P160" i="27"/>
  <c r="J160" i="27"/>
  <c r="S160" i="27"/>
  <c r="N160" i="27"/>
  <c r="J72" i="27"/>
  <c r="N72" i="27"/>
  <c r="T72" i="27"/>
  <c r="L72" i="27"/>
  <c r="R72" i="27"/>
  <c r="O72" i="27"/>
  <c r="P72" i="27"/>
  <c r="S72" i="27"/>
  <c r="S94" i="27"/>
  <c r="T94" i="27"/>
  <c r="Q94" i="27"/>
  <c r="R94" i="27"/>
  <c r="M94" i="27"/>
  <c r="M36" i="27"/>
  <c r="S36" i="27"/>
  <c r="Q36" i="27"/>
  <c r="J36" i="27"/>
  <c r="L36" i="27"/>
  <c r="T167" i="27"/>
  <c r="P167" i="27"/>
  <c r="R167" i="27"/>
  <c r="J112" i="27"/>
  <c r="K112" i="27"/>
  <c r="M112" i="27"/>
  <c r="Q112" i="27"/>
  <c r="N112" i="27"/>
  <c r="S112" i="27"/>
  <c r="O112" i="27"/>
  <c r="P112" i="27"/>
  <c r="R112" i="27"/>
  <c r="S46" i="27"/>
  <c r="N46" i="27"/>
  <c r="J46" i="27"/>
  <c r="P46" i="27"/>
  <c r="M46" i="27"/>
  <c r="K46" i="27"/>
  <c r="R46" i="27"/>
  <c r="T46" i="27"/>
  <c r="L46" i="27"/>
  <c r="Q116" i="27"/>
  <c r="R116" i="27"/>
  <c r="P116" i="27"/>
  <c r="S116" i="27"/>
  <c r="L116" i="27"/>
  <c r="N116" i="27"/>
  <c r="Q69" i="27"/>
  <c r="N115" i="27"/>
  <c r="S74" i="27"/>
  <c r="Q15" i="27"/>
  <c r="J20" i="27"/>
  <c r="Q12" i="27"/>
  <c r="P74" i="27"/>
  <c r="J74" i="27"/>
  <c r="P148" i="27"/>
  <c r="T148" i="27"/>
  <c r="S102" i="27"/>
  <c r="J167" i="27"/>
  <c r="L53" i="27"/>
  <c r="P36" i="27"/>
  <c r="P114" i="27"/>
  <c r="M167" i="27"/>
  <c r="N94" i="27"/>
  <c r="P94" i="27"/>
  <c r="S167" i="27"/>
  <c r="O102" i="27"/>
  <c r="K36" i="27"/>
  <c r="P115" i="27"/>
  <c r="R129" i="27"/>
  <c r="Q44" i="27"/>
  <c r="N159" i="27"/>
  <c r="N124" i="27"/>
  <c r="O129" i="27"/>
  <c r="K160" i="27"/>
  <c r="Q65" i="27"/>
  <c r="O94" i="27"/>
  <c r="O162" i="27"/>
  <c r="N178" i="27"/>
  <c r="R131" i="27"/>
  <c r="P88" i="27"/>
  <c r="S54" i="27"/>
  <c r="M54" i="27"/>
  <c r="N158" i="27"/>
  <c r="L158" i="27"/>
  <c r="P28" i="27"/>
  <c r="J28" i="27"/>
  <c r="P21" i="27"/>
  <c r="T21" i="27"/>
  <c r="M180" i="27"/>
  <c r="J180" i="27"/>
  <c r="S180" i="27"/>
  <c r="L180" i="27"/>
  <c r="T134" i="27"/>
  <c r="K134" i="27"/>
  <c r="Q134" i="27"/>
  <c r="N17" i="27"/>
  <c r="Q17" i="27"/>
  <c r="T15" i="27"/>
  <c r="N12" i="27"/>
  <c r="K53" i="27"/>
  <c r="S48" i="27"/>
  <c r="R17" i="27"/>
  <c r="P13" i="27"/>
  <c r="M127" i="27"/>
  <c r="S127" i="27"/>
  <c r="T127" i="27"/>
  <c r="P127" i="27"/>
  <c r="J127" i="27"/>
  <c r="N127" i="27"/>
  <c r="K127" i="27"/>
  <c r="O127" i="27"/>
  <c r="Q127" i="27"/>
  <c r="L127" i="27"/>
  <c r="O135" i="27"/>
  <c r="Q135" i="27"/>
  <c r="N135" i="27"/>
  <c r="M135" i="27"/>
  <c r="J135" i="27"/>
  <c r="N27" i="27"/>
  <c r="O27" i="27"/>
  <c r="K27" i="27"/>
  <c r="L27" i="27"/>
  <c r="R27" i="27"/>
  <c r="N118" i="27"/>
  <c r="P118" i="27"/>
  <c r="O118" i="27"/>
  <c r="K45" i="27"/>
  <c r="M45" i="27"/>
  <c r="T45" i="27"/>
  <c r="O45" i="27"/>
  <c r="J45" i="27"/>
  <c r="P45" i="27"/>
  <c r="S45" i="27"/>
  <c r="S157" i="27"/>
  <c r="N157" i="27"/>
  <c r="J157" i="27"/>
  <c r="T157" i="27"/>
  <c r="O157" i="27"/>
  <c r="R157" i="27"/>
  <c r="K157" i="27"/>
  <c r="S104" i="27"/>
  <c r="N104" i="27"/>
  <c r="R104" i="27"/>
  <c r="M104" i="27"/>
  <c r="O104" i="27"/>
  <c r="L78" i="27"/>
  <c r="K78" i="27"/>
  <c r="O78" i="27"/>
  <c r="P78" i="27"/>
  <c r="N78" i="27"/>
  <c r="S78" i="27"/>
  <c r="Q78" i="27"/>
  <c r="M78" i="27"/>
  <c r="J78" i="27"/>
  <c r="J84" i="27"/>
  <c r="T84" i="27"/>
  <c r="L84" i="27"/>
  <c r="S84" i="27"/>
  <c r="M84" i="27"/>
  <c r="O84" i="27"/>
  <c r="P84" i="27"/>
  <c r="R84" i="27"/>
  <c r="J169" i="27"/>
  <c r="R169" i="27"/>
  <c r="Q169" i="27"/>
  <c r="T169" i="27"/>
  <c r="M169" i="27"/>
  <c r="N169" i="27"/>
  <c r="P169" i="27"/>
  <c r="L169" i="27"/>
  <c r="O169" i="27"/>
  <c r="N145" i="27"/>
  <c r="K145" i="27"/>
  <c r="M145" i="27"/>
  <c r="T145" i="27"/>
  <c r="P145" i="27"/>
  <c r="S145" i="27"/>
  <c r="L145" i="27"/>
  <c r="Q145" i="27"/>
  <c r="R145" i="27"/>
  <c r="J184" i="27"/>
  <c r="Q184" i="27"/>
  <c r="K184" i="27"/>
  <c r="N184" i="27"/>
  <c r="S184" i="27"/>
  <c r="R14" i="27"/>
  <c r="S14" i="27"/>
  <c r="K14" i="27"/>
  <c r="L14" i="27"/>
  <c r="M14" i="27"/>
  <c r="N14" i="27"/>
  <c r="J14" i="27"/>
  <c r="O14" i="27"/>
  <c r="Q49" i="27"/>
  <c r="K49" i="27"/>
  <c r="N49" i="27"/>
  <c r="T49" i="27"/>
  <c r="O49" i="27"/>
  <c r="L49" i="27"/>
  <c r="M49" i="27"/>
  <c r="S49" i="27"/>
  <c r="J49" i="27"/>
  <c r="Q37" i="27"/>
  <c r="T37" i="27"/>
  <c r="P37" i="27"/>
  <c r="S37" i="27"/>
  <c r="L37" i="27"/>
  <c r="J37" i="27"/>
  <c r="N37" i="27"/>
  <c r="O37" i="27"/>
  <c r="M37" i="27"/>
  <c r="P35" i="27"/>
  <c r="N35" i="27"/>
  <c r="Q35" i="27"/>
  <c r="T35" i="27"/>
  <c r="M35" i="27"/>
  <c r="O35" i="27"/>
  <c r="L35" i="27"/>
  <c r="M64" i="27"/>
  <c r="K64" i="27"/>
  <c r="P64" i="27"/>
  <c r="L64" i="27"/>
  <c r="T64" i="27"/>
  <c r="O64" i="27"/>
  <c r="S64" i="27"/>
  <c r="P26" i="27"/>
  <c r="T26" i="27"/>
  <c r="J26" i="27"/>
  <c r="O26" i="27"/>
  <c r="L26" i="27"/>
  <c r="N26" i="27"/>
  <c r="S26" i="27"/>
  <c r="K26" i="27"/>
  <c r="Q26" i="27"/>
  <c r="R26" i="27"/>
  <c r="Q131" i="27"/>
  <c r="P131" i="27"/>
  <c r="T131" i="27"/>
  <c r="S131" i="27"/>
  <c r="J131" i="27"/>
  <c r="L131" i="27"/>
  <c r="M131" i="27"/>
  <c r="T33" i="27"/>
  <c r="P128" i="27"/>
  <c r="N167" i="27"/>
  <c r="K118" i="27"/>
  <c r="O131" i="27"/>
  <c r="M20" i="27"/>
  <c r="K116" i="27"/>
  <c r="J23" i="27"/>
  <c r="N20" i="27"/>
  <c r="L20" i="27"/>
  <c r="N74" i="27"/>
  <c r="R74" i="27"/>
  <c r="Q74" i="27"/>
  <c r="O116" i="27"/>
  <c r="K20" i="27"/>
  <c r="T74" i="27"/>
  <c r="O148" i="27"/>
  <c r="J64" i="27"/>
  <c r="K114" i="27"/>
  <c r="L118" i="27"/>
  <c r="T118" i="27"/>
  <c r="J94" i="27"/>
  <c r="Q114" i="27"/>
  <c r="S118" i="27"/>
  <c r="O170" i="27"/>
  <c r="M156" i="27"/>
  <c r="L157" i="27"/>
  <c r="N102" i="27"/>
  <c r="M115" i="27"/>
  <c r="K104" i="27"/>
  <c r="T184" i="27"/>
  <c r="K44" i="27"/>
  <c r="L184" i="27"/>
  <c r="L44" i="27"/>
  <c r="R91" i="27"/>
  <c r="K117" i="27"/>
  <c r="K124" i="27"/>
  <c r="L60" i="27"/>
  <c r="Q117" i="27"/>
  <c r="L159" i="27"/>
  <c r="S35" i="27"/>
  <c r="K37" i="27"/>
  <c r="R49" i="27"/>
  <c r="T14" i="27"/>
  <c r="S99" i="27"/>
  <c r="K72" i="27"/>
  <c r="Q102" i="27"/>
  <c r="N64" i="27"/>
  <c r="Q25" i="27"/>
  <c r="Q167" i="27"/>
  <c r="R78" i="27"/>
  <c r="P120" i="27"/>
  <c r="N84" i="27"/>
  <c r="P178" i="27"/>
  <c r="P135" i="27"/>
  <c r="T112" i="27"/>
  <c r="S166" i="27"/>
  <c r="O46" i="27"/>
  <c r="S30" i="27"/>
  <c r="R30" i="27"/>
  <c r="P30" i="27"/>
  <c r="N30" i="27"/>
  <c r="K30" i="27"/>
  <c r="T30" i="27"/>
  <c r="O30" i="27"/>
  <c r="L30" i="27"/>
  <c r="Q30" i="27"/>
  <c r="J33" i="27"/>
  <c r="K33" i="27"/>
  <c r="L25" i="27"/>
  <c r="T25" i="27"/>
  <c r="K25" i="27"/>
  <c r="O69" i="27"/>
  <c r="R69" i="27"/>
  <c r="M69" i="27"/>
  <c r="K69" i="27"/>
  <c r="J69" i="27"/>
  <c r="O122" i="27"/>
  <c r="L122" i="27"/>
  <c r="R122" i="27"/>
  <c r="M122" i="27"/>
  <c r="T122" i="27"/>
  <c r="R139" i="27"/>
  <c r="M139" i="27"/>
  <c r="Q139" i="27"/>
  <c r="S139" i="27"/>
  <c r="O139" i="27"/>
  <c r="L82" i="27"/>
  <c r="R82" i="27"/>
  <c r="T82" i="27"/>
  <c r="Q82" i="27"/>
  <c r="M82" i="27"/>
  <c r="N82" i="27"/>
  <c r="J82" i="27"/>
  <c r="O82" i="27"/>
  <c r="M91" i="27"/>
  <c r="T91" i="27"/>
  <c r="J91" i="27"/>
  <c r="Q66" i="27"/>
  <c r="S66" i="27"/>
  <c r="P66" i="27"/>
  <c r="K66" i="27"/>
  <c r="N134" i="27"/>
  <c r="J134" i="27"/>
  <c r="O134" i="27"/>
  <c r="M134" i="27"/>
  <c r="T142" i="27"/>
  <c r="K142" i="27"/>
  <c r="K38" i="27"/>
  <c r="S128" i="27"/>
  <c r="Q33" i="27"/>
  <c r="Q128" i="27"/>
  <c r="P33" i="27"/>
  <c r="L12" i="27"/>
  <c r="K23" i="27"/>
  <c r="O15" i="27"/>
  <c r="N142" i="27"/>
  <c r="N53" i="27"/>
  <c r="P156" i="27"/>
  <c r="O17" i="27"/>
  <c r="J114" i="27"/>
  <c r="M17" i="27"/>
  <c r="S142" i="27"/>
  <c r="M48" i="27"/>
  <c r="Q48" i="27"/>
  <c r="S53" i="27"/>
  <c r="P69" i="27"/>
  <c r="N13" i="27"/>
  <c r="K91" i="27"/>
  <c r="R159" i="27"/>
  <c r="S60" i="27"/>
  <c r="P60" i="27"/>
  <c r="R165" i="27"/>
  <c r="O159" i="27"/>
  <c r="R66" i="27"/>
  <c r="K149" i="27"/>
  <c r="K21" i="27"/>
  <c r="J21" i="27"/>
  <c r="L21" i="27"/>
  <c r="S164" i="27"/>
  <c r="R134" i="27"/>
  <c r="L134" i="27"/>
  <c r="P164" i="27"/>
  <c r="M25" i="27"/>
  <c r="R10" i="27"/>
  <c r="P10" i="27"/>
  <c r="N156" i="27"/>
  <c r="N122" i="27"/>
  <c r="K155" i="27"/>
  <c r="M155" i="27"/>
  <c r="T139" i="27"/>
  <c r="M16" i="27"/>
  <c r="M158" i="27"/>
  <c r="J159" i="27"/>
  <c r="P122" i="27"/>
  <c r="O107" i="27"/>
  <c r="P23" i="27"/>
  <c r="L23" i="27"/>
  <c r="R23" i="27"/>
  <c r="N23" i="27"/>
  <c r="P12" i="27"/>
  <c r="J12" i="27"/>
  <c r="M12" i="27"/>
  <c r="O53" i="27"/>
  <c r="J53" i="27"/>
  <c r="Q53" i="27"/>
  <c r="M53" i="27"/>
  <c r="T53" i="27"/>
  <c r="Q77" i="27"/>
  <c r="L77" i="27"/>
  <c r="T77" i="27"/>
  <c r="S77" i="27"/>
  <c r="J77" i="27"/>
  <c r="K28" i="27"/>
  <c r="N28" i="27"/>
  <c r="R28" i="27"/>
  <c r="O28" i="27"/>
  <c r="Q28" i="27"/>
  <c r="T28" i="27"/>
  <c r="S28" i="27"/>
  <c r="M28" i="27"/>
  <c r="L28" i="27"/>
  <c r="O38" i="27"/>
  <c r="S38" i="27"/>
  <c r="T38" i="27"/>
  <c r="L38" i="27"/>
  <c r="M13" i="27"/>
  <c r="R13" i="27"/>
  <c r="Q13" i="27"/>
  <c r="T13" i="27"/>
  <c r="L13" i="27"/>
  <c r="N180" i="27"/>
  <c r="O180" i="27"/>
  <c r="Q180" i="27"/>
  <c r="K17" i="27"/>
  <c r="P17" i="27"/>
  <c r="J17" i="27"/>
  <c r="R140" i="27"/>
  <c r="S140" i="27"/>
  <c r="J140" i="27"/>
  <c r="O140" i="27"/>
  <c r="L140" i="27"/>
  <c r="P140" i="27"/>
  <c r="M140" i="27"/>
  <c r="T140" i="27"/>
  <c r="P125" i="27"/>
  <c r="T125" i="27"/>
  <c r="R125" i="27"/>
  <c r="O125" i="27"/>
  <c r="N69" i="27"/>
  <c r="O23" i="27"/>
  <c r="L142" i="27"/>
  <c r="T180" i="27"/>
  <c r="K13" i="27"/>
  <c r="P91" i="27"/>
  <c r="N91" i="27"/>
  <c r="Q21" i="27"/>
  <c r="O165" i="27"/>
  <c r="P180" i="27"/>
  <c r="K180" i="27"/>
  <c r="S165" i="27"/>
  <c r="J66" i="27"/>
  <c r="N66" i="27"/>
  <c r="M10" i="27"/>
  <c r="S134" i="27"/>
  <c r="M142" i="27"/>
  <c r="T164" i="27"/>
  <c r="P25" i="27"/>
  <c r="N25" i="27"/>
  <c r="Q122" i="27"/>
  <c r="J139" i="27"/>
  <c r="K158" i="27"/>
  <c r="Q140" i="27"/>
  <c r="K82" i="27"/>
  <c r="S82" i="27"/>
  <c r="J30" i="27"/>
  <c r="L54" i="27"/>
  <c r="K54" i="27"/>
  <c r="R54" i="27"/>
  <c r="N54" i="27"/>
  <c r="Q54" i="27"/>
  <c r="T54" i="27"/>
  <c r="P54" i="27"/>
  <c r="J54" i="27"/>
  <c r="O54" i="27"/>
  <c r="P43" i="27"/>
  <c r="L43" i="27"/>
  <c r="K43" i="27"/>
  <c r="J43" i="27"/>
  <c r="S43" i="27"/>
  <c r="Q43" i="27"/>
  <c r="O43" i="27"/>
  <c r="M43" i="27"/>
  <c r="J15" i="27"/>
  <c r="S15" i="27"/>
  <c r="K15" i="27"/>
  <c r="L15" i="27"/>
  <c r="T48" i="27"/>
  <c r="K48" i="27"/>
  <c r="L48" i="27"/>
  <c r="M114" i="27"/>
  <c r="L114" i="27"/>
  <c r="R114" i="27"/>
  <c r="N114" i="27"/>
  <c r="O114" i="27"/>
  <c r="Q164" i="27"/>
  <c r="O164" i="27"/>
  <c r="R164" i="27"/>
  <c r="N164" i="27"/>
  <c r="N170" i="27"/>
  <c r="L170" i="27"/>
  <c r="M170" i="27"/>
  <c r="T170" i="27"/>
  <c r="Q170" i="27"/>
  <c r="R16" i="27"/>
  <c r="J16" i="27"/>
  <c r="P16" i="27"/>
  <c r="S16" i="27"/>
  <c r="L16" i="27"/>
  <c r="K16" i="27"/>
  <c r="Q16" i="27"/>
  <c r="S158" i="27"/>
  <c r="J158" i="27"/>
  <c r="P158" i="27"/>
  <c r="Q158" i="27"/>
  <c r="R158" i="27"/>
  <c r="L155" i="27"/>
  <c r="P155" i="27"/>
  <c r="S155" i="27"/>
  <c r="N155" i="27"/>
  <c r="R155" i="27"/>
  <c r="O155" i="27"/>
  <c r="O85" i="27"/>
  <c r="R85" i="27"/>
  <c r="P85" i="27"/>
  <c r="Q85" i="27"/>
  <c r="M85" i="27"/>
  <c r="K85" i="27"/>
  <c r="N85" i="27"/>
  <c r="J85" i="27"/>
  <c r="T85" i="27"/>
  <c r="N21" i="27"/>
  <c r="O21" i="27"/>
  <c r="R21" i="27"/>
  <c r="S21" i="27"/>
  <c r="L149" i="27"/>
  <c r="T149" i="27"/>
  <c r="M149" i="27"/>
  <c r="N149" i="27"/>
  <c r="O149" i="27"/>
  <c r="K159" i="27"/>
  <c r="S159" i="27"/>
  <c r="M165" i="27"/>
  <c r="L165" i="27"/>
  <c r="T165" i="27"/>
  <c r="K165" i="27"/>
  <c r="O60" i="27"/>
  <c r="N60" i="27"/>
  <c r="Q60" i="27"/>
  <c r="T60" i="27"/>
  <c r="L10" i="27"/>
  <c r="O10" i="27"/>
  <c r="S10" i="27"/>
  <c r="N10" i="27"/>
  <c r="O156" i="27"/>
  <c r="T156" i="27"/>
  <c r="R156" i="27"/>
  <c r="R128" i="27"/>
  <c r="T128" i="27"/>
  <c r="N128" i="27"/>
  <c r="L128" i="27"/>
  <c r="P106" i="27"/>
  <c r="M106" i="27"/>
  <c r="N106" i="27"/>
  <c r="Q106" i="27"/>
  <c r="S106" i="27"/>
  <c r="L106" i="27"/>
  <c r="T106" i="27"/>
  <c r="O106" i="27"/>
  <c r="R106" i="27"/>
  <c r="S107" i="27"/>
  <c r="J107" i="27"/>
  <c r="K107" i="27"/>
  <c r="T107" i="27"/>
  <c r="R107" i="27"/>
  <c r="P107" i="27"/>
  <c r="Q107" i="27"/>
  <c r="M107" i="27"/>
  <c r="L107" i="27"/>
  <c r="P38" i="27"/>
  <c r="Q38" i="27"/>
  <c r="S33" i="27"/>
  <c r="R33" i="27"/>
  <c r="O128" i="27"/>
  <c r="N33" i="27"/>
  <c r="M23" i="27"/>
  <c r="N15" i="27"/>
  <c r="O12" i="27"/>
  <c r="K12" i="27"/>
  <c r="Q125" i="27"/>
  <c r="T12" i="27"/>
  <c r="S125" i="27"/>
  <c r="P53" i="27"/>
  <c r="T17" i="27"/>
  <c r="J142" i="27"/>
  <c r="J156" i="27"/>
  <c r="S17" i="27"/>
  <c r="S170" i="27"/>
  <c r="R48" i="27"/>
  <c r="S69" i="27"/>
  <c r="O77" i="27"/>
  <c r="N38" i="27"/>
  <c r="J38" i="27"/>
  <c r="K128" i="27"/>
  <c r="L33" i="27"/>
  <c r="S23" i="27"/>
  <c r="M15" i="27"/>
  <c r="R12" i="27"/>
  <c r="J125" i="27"/>
  <c r="N125" i="27"/>
  <c r="M125" i="27"/>
  <c r="L17" i="27"/>
  <c r="P142" i="27"/>
  <c r="O142" i="27"/>
  <c r="K156" i="27"/>
  <c r="Q142" i="27"/>
  <c r="P170" i="27"/>
  <c r="N48" i="27"/>
  <c r="P77" i="27"/>
  <c r="T69" i="27"/>
  <c r="R60" i="27"/>
  <c r="P159" i="27"/>
  <c r="O13" i="27"/>
  <c r="Q91" i="27"/>
  <c r="S91" i="27"/>
  <c r="S149" i="27"/>
  <c r="M60" i="27"/>
  <c r="R180" i="27"/>
  <c r="J165" i="27"/>
  <c r="L66" i="27"/>
  <c r="J149" i="27"/>
  <c r="P149" i="27"/>
  <c r="O91" i="27"/>
  <c r="T159" i="27"/>
  <c r="S13" i="27"/>
  <c r="M21" i="27"/>
  <c r="P134" i="27"/>
  <c r="R142" i="27"/>
  <c r="M164" i="27"/>
  <c r="J164" i="27"/>
  <c r="R25" i="27"/>
  <c r="S25" i="27"/>
  <c r="O25" i="27"/>
  <c r="K10" i="27"/>
  <c r="J170" i="27"/>
  <c r="R77" i="27"/>
  <c r="N16" i="27"/>
  <c r="S122" i="27"/>
  <c r="Q155" i="27"/>
  <c r="K139" i="27"/>
  <c r="T16" i="27"/>
  <c r="K77" i="27"/>
  <c r="T158" i="27"/>
  <c r="J122" i="27"/>
  <c r="O158" i="27"/>
  <c r="P165" i="27"/>
  <c r="L139" i="27"/>
  <c r="K140" i="27"/>
  <c r="N43" i="27"/>
  <c r="M30" i="27"/>
  <c r="T43" i="27"/>
  <c r="J106" i="27"/>
  <c r="Q75" i="27"/>
  <c r="J75" i="27"/>
  <c r="Q20" i="27"/>
  <c r="O20" i="27"/>
  <c r="K148" i="27"/>
  <c r="R148" i="27"/>
  <c r="Q27" i="27"/>
  <c r="K102" i="27"/>
  <c r="M102" i="27"/>
  <c r="T110" i="27"/>
  <c r="S179" i="27"/>
  <c r="N45" i="27"/>
  <c r="L45" i="27"/>
  <c r="K154" i="27"/>
  <c r="O166" i="27"/>
  <c r="M137" i="27"/>
  <c r="K166" i="27"/>
  <c r="R127" i="27"/>
  <c r="K135" i="27"/>
  <c r="T137" i="27"/>
  <c r="R166" i="27"/>
  <c r="R75" i="27"/>
  <c r="M166" i="27"/>
  <c r="J166" i="27"/>
  <c r="L137" i="27"/>
  <c r="O35" i="26" l="1"/>
  <c r="AB33" i="27" s="1"/>
  <c r="C17" i="26"/>
  <c r="B17" i="26" s="1"/>
  <c r="O23" i="26"/>
  <c r="AB21" i="27" s="1"/>
  <c r="I22" i="26"/>
  <c r="Q27" i="26"/>
  <c r="M15" i="26"/>
  <c r="I28" i="26"/>
  <c r="L18" i="26"/>
  <c r="Q31" i="26"/>
  <c r="M24" i="26"/>
  <c r="N24" i="26"/>
  <c r="H12" i="26"/>
  <c r="I19" i="26"/>
  <c r="C15" i="26"/>
  <c r="B15" i="26" s="1"/>
  <c r="M18" i="26"/>
  <c r="I18" i="26"/>
  <c r="I27" i="26"/>
  <c r="J16" i="26"/>
  <c r="X14" i="27" s="1"/>
  <c r="J34" i="26"/>
  <c r="W32" i="27" s="1"/>
  <c r="L35" i="26"/>
  <c r="E17" i="26"/>
  <c r="F17" i="26" s="1"/>
  <c r="C32" i="26"/>
  <c r="B32" i="26" s="1"/>
  <c r="L25" i="26"/>
  <c r="H29" i="26"/>
  <c r="L27" i="26"/>
  <c r="N18" i="26"/>
  <c r="O30" i="26"/>
  <c r="AB28" i="27" s="1"/>
  <c r="I29" i="26"/>
  <c r="M32" i="26"/>
  <c r="J28" i="26"/>
  <c r="X26" i="27" s="1"/>
  <c r="R28" i="26"/>
  <c r="AG26" i="27" s="1"/>
  <c r="O29" i="26"/>
  <c r="AB27" i="27" s="1"/>
  <c r="M23" i="26"/>
  <c r="Q36" i="26"/>
  <c r="E24" i="26"/>
  <c r="F24" i="26" s="1"/>
  <c r="C21" i="26"/>
  <c r="B21" i="26" s="1"/>
  <c r="E21" i="26"/>
  <c r="F21" i="26" s="1"/>
  <c r="E12" i="26"/>
  <c r="F12" i="26" s="1"/>
  <c r="N30" i="26"/>
  <c r="L15" i="26"/>
  <c r="I17" i="26"/>
  <c r="R14" i="26"/>
  <c r="AH12" i="27" s="1"/>
  <c r="N23" i="26"/>
  <c r="C12" i="26"/>
  <c r="O36" i="26"/>
  <c r="AB34" i="27" s="1"/>
  <c r="J33" i="26"/>
  <c r="W31" i="27" s="1"/>
  <c r="I12" i="26"/>
  <c r="H23" i="26"/>
  <c r="N17" i="26"/>
  <c r="O20" i="26"/>
  <c r="AB18" i="27" s="1"/>
  <c r="R22" i="26"/>
  <c r="AG20" i="27" s="1"/>
  <c r="O24" i="26"/>
  <c r="AB22" i="27" s="1"/>
  <c r="J19" i="26"/>
  <c r="W17" i="27" s="1"/>
  <c r="M19" i="26"/>
  <c r="O15" i="26"/>
  <c r="AB13" i="27" s="1"/>
  <c r="Q16" i="26"/>
  <c r="C31" i="26"/>
  <c r="B31" i="26" s="1"/>
  <c r="N26" i="26"/>
  <c r="O31" i="26"/>
  <c r="AB29" i="27" s="1"/>
  <c r="R19" i="26"/>
  <c r="AG17" i="27" s="1"/>
  <c r="M27" i="26"/>
  <c r="R16" i="26"/>
  <c r="AG14" i="27" s="1"/>
  <c r="H28" i="26"/>
  <c r="E14" i="26"/>
  <c r="F14" i="26" s="1"/>
  <c r="H20" i="26"/>
  <c r="E30" i="26"/>
  <c r="F30" i="26" s="1"/>
  <c r="N22" i="26"/>
  <c r="H17" i="26"/>
  <c r="Q30" i="26"/>
  <c r="H14" i="26"/>
  <c r="E35" i="26"/>
  <c r="F35" i="26" s="1"/>
  <c r="J22" i="26"/>
  <c r="W20" i="27" s="1"/>
  <c r="J29" i="26"/>
  <c r="X27" i="27" s="1"/>
  <c r="M20" i="26"/>
  <c r="Q33" i="26"/>
  <c r="H21" i="26"/>
  <c r="J13" i="26"/>
  <c r="W11" i="27" s="1"/>
  <c r="M35" i="26"/>
  <c r="C35" i="26"/>
  <c r="B35" i="26" s="1"/>
  <c r="R32" i="26"/>
  <c r="AH30" i="27" s="1"/>
  <c r="O32" i="26"/>
  <c r="AC30" i="27" s="1"/>
  <c r="C25" i="26"/>
  <c r="B25" i="26" s="1"/>
  <c r="N28" i="26"/>
  <c r="M28" i="26"/>
  <c r="O19" i="26"/>
  <c r="AC17" i="27" s="1"/>
  <c r="R29" i="26"/>
  <c r="AG27" i="27" s="1"/>
  <c r="Q29" i="26"/>
  <c r="O22" i="26"/>
  <c r="AB20" i="27" s="1"/>
  <c r="M29" i="26"/>
  <c r="R24" i="26"/>
  <c r="AH22" i="27" s="1"/>
  <c r="M36" i="26"/>
  <c r="I21" i="26"/>
  <c r="N36" i="26"/>
  <c r="Q13" i="26"/>
  <c r="N29" i="26"/>
  <c r="Q23" i="26"/>
  <c r="J27" i="26"/>
  <c r="X25" i="27" s="1"/>
  <c r="L32" i="26"/>
  <c r="R35" i="26"/>
  <c r="AG33" i="27" s="1"/>
  <c r="L20" i="26"/>
  <c r="C13" i="26"/>
  <c r="B13" i="26" s="1"/>
  <c r="E19" i="26"/>
  <c r="F19" i="26" s="1"/>
  <c r="C14" i="26"/>
  <c r="B14" i="26" s="1"/>
  <c r="N32" i="26"/>
  <c r="Q32" i="26"/>
  <c r="J25" i="26"/>
  <c r="X23" i="27" s="1"/>
  <c r="N27" i="26"/>
  <c r="O28" i="26"/>
  <c r="AB26" i="27" s="1"/>
  <c r="J14" i="26"/>
  <c r="W12" i="27" s="1"/>
  <c r="J31" i="26"/>
  <c r="X29" i="27" s="1"/>
  <c r="O13" i="26"/>
  <c r="AC11" i="27" s="1"/>
  <c r="M22" i="26"/>
  <c r="O27" i="26"/>
  <c r="AB25" i="27" s="1"/>
  <c r="J12" i="26"/>
  <c r="X10" i="27" s="1"/>
  <c r="C18" i="26"/>
  <c r="B18" i="26" s="1"/>
  <c r="I15" i="26"/>
  <c r="N25" i="26"/>
  <c r="Q14" i="26"/>
  <c r="R17" i="26"/>
  <c r="AG15" i="27" s="1"/>
  <c r="C30" i="26"/>
  <c r="B30" i="26" s="1"/>
  <c r="C29" i="26"/>
  <c r="B29" i="26" s="1"/>
  <c r="M26" i="26"/>
  <c r="O33" i="26"/>
  <c r="AC31" i="27" s="1"/>
  <c r="J20" i="26"/>
  <c r="X18" i="27" s="1"/>
  <c r="I36" i="26"/>
  <c r="E31" i="26"/>
  <c r="F31" i="26" s="1"/>
  <c r="I34" i="26"/>
  <c r="C27" i="26"/>
  <c r="B27" i="26" s="1"/>
  <c r="M17" i="26"/>
  <c r="R26" i="26"/>
  <c r="AH24" i="27" s="1"/>
  <c r="Q34" i="26"/>
  <c r="J18" i="26"/>
  <c r="W16" i="27" s="1"/>
  <c r="H19" i="26"/>
  <c r="O14" i="26"/>
  <c r="AB12" i="27" s="1"/>
  <c r="J23" i="26"/>
  <c r="W21" i="27" s="1"/>
  <c r="C19" i="26"/>
  <c r="B19" i="26" s="1"/>
  <c r="O12" i="26"/>
  <c r="AC10" i="27" s="1"/>
  <c r="N35" i="26"/>
  <c r="H27" i="26"/>
  <c r="Q28" i="26"/>
  <c r="C28" i="26"/>
  <c r="B28" i="26" s="1"/>
  <c r="E16" i="26"/>
  <c r="F16" i="26" s="1"/>
  <c r="L29" i="26"/>
  <c r="M16" i="26"/>
  <c r="C36" i="26"/>
  <c r="B36" i="26" s="1"/>
  <c r="I35" i="26"/>
  <c r="H24" i="26"/>
  <c r="Q24" i="26"/>
  <c r="R33" i="26"/>
  <c r="AG31" i="27" s="1"/>
  <c r="Q21" i="26"/>
  <c r="N16" i="26"/>
  <c r="Q25" i="26"/>
  <c r="I25" i="26"/>
  <c r="E15" i="26"/>
  <c r="F15" i="26" s="1"/>
  <c r="H15" i="26"/>
  <c r="E33" i="26"/>
  <c r="F33" i="26" s="1"/>
  <c r="J36" i="26"/>
  <c r="X34" i="27" s="1"/>
  <c r="L13" i="26"/>
  <c r="M13" i="26"/>
  <c r="I23" i="26"/>
  <c r="H35" i="26"/>
  <c r="L23" i="26"/>
  <c r="Q17" i="26"/>
  <c r="R15" i="26"/>
  <c r="AG13" i="27" s="1"/>
  <c r="M12" i="26"/>
  <c r="L19" i="26"/>
  <c r="R27" i="26"/>
  <c r="AH25" i="27" s="1"/>
  <c r="E28" i="26"/>
  <c r="F28" i="26" s="1"/>
  <c r="L28" i="26"/>
  <c r="H16" i="26"/>
  <c r="L36" i="26"/>
  <c r="I24" i="26"/>
  <c r="H34" i="26"/>
  <c r="C34" i="26"/>
  <c r="B34" i="26" s="1"/>
  <c r="H22" i="26"/>
  <c r="C22" i="26"/>
  <c r="B22" i="26" s="1"/>
  <c r="M33" i="26"/>
  <c r="C20" i="26"/>
  <c r="B20" i="26" s="1"/>
  <c r="E13" i="26"/>
  <c r="F13" i="26" s="1"/>
  <c r="J30" i="26"/>
  <c r="W28" i="27" s="1"/>
  <c r="I14" i="26"/>
  <c r="J15" i="26"/>
  <c r="X13" i="27" s="1"/>
  <c r="E27" i="26"/>
  <c r="F27" i="26" s="1"/>
  <c r="O16" i="26"/>
  <c r="AC14" i="27" s="1"/>
  <c r="N12" i="26"/>
  <c r="C26" i="26"/>
  <c r="B26" i="26" s="1"/>
  <c r="R36" i="26"/>
  <c r="AG34" i="27" s="1"/>
  <c r="L31" i="26"/>
  <c r="O21" i="26"/>
  <c r="AC19" i="27" s="1"/>
  <c r="H13" i="26"/>
  <c r="Q19" i="26"/>
  <c r="Q12" i="26"/>
  <c r="H18" i="26"/>
  <c r="C23" i="26"/>
  <c r="B23" i="26" s="1"/>
  <c r="L17" i="26"/>
  <c r="E22" i="26"/>
  <c r="F22" i="26" s="1"/>
  <c r="L22" i="26"/>
  <c r="R18" i="26"/>
  <c r="AH16" i="27" s="1"/>
  <c r="Q15" i="26"/>
  <c r="L14" i="26"/>
  <c r="L12" i="26"/>
  <c r="Q18" i="26"/>
  <c r="N15" i="26"/>
  <c r="I30" i="26"/>
  <c r="L30" i="26"/>
  <c r="M14" i="26"/>
  <c r="M25" i="26"/>
  <c r="E23" i="26"/>
  <c r="F23" i="26" s="1"/>
  <c r="E25" i="26"/>
  <c r="F25" i="26" s="1"/>
  <c r="H32" i="26"/>
  <c r="J32" i="26"/>
  <c r="X30" i="27" s="1"/>
  <c r="C16" i="26"/>
  <c r="B16" i="26" s="1"/>
  <c r="R23" i="26"/>
  <c r="AH21" i="27" s="1"/>
  <c r="N14" i="26"/>
  <c r="O17" i="26"/>
  <c r="AC15" i="27" s="1"/>
  <c r="Q22" i="26"/>
  <c r="J26" i="26"/>
  <c r="W24" i="27" s="1"/>
  <c r="Q26" i="26"/>
  <c r="H26" i="26"/>
  <c r="N20" i="26"/>
  <c r="H36" i="26"/>
  <c r="E26" i="26"/>
  <c r="F26" i="26" s="1"/>
  <c r="R20" i="26"/>
  <c r="AH18" i="27" s="1"/>
  <c r="M31" i="26"/>
  <c r="L24" i="26"/>
  <c r="I33" i="26"/>
  <c r="I26" i="26"/>
  <c r="H31" i="26"/>
  <c r="N34" i="26"/>
  <c r="I31" i="26"/>
  <c r="R21" i="26"/>
  <c r="AH19" i="27" s="1"/>
  <c r="N21" i="26"/>
  <c r="J21" i="26"/>
  <c r="W19" i="27" s="1"/>
  <c r="M21" i="26"/>
  <c r="N31" i="26"/>
  <c r="C33" i="26"/>
  <c r="B33" i="26" s="1"/>
  <c r="I32" i="26"/>
  <c r="Q35" i="26"/>
  <c r="E18" i="26"/>
  <c r="F18" i="26" s="1"/>
  <c r="R30" i="26"/>
  <c r="AH28" i="27" s="1"/>
  <c r="O25" i="26"/>
  <c r="AC23" i="27" s="1"/>
  <c r="I16" i="26"/>
  <c r="L33" i="26"/>
  <c r="I20" i="26"/>
  <c r="N33" i="26"/>
  <c r="L21" i="26"/>
  <c r="H30" i="26"/>
  <c r="H25" i="26"/>
  <c r="E32" i="26"/>
  <c r="F32" i="26" s="1"/>
  <c r="L16" i="26"/>
  <c r="E29" i="26"/>
  <c r="F29" i="26" s="1"/>
  <c r="N19" i="26"/>
  <c r="M30" i="26"/>
  <c r="R12" i="26"/>
  <c r="AG10" i="27" s="1"/>
  <c r="R25" i="26"/>
  <c r="AG23" i="27" s="1"/>
  <c r="O26" i="26"/>
  <c r="AB24" i="27" s="1"/>
  <c r="E20" i="26"/>
  <c r="F20" i="26" s="1"/>
  <c r="E36" i="26"/>
  <c r="F36" i="26" s="1"/>
  <c r="H33" i="26"/>
  <c r="J24" i="26"/>
  <c r="W22" i="27" s="1"/>
  <c r="R31" i="26"/>
  <c r="AG29" i="27" s="1"/>
  <c r="C24" i="26"/>
  <c r="B24" i="26" s="1"/>
  <c r="L26" i="26"/>
  <c r="Q20" i="26"/>
  <c r="R13" i="26"/>
  <c r="AH11" i="27" s="1"/>
  <c r="R34" i="26"/>
  <c r="AH32" i="27" s="1"/>
  <c r="E34" i="26"/>
  <c r="F34" i="26" s="1"/>
  <c r="O34" i="26"/>
  <c r="AB32" i="27" s="1"/>
  <c r="L34" i="26"/>
  <c r="I13" i="26"/>
  <c r="M34" i="26"/>
  <c r="N13" i="26"/>
  <c r="AJ26" i="27"/>
  <c r="Y10" i="27"/>
  <c r="AJ17" i="27"/>
  <c r="AD23" i="27"/>
  <c r="AI31" i="27"/>
  <c r="AD11" i="27"/>
  <c r="AJ11" i="27"/>
  <c r="AD12" i="27"/>
  <c r="Y14" i="27"/>
  <c r="AD17" i="27"/>
  <c r="Y11" i="27"/>
  <c r="Y20" i="27"/>
  <c r="Z31" i="27"/>
  <c r="AI11" i="27"/>
  <c r="Y30" i="27"/>
  <c r="AE25" i="27"/>
  <c r="AE10" i="27"/>
  <c r="AJ14" i="27"/>
  <c r="AI24" i="27"/>
  <c r="AE15" i="27"/>
  <c r="AJ28" i="27"/>
  <c r="Z27" i="27"/>
  <c r="AE34" i="27"/>
  <c r="Z29" i="27"/>
  <c r="AE21" i="27"/>
  <c r="AI23" i="27"/>
  <c r="AI15" i="27"/>
  <c r="Z33" i="27"/>
  <c r="Z12" i="27"/>
  <c r="AJ20" i="27"/>
  <c r="AE31" i="27"/>
  <c r="J35" i="26"/>
  <c r="X33" i="27" s="1"/>
  <c r="Z17" i="27"/>
  <c r="AD15" i="27"/>
  <c r="Y12" i="27"/>
  <c r="Z34" i="27"/>
  <c r="AE27" i="27"/>
  <c r="AJ10" i="27"/>
  <c r="Z23" i="27"/>
  <c r="AE14" i="27"/>
  <c r="AI21" i="27"/>
  <c r="AD13" i="27"/>
  <c r="Z19" i="27"/>
  <c r="Y13" i="27"/>
  <c r="Z30" i="27"/>
  <c r="AD32" i="27"/>
  <c r="O18" i="26"/>
  <c r="AB16" i="27" s="1"/>
  <c r="AI12" i="27"/>
  <c r="AD28" i="27"/>
  <c r="Y16" i="27"/>
  <c r="AD22" i="27"/>
  <c r="AI22" i="27"/>
  <c r="Y24" i="27"/>
  <c r="Z15" i="27"/>
  <c r="AD27" i="27"/>
  <c r="AJ15" i="27"/>
  <c r="AI33" i="27"/>
  <c r="Y34" i="27"/>
  <c r="AI19" i="27"/>
  <c r="AI17" i="27"/>
  <c r="Z26" i="27"/>
  <c r="AJ27" i="27"/>
  <c r="AI32" i="27"/>
  <c r="AJ19" i="27"/>
  <c r="Y17" i="27"/>
  <c r="AE29" i="27"/>
  <c r="AD25" i="27"/>
  <c r="AI30" i="27"/>
  <c r="Z22" i="27"/>
  <c r="AE32" i="27"/>
  <c r="Y26" i="27"/>
  <c r="AJ34" i="27"/>
  <c r="Z10" i="27"/>
  <c r="AI10" i="27"/>
  <c r="Y15" i="27"/>
  <c r="AD10" i="27"/>
  <c r="AD30" i="27"/>
  <c r="AE22" i="27"/>
  <c r="J17" i="26"/>
  <c r="W15" i="27" s="1"/>
  <c r="AJ12" i="27"/>
  <c r="AI16" i="27"/>
  <c r="AD34" i="27"/>
  <c r="AI34" i="27"/>
  <c r="Y28" i="27"/>
  <c r="AJ32" i="27"/>
  <c r="AE17" i="27"/>
  <c r="Z11" i="27"/>
  <c r="AE33" i="27"/>
  <c r="AI29" i="27"/>
  <c r="AI13" i="27"/>
  <c r="Z25" i="27"/>
  <c r="Z24" i="27"/>
  <c r="AE19" i="27"/>
  <c r="AD33" i="27"/>
  <c r="AD19" i="27"/>
  <c r="AJ22" i="27"/>
  <c r="Z21" i="27"/>
  <c r="Z18" i="27"/>
  <c r="AD20" i="27"/>
  <c r="AE24" i="27"/>
  <c r="AJ18" i="27"/>
  <c r="AJ16" i="27"/>
  <c r="Y18" i="27"/>
  <c r="AE23" i="27"/>
  <c r="AJ24" i="27"/>
  <c r="Z14" i="27"/>
  <c r="Y19" i="27"/>
  <c r="AD26" i="27"/>
  <c r="Y27" i="27"/>
  <c r="AJ30" i="27"/>
  <c r="Y33" i="27"/>
  <c r="Z20" i="27"/>
  <c r="Y25" i="27"/>
  <c r="Y29" i="27"/>
  <c r="AD14" i="27"/>
  <c r="AI28" i="27"/>
  <c r="AE20" i="27"/>
  <c r="AI27" i="27"/>
  <c r="AJ25" i="27"/>
  <c r="AJ21" i="27"/>
  <c r="Z16" i="27"/>
  <c r="Y23" i="27"/>
  <c r="Z28" i="27"/>
  <c r="AE26" i="27"/>
  <c r="AD29" i="27"/>
  <c r="AD31" i="27"/>
  <c r="AJ31" i="27"/>
  <c r="AJ23" i="27"/>
  <c r="AJ29" i="27"/>
  <c r="Z13" i="27"/>
  <c r="Y21" i="27"/>
  <c r="AE16" i="27"/>
  <c r="AD21" i="27"/>
  <c r="AD16" i="27"/>
  <c r="AI20" i="27"/>
  <c r="AI26" i="27"/>
  <c r="AI18" i="27"/>
  <c r="Y32" i="27"/>
  <c r="AE28" i="27"/>
  <c r="AI14" i="27"/>
  <c r="AI25" i="27"/>
  <c r="Z32" i="27"/>
  <c r="Y31" i="27"/>
  <c r="AD18" i="27"/>
  <c r="AJ33" i="27"/>
  <c r="AE18" i="27"/>
  <c r="AJ13" i="27"/>
  <c r="AE30" i="27"/>
  <c r="AD24" i="27"/>
  <c r="AE11" i="27"/>
  <c r="Y22" i="27"/>
  <c r="AE13" i="27"/>
  <c r="AE12" i="27"/>
  <c r="C38" i="26" l="1"/>
  <c r="B12" i="26"/>
  <c r="AC33" i="27"/>
  <c r="AC21" i="27"/>
  <c r="X12" i="27"/>
  <c r="AC29" i="27"/>
  <c r="X11" i="27"/>
  <c r="W27" i="27"/>
  <c r="AC12" i="27"/>
  <c r="AC22" i="27"/>
  <c r="AC27" i="27"/>
  <c r="AC28" i="27"/>
  <c r="AC20" i="27"/>
  <c r="X32" i="27"/>
  <c r="AC25" i="27"/>
  <c r="X31" i="27"/>
  <c r="W14" i="27"/>
  <c r="AC26" i="27"/>
  <c r="W26" i="27"/>
  <c r="W10" i="27"/>
  <c r="AG12" i="27"/>
  <c r="W25" i="27"/>
  <c r="AH33" i="27"/>
  <c r="AH20" i="27"/>
  <c r="AH23" i="27"/>
  <c r="AH26" i="27"/>
  <c r="AB31" i="27"/>
  <c r="AG22" i="27"/>
  <c r="X16" i="27"/>
  <c r="AH17" i="27"/>
  <c r="W23" i="27"/>
  <c r="AH14" i="27"/>
  <c r="AG30" i="27"/>
  <c r="AH27" i="27"/>
  <c r="AC18" i="27"/>
  <c r="AC13" i="27"/>
  <c r="AG18" i="27"/>
  <c r="AB11" i="27"/>
  <c r="AB30" i="27"/>
  <c r="AB17" i="27"/>
  <c r="X17" i="27"/>
  <c r="AH34" i="27"/>
  <c r="AB10" i="27"/>
  <c r="AC34" i="27"/>
  <c r="AH13" i="27"/>
  <c r="W18" i="27"/>
  <c r="AG24" i="27"/>
  <c r="W29" i="27"/>
  <c r="X20" i="27"/>
  <c r="AG25" i="27"/>
  <c r="AH15" i="27"/>
  <c r="AH31" i="27"/>
  <c r="AG19" i="27"/>
  <c r="W34" i="27"/>
  <c r="X21" i="27"/>
  <c r="X24" i="27"/>
  <c r="AB15" i="27"/>
  <c r="AG21" i="27"/>
  <c r="AG11" i="27"/>
  <c r="AG32" i="27"/>
  <c r="AG16" i="27"/>
  <c r="AH10" i="27"/>
  <c r="AC32" i="27"/>
  <c r="B38" i="26"/>
  <c r="AG28" i="27"/>
  <c r="X22" i="27"/>
  <c r="W13" i="27"/>
  <c r="AC24" i="27"/>
  <c r="AB14" i="27"/>
  <c r="X28" i="27"/>
  <c r="AH29" i="27"/>
  <c r="W30" i="27"/>
  <c r="X19" i="27"/>
  <c r="AB23" i="27"/>
  <c r="AB19" i="27"/>
  <c r="W33" i="27"/>
  <c r="AC16" i="27"/>
  <c r="X15" i="27"/>
</calcChain>
</file>

<file path=xl/comments1.xml><?xml version="1.0" encoding="utf-8"?>
<comments xmlns="http://schemas.openxmlformats.org/spreadsheetml/2006/main">
  <authors>
    <author>Autor</author>
  </authors>
  <commentList>
    <comment ref="C6" authorId="0">
      <text>
        <r>
          <rPr>
            <sz val="9"/>
            <color indexed="81"/>
            <rFont val="Arial"/>
            <family val="2"/>
            <charset val="238"/>
          </rPr>
          <t>Evidence nákupů - definování potřeb organizací</t>
        </r>
      </text>
    </comment>
    <comment ref="C8" authorId="0">
      <text>
        <r>
          <rPr>
            <sz val="9"/>
            <color indexed="81"/>
            <rFont val="Arial"/>
            <family val="2"/>
            <charset val="238"/>
          </rPr>
          <t>Zařazení do eVŘ - snížení cen u významných položek</t>
        </r>
      </text>
    </comment>
    <comment ref="C10" authorId="0">
      <text>
        <r>
          <rPr>
            <sz val="9"/>
            <color indexed="81"/>
            <rFont val="Tahoma"/>
            <family val="2"/>
            <charset val="238"/>
          </rPr>
          <t>Nákup za dodržené ceny - definování potřeb organizací</t>
        </r>
      </text>
    </comment>
    <comment ref="C15" authorId="0">
      <text>
        <r>
          <rPr>
            <sz val="9"/>
            <color indexed="81"/>
            <rFont val="Arial"/>
            <family val="2"/>
            <charset val="238"/>
          </rPr>
          <t>všechny organizace SMO</t>
        </r>
      </text>
    </comment>
    <comment ref="C18" authorId="0">
      <text>
        <r>
          <rPr>
            <sz val="9"/>
            <color indexed="81"/>
            <rFont val="Arial"/>
            <family val="2"/>
            <charset val="238"/>
          </rPr>
          <t>Obchodní a příspěvkové organizace zřízené Statutárním městem Ostrava</t>
        </r>
      </text>
    </comment>
    <comment ref="C20" authorId="0">
      <text>
        <r>
          <rPr>
            <sz val="9"/>
            <color indexed="81"/>
            <rFont val="Arial"/>
            <family val="2"/>
            <charset val="238"/>
          </rPr>
          <t>Ostravský informační servis
Městská policie</t>
        </r>
      </text>
    </comment>
    <comment ref="C21" authorId="0">
      <text>
        <r>
          <rPr>
            <sz val="9"/>
            <color indexed="81"/>
            <rFont val="Arial"/>
            <family val="2"/>
            <charset val="238"/>
          </rPr>
          <t>Národní divadlo Moravskoslezské
Divadlo loutek Ostrava
Dům kultury Akord
Komorní scéna Aréna
Dům kultury POKLAD
Dům kultury Ostrava
Janáčkova filharmonie Ostrava
Knihovna města Ostravy
Lidová konzervatoř
Ostravské muzeum
Ostravské výstavy</t>
        </r>
      </text>
    </comment>
    <comment ref="C22" authorId="0">
      <text>
        <r>
          <rPr>
            <sz val="9"/>
            <color indexed="81"/>
            <rFont val="Arial"/>
            <family val="2"/>
            <charset val="238"/>
          </rPr>
          <t>SAREZA
VÍTKOVICE ARÉNA
Dům dětí a mládeže Poruba
Středisko volného času Korunka
Středisko volného času O-Zábřeh
Středisko volného času Ostrava</t>
        </r>
      </text>
    </comment>
    <comment ref="C23" authorId="0">
      <text>
        <r>
          <rPr>
            <sz val="9"/>
            <color indexed="81"/>
            <rFont val="Arial"/>
            <family val="2"/>
            <charset val="238"/>
          </rPr>
          <t>jednotlivé odbory MMO</t>
        </r>
      </text>
    </comment>
    <comment ref="C24" authorId="0">
      <text>
        <r>
          <rPr>
            <sz val="9"/>
            <color indexed="81"/>
            <rFont val="Arial"/>
            <family val="2"/>
            <charset val="238"/>
          </rPr>
          <t>Dopravní podnik Ostrava
Ostravské komunikace
Technické služby Slezská Ostrava</t>
        </r>
      </text>
    </comment>
    <comment ref="C25" authorId="0">
      <text>
        <r>
          <rPr>
            <sz val="9"/>
            <color indexed="81"/>
            <rFont val="Arial"/>
            <family val="2"/>
            <charset val="238"/>
          </rPr>
          <t>OZO
ZOO Ostrava
Krematorium Ostrava
Ostravské městské lesy
OVA!!!CLOUD.net a.s.</t>
        </r>
      </text>
    </comment>
    <comment ref="C26" authorId="0">
      <text>
        <r>
          <rPr>
            <sz val="9"/>
            <color indexed="81"/>
            <rFont val="Arial"/>
            <family val="2"/>
            <charset val="238"/>
          </rPr>
          <t>Domov Slunečnice
Městská nemocnice Ostrava
Čtyřlístek
Dětské centrum Domeček
Domov Čujkovova
Domov Korýtko
Domov Magnolie
Domov Sluníčko
Domov Slunovrat
DPS Iris
DPS Kamenec</t>
        </r>
      </text>
    </comment>
    <comment ref="C29" authorId="0">
      <text>
        <r>
          <rPr>
            <sz val="9"/>
            <color indexed="81"/>
            <rFont val="Tahoma"/>
            <family val="2"/>
            <charset val="238"/>
          </rPr>
          <t>Úřady městských obvodů a jejich příspěvkové organizace, členěné dle městských obvodů</t>
        </r>
      </text>
    </comment>
    <comment ref="C31" authorId="0">
      <text>
        <r>
          <rPr>
            <sz val="9"/>
            <color indexed="81"/>
            <rFont val="Arial"/>
            <family val="2"/>
            <charset val="238"/>
          </rPr>
          <t>Centrum sociálních služeb Poruba
Kulturní centrum Poruba
MŠ Čs.exilu
MŠ Čtyřlístek, O-Poruba
MŠ O-Poruba, Dětská
MŠ O-Poruba, Dvorní
MŠ O-Poruba, J.Šoupala
MŠ O-Poruba, Nezvalovo nám.
MŠ O-Poruba, Oty Synka
MŠ O-Poruba, Sokolovská
MŠ O-Poruba, Ukrajinská
MŠ O-Poruba, V.Makovského
ÚMOb Poruba
ZŠ O-Poruba, A.Hrdličky
ZŠ O-Poruba, Bulharská
ZŠ O-Poruba, Dětská
ZŠ O-Poruba, I.Sekaniny
ZŠ O-Poruba, J.Šoupala
ZŠ O-Poruba, J.Valčíka
ZŠ O-Poruba, K.Pokorného
ZŠ O-Poruba, Komenského
ZŠ O-Poruba, L.Štúra
ZŠ O-Poruba, Porubská 831
ZŠ O-Poruba, Porubská 832
ZŠ O-Poruba, Ukrajinská</t>
        </r>
      </text>
    </comment>
    <comment ref="C32" authorId="0">
      <text>
        <r>
          <rPr>
            <sz val="9"/>
            <color indexed="81"/>
            <rFont val="Arial"/>
            <family val="2"/>
            <charset val="238"/>
          </rPr>
          <t>ÚMOb Krásné Pole
ZŠ a MŠ O-Krásné Pole</t>
        </r>
      </text>
    </comment>
    <comment ref="C33" authorId="0">
      <text>
        <r>
          <rPr>
            <sz val="9"/>
            <color indexed="81"/>
            <rFont val="Arial"/>
            <family val="2"/>
            <charset val="238"/>
          </rPr>
          <t>MŠ O-Vítkovice
ÚMOb Vítkovice
ZŠ O-Vítkovice, Šalounova</t>
        </r>
      </text>
    </comment>
    <comment ref="C34" authorId="0">
      <text>
        <r>
          <rPr>
            <sz val="9"/>
            <color indexed="81"/>
            <rFont val="Arial"/>
            <family val="2"/>
            <charset val="238"/>
          </rPr>
          <t>Technický dvůr O-Svinov
ÚMOb Svinov
ZŠ a MŠ O-Svinov
ZUŠ O-Svinov, Bílovecká</t>
        </r>
      </text>
    </comment>
    <comment ref="C35" authorId="0">
      <text>
        <r>
          <rPr>
            <sz val="9"/>
            <color indexed="81"/>
            <rFont val="Tahoma"/>
            <family val="2"/>
            <charset val="238"/>
          </rPr>
          <t>MŠ O-Stará Bělá
ÚMOb Stará Bělá
ZŠ O-Stará Bělá</t>
        </r>
      </text>
    </comment>
    <comment ref="C36" authorId="0">
      <text>
        <r>
          <rPr>
            <sz val="9"/>
            <color indexed="81"/>
            <rFont val="Arial"/>
            <family val="2"/>
            <charset val="238"/>
          </rPr>
          <t>ÚMOb Pustkovec</t>
        </r>
      </text>
    </comment>
    <comment ref="C37" authorId="0">
      <text>
        <r>
          <rPr>
            <sz val="9"/>
            <color indexed="81"/>
            <rFont val="Arial"/>
            <family val="2"/>
            <charset val="238"/>
          </rPr>
          <t>Centrum kultury a vzdělávání Moravská Ostrava
ZŠ a MŠ MO a Přívoz, Ostrčilova
ZŠ MO a Přívoz, Matiční
MŠ Blahoslavova
MŠ Dvořákova
MŠ Hornická
MŠ Křižíkova
MŠ Lechowiczova
MŠ Na Jízdárně
MŠ Poděbradova
MŠ Repinova
MŠ Šafaříkova
MŠ Špálova
MŠ Varenská
Technické služby Moravská Ostrava a Přívoz
ÚMOb Moravská Ostrava a Přívoz
ZŠ MO a Přívoz, Gajdošova
ZŠ Ostrava, Gebauerova
ZŠ Ostrava, Gen.Píky
ZŠ Ostrava, Kounicova
ZŠ Ostrava, Nádražní
ZŠ Ostrava, Zelená
ZŠ waldorfská MO a Přívoz</t>
        </r>
      </text>
    </comment>
    <comment ref="C38" authorId="0">
      <text>
        <r>
          <rPr>
            <sz val="9"/>
            <color indexed="81"/>
            <rFont val="Arial"/>
            <family val="2"/>
            <charset val="238"/>
          </rPr>
          <t>MŠ Bohumínská
MŠ Heřmanice
MŠ Jaklovecká
MŠ Komerční
ÚMOb Slezská Ostrava
ZŠ O-Kunčičky, Škrobálkova
ZŠ O-Muglinov
ZŠ Slezská Ostrava, Bohumínská
ZŠ Slezská Ostrava, Chrustova</t>
        </r>
      </text>
    </comment>
    <comment ref="C39" authorId="0">
      <text>
        <r>
          <rPr>
            <sz val="9"/>
            <color indexed="81"/>
            <rFont val="Arial"/>
            <family val="2"/>
            <charset val="238"/>
          </rPr>
          <t>MŠ O-Plesná
ÚMOb Plesná</t>
        </r>
      </text>
    </comment>
    <comment ref="C40" authorId="0">
      <text>
        <r>
          <rPr>
            <sz val="9"/>
            <color indexed="81"/>
            <rFont val="Arial"/>
            <family val="2"/>
            <charset val="238"/>
          </rPr>
          <t>ZŠ a MŠ O-Bělský Les
ZŠ a MŠ O-Hrabůvka, A.Kučery
Kulturní zařízení Ostrava-Jih
Majetková správa O-Jih
MŠ Harmonie, O-Hrabůvka
MŠ O-Dubina, A.Gavlase
MŠ O-Dubina, F.Formana
MŠ O-Hrabůvka, Adamusova
MŠ Staňkova
MŠ Volgogradská
MŠ Za Školou
ÚMOb Ostrava-Jih
ZŠ a MŠ O-Dubina, V.Košaře
ZŠ a MŠ O-Hrabůvka, Klegova 29
ZŠ a MŠ O-Hrabůvka, Krestova
ZŠ a MŠ O-Hrabůvka, Mitušova 16
ZŠ a MŠ O-Hrabůvka, Mitušova 8
ZŠ a MŠ O-Výškovice, Šeříková
ZŠ a MŠ O-Zábřeh, Březinova
ZŠ a MŠ O-Zábřeh, Horymírova
ZŠ a MŠ O-Zábřeh, Kosmonautů 13
ZŠ a MŠ O-Zábřeh, Kosmonautů 15
ZŠ a MŠ O-Zábřeh, Volgogradská
ZŠ O-Dubina, F.Formana
ZŠ O-Hrabůvka, Klegova 27
ZŠ O-Hrabůvka, Provaznická
ZŠ O-Výškovice, Srbská
ZŠ O-Zábřeh, Chrjukinova
ZŠ O-Zábřeh, Jugoslávská
ZŠ O-Zábřeh, V Zálomu</t>
        </r>
      </text>
    </comment>
    <comment ref="C41" authorId="0">
      <text>
        <r>
          <rPr>
            <sz val="9"/>
            <color indexed="81"/>
            <rFont val="Arial"/>
            <family val="2"/>
            <charset val="238"/>
          </rPr>
          <t>ÚMOb Třebovice</t>
        </r>
      </text>
    </comment>
    <comment ref="C42" authorId="0">
      <text>
        <r>
          <rPr>
            <sz val="9"/>
            <color indexed="81"/>
            <rFont val="Arial"/>
            <family val="2"/>
            <charset val="238"/>
          </rPr>
          <t>MŠ O-Petřkovice
ÚMOb Petřkovice
ZŠ O-Petřkovice</t>
        </r>
      </text>
    </comment>
    <comment ref="C43" authorId="0">
      <text>
        <r>
          <rPr>
            <sz val="9"/>
            <color indexed="81"/>
            <rFont val="Arial"/>
            <family val="2"/>
            <charset val="238"/>
          </rPr>
          <t>Alternativní MŠ, O-Mariánské Hory
Křesťanská MŠ Ostrava-Mariánské Hory
MŠ Gen.Janka
MŠ O-Hulváky, Matrosova
MŠ Zelená
ÚMOb Mariánské Hory a Hulváky
ZŠ O-Mar.Hory, Gen.Janka</t>
        </r>
      </text>
    </comment>
    <comment ref="C44" authorId="0">
      <text>
        <r>
          <rPr>
            <sz val="9"/>
            <color indexed="81"/>
            <rFont val="Tahoma"/>
            <family val="2"/>
            <charset val="238"/>
          </rPr>
          <t>MŠ O-Bartovice
MŠ O-Radvanice
ÚMOb Radvanice a Bartovice
ZŠ O-Radvanice, Trnkovecká
ZŠ O-Radvanice, Vrchlického</t>
        </r>
      </text>
    </comment>
    <comment ref="C45" authorId="0">
      <text>
        <r>
          <rPr>
            <sz val="9"/>
            <color indexed="81"/>
            <rFont val="Arial"/>
            <family val="2"/>
            <charset val="238"/>
          </rPr>
          <t>ÚMOb Lhotka
ZŠ a MŠ O-Lhotka</t>
        </r>
      </text>
    </comment>
    <comment ref="C46" authorId="0">
      <text>
        <r>
          <rPr>
            <sz val="9"/>
            <color indexed="81"/>
            <rFont val="Tahoma"/>
            <family val="2"/>
            <charset val="238"/>
          </rPr>
          <t>MŠ O-Nová Bělá
ÚMOb Nová Bělá
ZŠ O-Nová Bělá</t>
        </r>
      </text>
    </comment>
    <comment ref="C47" authorId="0">
      <text>
        <r>
          <rPr>
            <sz val="9"/>
            <color indexed="81"/>
            <rFont val="Tahoma"/>
            <family val="2"/>
            <charset val="238"/>
          </rPr>
          <t>ÚMOb Proskovice
ZŠ a MŠ O-Proskovice</t>
        </r>
      </text>
    </comment>
    <comment ref="C48" authorId="0">
      <text>
        <r>
          <rPr>
            <sz val="9"/>
            <color indexed="81"/>
            <rFont val="Arial"/>
            <family val="2"/>
            <charset val="238"/>
          </rPr>
          <t>MŠ Sládečkova
ÚMOb Michálkovice
ZŠ O-Michálkovice</t>
        </r>
      </text>
    </comment>
    <comment ref="C49" authorId="0">
      <text>
        <r>
          <rPr>
            <sz val="9"/>
            <color indexed="81"/>
            <rFont val="Arial"/>
            <family val="2"/>
            <charset val="238"/>
          </rPr>
          <t>ÚMOb Hošťálkovice
ZŠ a MŠ O-Hošťálkovice</t>
        </r>
      </text>
    </comment>
    <comment ref="C50" authorId="0">
      <text>
        <r>
          <rPr>
            <sz val="9"/>
            <color indexed="81"/>
            <rFont val="Arial"/>
            <family val="2"/>
            <charset val="238"/>
          </rPr>
          <t>MŠ Polanka
ÚMOb Polanka n/O
ZŠ O-Polanka n/O</t>
        </r>
      </text>
    </comment>
    <comment ref="C51" authorId="0">
      <text>
        <r>
          <rPr>
            <sz val="9"/>
            <color indexed="81"/>
            <rFont val="Arial"/>
            <family val="2"/>
            <charset val="238"/>
          </rPr>
          <t>MŠ Martinovská
ÚMOb Martinov</t>
        </r>
      </text>
    </comment>
    <comment ref="C52" authorId="0">
      <text>
        <r>
          <rPr>
            <sz val="9"/>
            <color indexed="81"/>
            <rFont val="Tahoma"/>
            <family val="2"/>
            <charset val="238"/>
          </rPr>
          <t>ÚMOb Nová Ves</t>
        </r>
      </text>
    </comment>
    <comment ref="C53" authorId="0">
      <text>
        <r>
          <rPr>
            <sz val="9"/>
            <color indexed="81"/>
            <rFont val="Arial"/>
            <family val="2"/>
            <charset val="238"/>
          </rPr>
          <t>MŠ Klubíčko, O-Hrabová
ÚMOb Hrabová
ZŠ O-Hrabová, Paskovská</t>
        </r>
      </text>
    </comment>
  </commentList>
</comments>
</file>

<file path=xl/comments2.xml><?xml version="1.0" encoding="utf-8"?>
<comments xmlns="http://schemas.openxmlformats.org/spreadsheetml/2006/main">
  <authors>
    <author>JM</author>
  </authors>
  <commentList>
    <comment ref="C5" authorId="0">
      <text>
        <r>
          <rPr>
            <i/>
            <sz val="9"/>
            <color indexed="81"/>
            <rFont val="Tahoma"/>
            <family val="2"/>
            <charset val="238"/>
          </rPr>
          <t>Vyberte rozsah
zobrazení</t>
        </r>
      </text>
    </comment>
    <comment ref="H5" authorId="0">
      <text>
        <r>
          <rPr>
            <i/>
            <sz val="9"/>
            <color indexed="81"/>
            <rFont val="Arial"/>
            <family val="2"/>
            <charset val="238"/>
          </rPr>
          <t>Definujte skupinu
výběru</t>
        </r>
      </text>
    </comment>
    <comment ref="L5" authorId="0">
      <text>
        <r>
          <rPr>
            <i/>
            <sz val="9"/>
            <color indexed="81"/>
            <rFont val="Arial"/>
            <family val="2"/>
            <charset val="238"/>
          </rPr>
          <t xml:space="preserve">Vyberte konkrétní
skupinu organizací SMO
</t>
        </r>
      </text>
    </comment>
    <comment ref="E8" authorId="0">
      <text>
        <r>
          <rPr>
            <b/>
            <sz val="8"/>
            <color indexed="81"/>
            <rFont val="Arial"/>
            <family val="2"/>
            <charset val="238"/>
          </rPr>
          <t>Rating</t>
        </r>
        <r>
          <rPr>
            <sz val="8"/>
            <color indexed="81"/>
            <rFont val="Arial"/>
            <family val="2"/>
            <charset val="238"/>
          </rPr>
          <t xml:space="preserve"> - složený index, kdy skutečnost</t>
        </r>
        <r>
          <rPr>
            <b/>
            <sz val="8"/>
            <color indexed="81"/>
            <rFont val="Arial"/>
            <family val="2"/>
            <charset val="238"/>
          </rPr>
          <t xml:space="preserve"> Evidence nákupů</t>
        </r>
        <r>
          <rPr>
            <sz val="8"/>
            <color indexed="81"/>
            <rFont val="Arial"/>
            <family val="2"/>
            <charset val="238"/>
          </rPr>
          <t xml:space="preserve"> a skutečnost</t>
        </r>
        <r>
          <rPr>
            <b/>
            <sz val="8"/>
            <color indexed="81"/>
            <rFont val="Arial"/>
            <family val="2"/>
            <charset val="238"/>
          </rPr>
          <t xml:space="preserve"> Nákupy zařazené do eVŘ a realizované za dodrženou cenu</t>
        </r>
        <r>
          <rPr>
            <sz val="8"/>
            <color indexed="81"/>
            <rFont val="Arial"/>
            <family val="2"/>
            <charset val="238"/>
          </rPr>
          <t xml:space="preserve"> k plánu se sčítají a vyhodnocují dle váhy, která je přiřazena Evidenci a Zařazeným nákupům do eVŘ (40:60) - max.hodnota je 100</t>
        </r>
      </text>
    </comment>
    <comment ref="H8" authorId="0">
      <text>
        <r>
          <rPr>
            <sz val="8"/>
            <color indexed="81"/>
            <rFont val="Arial"/>
            <family val="2"/>
            <charset val="238"/>
          </rPr>
          <t xml:space="preserve">hodnoty analytických účtů jednotlivých organizací - skutečnost roku 2015 popřípadě plán roku 2016  (poměrná část hodnoceného období)
</t>
        </r>
        <r>
          <rPr>
            <b/>
            <sz val="8"/>
            <color indexed="81"/>
            <rFont val="Arial"/>
            <family val="2"/>
            <charset val="238"/>
          </rPr>
          <t>501, 504 - spotřeba materiálu, zboží</t>
        </r>
        <r>
          <rPr>
            <sz val="8"/>
            <color indexed="81"/>
            <rFont val="Arial"/>
            <family val="2"/>
            <charset val="238"/>
          </rPr>
          <t xml:space="preserve">
</t>
        </r>
        <r>
          <rPr>
            <b/>
            <sz val="8"/>
            <color indexed="81"/>
            <rFont val="Arial"/>
            <family val="2"/>
            <charset val="238"/>
          </rPr>
          <t>502 - spotřeba energií
518 - Služby
548 - Ostatní provozní náklady</t>
        </r>
      </text>
    </comment>
    <comment ref="I9" authorId="0">
      <text>
        <r>
          <rPr>
            <sz val="8"/>
            <color indexed="81"/>
            <rFont val="Arial"/>
            <family val="2"/>
            <charset val="238"/>
          </rPr>
          <t>objem</t>
        </r>
        <r>
          <rPr>
            <b/>
            <sz val="8"/>
            <color indexed="81"/>
            <rFont val="Arial"/>
            <family val="2"/>
            <charset val="238"/>
          </rPr>
          <t xml:space="preserve"> všech nákupů</t>
        </r>
        <r>
          <rPr>
            <sz val="8"/>
            <color indexed="81"/>
            <rFont val="Arial"/>
            <family val="2"/>
            <charset val="238"/>
          </rPr>
          <t xml:space="preserve">
evidovaných v Nákupním portálu
za hodnocené období</t>
        </r>
      </text>
    </comment>
    <comment ref="J9" authorId="0">
      <text>
        <r>
          <rPr>
            <sz val="8"/>
            <color indexed="81"/>
            <rFont val="Arial"/>
            <family val="2"/>
            <charset val="238"/>
          </rPr>
          <t xml:space="preserve">percentuální vyjádření objemu všech nákupů evidovaných v NP a skutečného objemu nákupů za sledované období
</t>
        </r>
        <r>
          <rPr>
            <b/>
            <sz val="8"/>
            <color indexed="81"/>
            <rFont val="Arial"/>
            <family val="2"/>
            <charset val="238"/>
          </rPr>
          <t xml:space="preserve">Vzorec: </t>
        </r>
        <r>
          <rPr>
            <sz val="8"/>
            <color indexed="81"/>
            <rFont val="Arial"/>
            <family val="2"/>
            <charset val="238"/>
          </rPr>
          <t>"sl. 4" = "sl.3"  /  "sl.2"</t>
        </r>
      </text>
    </comment>
    <comment ref="L9" authorId="0">
      <text>
        <r>
          <rPr>
            <sz val="8"/>
            <color indexed="81"/>
            <rFont val="Arial"/>
            <family val="2"/>
            <charset val="238"/>
          </rPr>
          <t xml:space="preserve">plánované procento objemu nákupů </t>
        </r>
        <r>
          <rPr>
            <b/>
            <sz val="8"/>
            <color indexed="81"/>
            <rFont val="Arial"/>
            <family val="2"/>
            <charset val="238"/>
          </rPr>
          <t>položek</t>
        </r>
        <r>
          <rPr>
            <sz val="8"/>
            <color indexed="81"/>
            <rFont val="Arial"/>
            <family val="2"/>
            <charset val="238"/>
          </rPr>
          <t xml:space="preserve"> </t>
        </r>
        <r>
          <rPr>
            <b/>
            <sz val="8"/>
            <color indexed="81"/>
            <rFont val="Arial"/>
            <family val="2"/>
            <charset val="238"/>
          </rPr>
          <t>zařazených do eVŘ</t>
        </r>
        <r>
          <rPr>
            <sz val="8"/>
            <color indexed="81"/>
            <rFont val="Arial"/>
            <family val="2"/>
            <charset val="238"/>
          </rPr>
          <t xml:space="preserve"> v Nákupním portálu za dodrženou cenu</t>
        </r>
      </text>
    </comment>
    <comment ref="M9" authorId="0">
      <text>
        <r>
          <rPr>
            <sz val="8"/>
            <color indexed="81"/>
            <rFont val="Arial"/>
            <family val="2"/>
            <charset val="238"/>
          </rPr>
          <t xml:space="preserve">skutečný objem nákupů </t>
        </r>
        <r>
          <rPr>
            <b/>
            <sz val="8"/>
            <color indexed="81"/>
            <rFont val="Arial"/>
            <family val="2"/>
            <charset val="238"/>
          </rPr>
          <t>položek</t>
        </r>
        <r>
          <rPr>
            <sz val="8"/>
            <color indexed="81"/>
            <rFont val="Arial"/>
            <family val="2"/>
            <charset val="238"/>
          </rPr>
          <t xml:space="preserve"> </t>
        </r>
        <r>
          <rPr>
            <b/>
            <sz val="8"/>
            <color indexed="81"/>
            <rFont val="Arial"/>
            <family val="2"/>
            <charset val="238"/>
          </rPr>
          <t>zařazených do eVŘ</t>
        </r>
        <r>
          <rPr>
            <sz val="8"/>
            <color indexed="81"/>
            <rFont val="Arial"/>
            <family val="2"/>
            <charset val="238"/>
          </rPr>
          <t xml:space="preserve"> realizovaných v Nákupním portálu za dodrženou cenu</t>
        </r>
      </text>
    </comment>
    <comment ref="N9" authorId="0">
      <text>
        <r>
          <rPr>
            <sz val="8"/>
            <color indexed="81"/>
            <rFont val="Arial"/>
            <family val="2"/>
            <charset val="238"/>
          </rPr>
          <t>percentuální vyjádření objemu nákupů v NP za dodrženou cenu a předpokládaného celkového objemu nákupů za hodnocené období
Vzorec: "sl. 7" = "sl.6"  /  "sl.2"</t>
        </r>
      </text>
    </comment>
    <comment ref="O9" authorId="0">
      <text>
        <r>
          <rPr>
            <sz val="8"/>
            <color indexed="81"/>
            <rFont val="Arial"/>
            <family val="2"/>
            <charset val="238"/>
          </rPr>
          <t>percentuální vyjádření skutečného a plánovaného objemu nákupů v NP za dodrženou cenu za hodnocené období
Vzorec: "sl. 8" = "sl.6"  /  ("sl.2" *  "sl.5")</t>
        </r>
      </text>
    </comment>
    <comment ref="Q9" authorId="0">
      <text>
        <r>
          <rPr>
            <b/>
            <sz val="8"/>
            <color indexed="81"/>
            <rFont val="Arial"/>
            <family val="2"/>
            <charset val="238"/>
          </rPr>
          <t>skutečně dosažená úspora</t>
        </r>
        <r>
          <rPr>
            <sz val="8"/>
            <color indexed="81"/>
            <rFont val="Arial"/>
            <family val="2"/>
            <charset val="238"/>
          </rPr>
          <t xml:space="preserve">
rozdíl mezi porovnávací a skutečnou cenou objemu nákupů položek zařazených do eVŘ a realizovaných za dodrženou cenu
</t>
        </r>
        <r>
          <rPr>
            <b/>
            <i/>
            <sz val="8"/>
            <color indexed="81"/>
            <rFont val="Arial"/>
            <family val="2"/>
            <charset val="238"/>
          </rPr>
          <t>porovnávací cena</t>
        </r>
        <r>
          <rPr>
            <i/>
            <sz val="8"/>
            <color indexed="81"/>
            <rFont val="Arial"/>
            <family val="2"/>
            <charset val="238"/>
          </rPr>
          <t xml:space="preserve"> - cena dle analýzy roku 2009 u referenčního zadavatele
</t>
        </r>
        <r>
          <rPr>
            <b/>
            <i/>
            <sz val="8"/>
            <color indexed="81"/>
            <rFont val="Arial"/>
            <family val="2"/>
            <charset val="238"/>
          </rPr>
          <t>skutečná cena</t>
        </r>
        <r>
          <rPr>
            <i/>
            <sz val="8"/>
            <color indexed="81"/>
            <rFont val="Arial"/>
            <family val="2"/>
            <charset val="238"/>
          </rPr>
          <t xml:space="preserve"> - cena nákupu</t>
        </r>
      </text>
    </comment>
    <comment ref="R9" authorId="0">
      <text>
        <r>
          <rPr>
            <sz val="8"/>
            <color indexed="81"/>
            <rFont val="Arial"/>
            <family val="2"/>
            <charset val="238"/>
          </rPr>
          <t>procento dosažené úspory</t>
        </r>
      </text>
    </comment>
  </commentList>
</comments>
</file>

<file path=xl/comments3.xml><?xml version="1.0" encoding="utf-8"?>
<comments xmlns="http://schemas.openxmlformats.org/spreadsheetml/2006/main">
  <authors>
    <author>JM</author>
  </authors>
  <commentList>
    <comment ref="D4" authorId="0">
      <text>
        <r>
          <rPr>
            <sz val="10"/>
            <color indexed="81"/>
            <rFont val="Arial"/>
            <family val="2"/>
            <charset val="238"/>
          </rPr>
          <t xml:space="preserve">Statutární město Ostrava a jeho organizace ročně utratí za provoz
(dle analýzy dat z roku 2009)
            </t>
        </r>
        <r>
          <rPr>
            <b/>
            <sz val="11"/>
            <color indexed="81"/>
            <rFont val="Arial"/>
            <family val="2"/>
            <charset val="238"/>
          </rPr>
          <t>4 miliardy korun</t>
        </r>
      </text>
    </comment>
    <comment ref="G4" authorId="0">
      <text>
        <r>
          <rPr>
            <sz val="10"/>
            <color indexed="81"/>
            <rFont val="Arial"/>
            <family val="2"/>
            <charset val="238"/>
          </rPr>
          <t xml:space="preserve">Město se proto rozhodlo zařadit aspoň čtvrtinu těchto nákladů do </t>
        </r>
        <r>
          <rPr>
            <b/>
            <sz val="10"/>
            <color indexed="81"/>
            <rFont val="Arial"/>
            <family val="2"/>
            <charset val="238"/>
          </rPr>
          <t>eVŘ</t>
        </r>
        <r>
          <rPr>
            <sz val="10"/>
            <color indexed="81"/>
            <rFont val="Arial"/>
            <family val="2"/>
            <charset val="238"/>
          </rPr>
          <t xml:space="preserve"> (elektronická výběrová řízení) v rámci Systému sdružených nákupů, tj.
                         </t>
        </r>
        <r>
          <rPr>
            <b/>
            <sz val="11"/>
            <color indexed="81"/>
            <rFont val="Arial"/>
            <family val="2"/>
            <charset val="238"/>
          </rPr>
          <t>1 miliarda korun</t>
        </r>
      </text>
    </comment>
    <comment ref="J4" authorId="0">
      <text>
        <r>
          <rPr>
            <sz val="10"/>
            <color indexed="81"/>
            <rFont val="Arial"/>
            <family val="2"/>
            <charset val="238"/>
          </rPr>
          <t xml:space="preserve">… a dosáhnout tak minimálně </t>
        </r>
        <r>
          <rPr>
            <b/>
            <sz val="10"/>
            <color indexed="81"/>
            <rFont val="Arial"/>
            <family val="2"/>
            <charset val="238"/>
          </rPr>
          <t>10% úspory</t>
        </r>
        <r>
          <rPr>
            <sz val="10"/>
            <color indexed="81"/>
            <rFont val="Arial"/>
            <family val="2"/>
            <charset val="238"/>
          </rPr>
          <t xml:space="preserve">, tj.
                  </t>
        </r>
        <r>
          <rPr>
            <b/>
            <sz val="11"/>
            <color indexed="81"/>
            <rFont val="Arial"/>
            <family val="2"/>
            <charset val="238"/>
          </rPr>
          <t>100 milionů korun</t>
        </r>
      </text>
    </comment>
  </commentList>
</comments>
</file>

<file path=xl/comments4.xml><?xml version="1.0" encoding="utf-8"?>
<comments xmlns="http://schemas.openxmlformats.org/spreadsheetml/2006/main">
  <authors>
    <author>JM</author>
  </authors>
  <commentList>
    <comment ref="D5" authorId="0">
      <text>
        <r>
          <rPr>
            <sz val="10"/>
            <color indexed="81"/>
            <rFont val="Arial"/>
            <family val="2"/>
            <charset val="238"/>
          </rPr>
          <t xml:space="preserve">Statutární město Ostrava a jeho organizace ročně utratí za provoz
(dle analýzy dat z roku 2009)
            </t>
        </r>
        <r>
          <rPr>
            <b/>
            <sz val="11"/>
            <color indexed="81"/>
            <rFont val="Arial"/>
            <family val="2"/>
            <charset val="238"/>
          </rPr>
          <t>4 miliardy korun</t>
        </r>
      </text>
    </comment>
    <comment ref="H5" authorId="0">
      <text>
        <r>
          <rPr>
            <sz val="10"/>
            <color indexed="81"/>
            <rFont val="Arial"/>
            <family val="2"/>
            <charset val="238"/>
          </rPr>
          <t xml:space="preserve">Město se proto rozhodlo zařadit aspoň čtvrtinu těchto nákladů do </t>
        </r>
        <r>
          <rPr>
            <b/>
            <sz val="10"/>
            <color indexed="81"/>
            <rFont val="Arial"/>
            <family val="2"/>
            <charset val="238"/>
          </rPr>
          <t>eVŘ</t>
        </r>
        <r>
          <rPr>
            <sz val="10"/>
            <color indexed="81"/>
            <rFont val="Arial"/>
            <family val="2"/>
            <charset val="238"/>
          </rPr>
          <t xml:space="preserve"> (elektronická výběrová řízení) v rámci Systému sdružených nákupů, tj.
                         </t>
        </r>
        <r>
          <rPr>
            <b/>
            <sz val="11"/>
            <color indexed="81"/>
            <rFont val="Arial"/>
            <family val="2"/>
            <charset val="238"/>
          </rPr>
          <t>1 miliarda korun</t>
        </r>
      </text>
    </comment>
    <comment ref="L5" authorId="0">
      <text>
        <r>
          <rPr>
            <sz val="10"/>
            <color indexed="81"/>
            <rFont val="Arial"/>
            <family val="2"/>
            <charset val="238"/>
          </rPr>
          <t xml:space="preserve">… a dosáhnout tak minimálně </t>
        </r>
        <r>
          <rPr>
            <b/>
            <sz val="10"/>
            <color indexed="81"/>
            <rFont val="Arial"/>
            <family val="2"/>
            <charset val="238"/>
          </rPr>
          <t>10% úspory</t>
        </r>
        <r>
          <rPr>
            <sz val="10"/>
            <color indexed="81"/>
            <rFont val="Arial"/>
            <family val="2"/>
            <charset val="238"/>
          </rPr>
          <t xml:space="preserve">, tj.
                  </t>
        </r>
        <r>
          <rPr>
            <b/>
            <sz val="11"/>
            <color indexed="81"/>
            <rFont val="Arial"/>
            <family val="2"/>
            <charset val="238"/>
          </rPr>
          <t>100 miliónů korun</t>
        </r>
      </text>
    </comment>
  </commentList>
</comments>
</file>

<file path=xl/comments5.xml><?xml version="1.0" encoding="utf-8"?>
<comments xmlns="http://schemas.openxmlformats.org/spreadsheetml/2006/main">
  <authors>
    <author>JM</author>
  </authors>
  <commentList>
    <comment ref="D4" authorId="0">
      <text>
        <r>
          <rPr>
            <sz val="10"/>
            <color indexed="81"/>
            <rFont val="Arial"/>
            <family val="2"/>
            <charset val="238"/>
          </rPr>
          <t xml:space="preserve">Statutární město Ostrava a jeho organizace ročně utratí za provoz
(dle analýzy dat z roku 2009)
            </t>
        </r>
        <r>
          <rPr>
            <b/>
            <sz val="11"/>
            <color indexed="81"/>
            <rFont val="Arial"/>
            <family val="2"/>
            <charset val="238"/>
          </rPr>
          <t>4 miliardy korun</t>
        </r>
      </text>
    </comment>
    <comment ref="H4" authorId="0">
      <text>
        <r>
          <rPr>
            <sz val="10"/>
            <color indexed="81"/>
            <rFont val="Arial"/>
            <family val="2"/>
            <charset val="238"/>
          </rPr>
          <t xml:space="preserve">Město se proto rozhodlo zařadit aspoň čtvrtinu těchto nákladů do </t>
        </r>
        <r>
          <rPr>
            <b/>
            <sz val="10"/>
            <color indexed="81"/>
            <rFont val="Arial"/>
            <family val="2"/>
            <charset val="238"/>
          </rPr>
          <t>eVŘ</t>
        </r>
        <r>
          <rPr>
            <sz val="10"/>
            <color indexed="81"/>
            <rFont val="Arial"/>
            <family val="2"/>
            <charset val="238"/>
          </rPr>
          <t xml:space="preserve"> (elektronická výběrová řízení) v rámci Systému sdružených nákupů, tj.
                         </t>
        </r>
        <r>
          <rPr>
            <b/>
            <sz val="11"/>
            <color indexed="81"/>
            <rFont val="Arial"/>
            <family val="2"/>
            <charset val="238"/>
          </rPr>
          <t>1 miliarda korun</t>
        </r>
      </text>
    </comment>
    <comment ref="L4" authorId="0">
      <text>
        <r>
          <rPr>
            <sz val="10"/>
            <color indexed="81"/>
            <rFont val="Arial"/>
            <family val="2"/>
            <charset val="238"/>
          </rPr>
          <t xml:space="preserve">… a dosáhnout tak minimálně </t>
        </r>
        <r>
          <rPr>
            <b/>
            <sz val="10"/>
            <color indexed="81"/>
            <rFont val="Arial"/>
            <family val="2"/>
            <charset val="238"/>
          </rPr>
          <t>10% úspory</t>
        </r>
        <r>
          <rPr>
            <sz val="10"/>
            <color indexed="81"/>
            <rFont val="Arial"/>
            <family val="2"/>
            <charset val="238"/>
          </rPr>
          <t xml:space="preserve">, tj.
                  </t>
        </r>
        <r>
          <rPr>
            <b/>
            <sz val="11"/>
            <color indexed="81"/>
            <rFont val="Arial"/>
            <family val="2"/>
            <charset val="238"/>
          </rPr>
          <t>100 miliónů korun</t>
        </r>
      </text>
    </comment>
  </commentList>
</comments>
</file>

<file path=xl/comments6.xml><?xml version="1.0" encoding="utf-8"?>
<comments xmlns="http://schemas.openxmlformats.org/spreadsheetml/2006/main">
  <authors>
    <author>Jiri Miksovic</author>
  </authors>
  <commentList>
    <comment ref="Y11" authorId="0">
      <text>
        <r>
          <rPr>
            <b/>
            <sz val="9"/>
            <color indexed="81"/>
            <rFont val="Tahoma"/>
            <family val="2"/>
            <charset val="238"/>
          </rPr>
          <t>výpočet</t>
        </r>
      </text>
    </comment>
  </commentList>
</comments>
</file>

<file path=xl/sharedStrings.xml><?xml version="1.0" encoding="utf-8"?>
<sst xmlns="http://schemas.openxmlformats.org/spreadsheetml/2006/main" count="2342" uniqueCount="606">
  <si>
    <t>Magistrát města Ostrava</t>
  </si>
  <si>
    <t>Obchodní organizace SMO</t>
  </si>
  <si>
    <t>Příspěvkové organizace SMO</t>
  </si>
  <si>
    <t>Statutární město Ostrava</t>
  </si>
  <si>
    <t>Příspěvkové organizace MO</t>
  </si>
  <si>
    <t>Kancelář primátora</t>
  </si>
  <si>
    <t>Městské obvody</t>
  </si>
  <si>
    <t>Mariánské Hory a Hulváky</t>
  </si>
  <si>
    <t>Moravská Ostrava a Přívoz</t>
  </si>
  <si>
    <t>Ostrava Jih</t>
  </si>
  <si>
    <t>Poruba</t>
  </si>
  <si>
    <t>Radvanice a Bartovice</t>
  </si>
  <si>
    <t>Slezská Ostrava</t>
  </si>
  <si>
    <t>Id</t>
  </si>
  <si>
    <t>A</t>
  </si>
  <si>
    <t>#</t>
  </si>
  <si>
    <t>Celkem</t>
  </si>
  <si>
    <t>Aktuální pozice</t>
  </si>
  <si>
    <t>Maximální pozice</t>
  </si>
  <si>
    <t>Třídit dle</t>
  </si>
  <si>
    <t>Sort KPI</t>
  </si>
  <si>
    <t>Unique</t>
  </si>
  <si>
    <t>Sorted</t>
  </si>
  <si>
    <t>Position</t>
  </si>
  <si>
    <t>Black</t>
  </si>
  <si>
    <t>Red</t>
  </si>
  <si>
    <t>Min</t>
  </si>
  <si>
    <t>Max</t>
  </si>
  <si>
    <t>Nazev</t>
  </si>
  <si>
    <t>Referenční zadavatelé</t>
  </si>
  <si>
    <t>Úspora</t>
  </si>
  <si>
    <t>vyber1</t>
  </si>
  <si>
    <t>všechny obvody</t>
  </si>
  <si>
    <t>Hošťálkovice</t>
  </si>
  <si>
    <t>Hrabová</t>
  </si>
  <si>
    <t>Krásné Pole</t>
  </si>
  <si>
    <t>Lhotka</t>
  </si>
  <si>
    <t>Martinov</t>
  </si>
  <si>
    <t>Michálkovice</t>
  </si>
  <si>
    <t>Nová Bělá</t>
  </si>
  <si>
    <t>Nová Ves</t>
  </si>
  <si>
    <t>Petřkovice</t>
  </si>
  <si>
    <t>Plesná</t>
  </si>
  <si>
    <t>Polanka</t>
  </si>
  <si>
    <t>Proskovice</t>
  </si>
  <si>
    <t>Pustkovec</t>
  </si>
  <si>
    <t>Stará Bělá</t>
  </si>
  <si>
    <t>Svinov</t>
  </si>
  <si>
    <t>Třebovice</t>
  </si>
  <si>
    <t>Vítkovice</t>
  </si>
  <si>
    <t>Městské_obvody</t>
  </si>
  <si>
    <t>všechny organizace</t>
  </si>
  <si>
    <t>Významní_zadavatelé</t>
  </si>
  <si>
    <t>TOP 23 zadavatelů</t>
  </si>
  <si>
    <t>Příspěvkové organizace ÚMObů</t>
  </si>
  <si>
    <t>Magistrát a ÚMOby</t>
  </si>
  <si>
    <t>SYSTÉM SDRUŽENÝCH NÁKUPŮ - STATUTÁRNÍ MĚSTO OSTRAVA</t>
  </si>
  <si>
    <t>Počet aukci</t>
  </si>
  <si>
    <t>Počet polozek NP</t>
  </si>
  <si>
    <t xml:space="preserve"> Dosažená úspora </t>
  </si>
  <si>
    <t>ON-LINE CONTROLLINGOVÉ VÝKAZY  NA NÁKUPNÍM PORTÁLU MĚSTA OSTRAVA</t>
  </si>
  <si>
    <t>SL1</t>
  </si>
  <si>
    <t>SL2</t>
  </si>
  <si>
    <t>SL3</t>
  </si>
  <si>
    <t>SL4</t>
  </si>
  <si>
    <t>SL5</t>
  </si>
  <si>
    <t>SL6</t>
  </si>
  <si>
    <t>ON-LINE CONTROLLINGOVÉ VÝKAZY  NA KOMUNIKAČNÍM PORTÁLU MĚSTA OSTRAVA</t>
  </si>
  <si>
    <t>&lt;&lt;&lt;</t>
  </si>
  <si>
    <t>&gt;&gt;&gt;</t>
  </si>
  <si>
    <t>Prumer</t>
  </si>
  <si>
    <t>Soucet</t>
  </si>
  <si>
    <t>% Plnění</t>
  </si>
  <si>
    <t>Evidence plan</t>
  </si>
  <si>
    <t>Evidence skutecnost</t>
  </si>
  <si>
    <t>Zarazeni skut</t>
  </si>
  <si>
    <t>SL7</t>
  </si>
  <si>
    <t>SL8</t>
  </si>
  <si>
    <t>SL9</t>
  </si>
  <si>
    <t>v</t>
  </si>
  <si>
    <t>u</t>
  </si>
  <si>
    <t>Jiné_výběry</t>
  </si>
  <si>
    <t>Evidence nákupů</t>
  </si>
  <si>
    <t>Skutečnost
[ Kč ]</t>
  </si>
  <si>
    <t>Plnění evidence
[ % ]</t>
  </si>
  <si>
    <t>UMOb01</t>
  </si>
  <si>
    <t>UMOb02</t>
  </si>
  <si>
    <t>UMOb03</t>
  </si>
  <si>
    <t>UMOb04</t>
  </si>
  <si>
    <t>UMOb05</t>
  </si>
  <si>
    <t>UMOb06</t>
  </si>
  <si>
    <t>UMOb07</t>
  </si>
  <si>
    <t>UMOb08</t>
  </si>
  <si>
    <t>UMOb09</t>
  </si>
  <si>
    <t>UMOb10</t>
  </si>
  <si>
    <t>UMOb11</t>
  </si>
  <si>
    <t>UMOb12</t>
  </si>
  <si>
    <t>UMOb13</t>
  </si>
  <si>
    <t>UMOb14</t>
  </si>
  <si>
    <t>UMOb15</t>
  </si>
  <si>
    <t>UMOb16</t>
  </si>
  <si>
    <t>UMOb17</t>
  </si>
  <si>
    <t>UMOb18</t>
  </si>
  <si>
    <t>UMOb19</t>
  </si>
  <si>
    <t>UMOb20</t>
  </si>
  <si>
    <t>UMOb21</t>
  </si>
  <si>
    <t>UMOb22</t>
  </si>
  <si>
    <t>UMOb23</t>
  </si>
  <si>
    <t>MMO</t>
  </si>
  <si>
    <t xml:space="preserve">     Ostatní PO</t>
  </si>
  <si>
    <t xml:space="preserve">     Základní a mateřské školy</t>
  </si>
  <si>
    <t xml:space="preserve">     Mateřské školy</t>
  </si>
  <si>
    <t xml:space="preserve">     Základní školy</t>
  </si>
  <si>
    <t>N</t>
  </si>
  <si>
    <t>radek</t>
  </si>
  <si>
    <t>popis</t>
  </si>
  <si>
    <t>ucet</t>
  </si>
  <si>
    <t>evidp</t>
  </si>
  <si>
    <t>evids</t>
  </si>
  <si>
    <t>npp</t>
  </si>
  <si>
    <t>nps</t>
  </si>
  <si>
    <t>uspp</t>
  </si>
  <si>
    <t>usps</t>
  </si>
  <si>
    <t>Elektřina</t>
  </si>
  <si>
    <t>Plyn</t>
  </si>
  <si>
    <t>Telekomunikace</t>
  </si>
  <si>
    <t>Pojištění</t>
  </si>
  <si>
    <t>MTZ</t>
  </si>
  <si>
    <t>Potraviny</t>
  </si>
  <si>
    <t>Léčiva</t>
  </si>
  <si>
    <t>ZM</t>
  </si>
  <si>
    <t>Ostatní (PHM)</t>
  </si>
  <si>
    <t>Služby</t>
  </si>
  <si>
    <t>KS1-ost</t>
  </si>
  <si>
    <t>KS2-ost</t>
  </si>
  <si>
    <t>0305</t>
  </si>
  <si>
    <t/>
  </si>
  <si>
    <t>ZŠ a MŠ MO a Přívoz, Ostrčilova</t>
  </si>
  <si>
    <t>ZŠ a MŠ O-Bělský Les</t>
  </si>
  <si>
    <t>ZŠ a MŠ O-Hrabůvka, A.Kučery</t>
  </si>
  <si>
    <t>ZŠ MO a Přívoz, Matiční</t>
  </si>
  <si>
    <t>Křesťanská MŠ Ostrava-Mariánské Hory</t>
  </si>
  <si>
    <t>Městská policie</t>
  </si>
  <si>
    <t>MŠ Blahoslavova</t>
  </si>
  <si>
    <t>MŠ Bohumínská</t>
  </si>
  <si>
    <t>MŠ Čs.exilu</t>
  </si>
  <si>
    <t>MŠ Čtyřlístek, O-Poruba</t>
  </si>
  <si>
    <t>MŠ Dvořákova</t>
  </si>
  <si>
    <t>MŠ Gen.Janka</t>
  </si>
  <si>
    <t>MŠ Harmonie, O-Hrabůvka</t>
  </si>
  <si>
    <t>MŠ Heřmanice</t>
  </si>
  <si>
    <t>MŠ Hornická</t>
  </si>
  <si>
    <t>MŠ Klubíčko, O-Hrabová</t>
  </si>
  <si>
    <t>MŠ Komerční</t>
  </si>
  <si>
    <t>MŠ Křižíkova</t>
  </si>
  <si>
    <t>MŠ Lechowiczova</t>
  </si>
  <si>
    <t>MŠ Martinovská</t>
  </si>
  <si>
    <t>MŠ Na Jízdárně</t>
  </si>
  <si>
    <t>MŠ O-Bartovice</t>
  </si>
  <si>
    <t>MŠ O-Dubina, A.Gavlase</t>
  </si>
  <si>
    <t>MŠ O-Dubina, F.Formana</t>
  </si>
  <si>
    <t>MŠ O-Hrabůvka, Adamusova</t>
  </si>
  <si>
    <t>MŠ O-Hulváky, Matrosova</t>
  </si>
  <si>
    <t>MŠ O-Nová Bělá</t>
  </si>
  <si>
    <t>MŠ O-Petřkovice</t>
  </si>
  <si>
    <t>MŠ O-Plesná</t>
  </si>
  <si>
    <t>MŠ O-Poruba, Dětská</t>
  </si>
  <si>
    <t>MŠ O-Poruba, Dvorní</t>
  </si>
  <si>
    <t>MŠ O-Poruba, J.Šoupala</t>
  </si>
  <si>
    <t>MŠ O-Poruba, Nezvalovo nám.</t>
  </si>
  <si>
    <t>MŠ O-Poruba, Oty Synka</t>
  </si>
  <si>
    <t>MŠ O-Poruba, Sokolovská</t>
  </si>
  <si>
    <t>MŠ O-Poruba, Ukrajinská</t>
  </si>
  <si>
    <t>MŠ O-Poruba, V.Makovského</t>
  </si>
  <si>
    <t>MŠ O-Radvanice</t>
  </si>
  <si>
    <t>MŠ O-Stará Bělá</t>
  </si>
  <si>
    <t>MŠ O-Vítkovice</t>
  </si>
  <si>
    <t>MŠ Poděbradova</t>
  </si>
  <si>
    <t>MŠ Polanka</t>
  </si>
  <si>
    <t>MŠ Repinova</t>
  </si>
  <si>
    <t>MŠ Sládečkova</t>
  </si>
  <si>
    <t>MŠ Staňkova</t>
  </si>
  <si>
    <t>MŠ Šafaříkova</t>
  </si>
  <si>
    <t>MŠ Špálova</t>
  </si>
  <si>
    <t>MŠ Varenská</t>
  </si>
  <si>
    <t>MŠ Volgogradská</t>
  </si>
  <si>
    <t>MŠ Za Školou</t>
  </si>
  <si>
    <t>MŠ Zelená</t>
  </si>
  <si>
    <t>Technický dvůr O-Svinov</t>
  </si>
  <si>
    <t>ZŠ a MŠ O-Dubina, V.Košaře</t>
  </si>
  <si>
    <t>ZŠ a MŠ O-Hošťálkovice</t>
  </si>
  <si>
    <t>ZŠ a MŠ O-Hrabůvka, Klegova 29</t>
  </si>
  <si>
    <t>ZŠ a MŠ O-Hrabůvka, Krestova</t>
  </si>
  <si>
    <t>ZŠ a MŠ O-Hrabůvka, Mitušova 16</t>
  </si>
  <si>
    <t>ZŠ a MŠ O-Krásné Pole</t>
  </si>
  <si>
    <t>ZŠ a MŠ O-Lhotka</t>
  </si>
  <si>
    <t>ZŠ a MŠ O-Proskovice</t>
  </si>
  <si>
    <t>ZŠ a MŠ O-Svinov</t>
  </si>
  <si>
    <t>ZŠ a MŠ O-Výškovice, Šeříková</t>
  </si>
  <si>
    <t>ZŠ a MŠ O-Zábřeh, Březinova</t>
  </si>
  <si>
    <t>ZŠ a MŠ O-Zábřeh, Horymírova</t>
  </si>
  <si>
    <t>ZŠ a MŠ O-Zábřeh, Kosmonautů 13</t>
  </si>
  <si>
    <t>ZŠ a MŠ O-Zábřeh, Kosmonautů 15</t>
  </si>
  <si>
    <t>ZŠ a MŠ O-Zábřeh, Volgogradská</t>
  </si>
  <si>
    <t>ZŠ MO a Přívoz, Gajdošova</t>
  </si>
  <si>
    <t>ZŠ O-Dubina, F.Formana</t>
  </si>
  <si>
    <t>ZŠ O-Hrabová, Paskovská</t>
  </si>
  <si>
    <t>ZŠ O-Hrabůvka, Klegova 27</t>
  </si>
  <si>
    <t>ZŠ O-Hrabůvka, Provaznická</t>
  </si>
  <si>
    <t>ZŠ O-Mar.Hory, Gen.Janka</t>
  </si>
  <si>
    <t>ZŠ O-Michálkovice</t>
  </si>
  <si>
    <t>ZŠ O-Muglinov</t>
  </si>
  <si>
    <t>ZŠ O-Nová Bělá</t>
  </si>
  <si>
    <t>ZŠ O-Petřkovice</t>
  </si>
  <si>
    <t>ZŠ O-Polanka n/O</t>
  </si>
  <si>
    <t>ZŠ O-Poruba, A.Hrdličky</t>
  </si>
  <si>
    <t>ZŠ O-Poruba, Bulharská</t>
  </si>
  <si>
    <t>ZŠ O-Poruba, Dětská</t>
  </si>
  <si>
    <t>ZŠ O-Poruba, I.Sekaniny</t>
  </si>
  <si>
    <t>ZŠ O-Poruba, J.Šoupala</t>
  </si>
  <si>
    <t>ZŠ O-Poruba, J.Valčíka</t>
  </si>
  <si>
    <t>ZŠ O-Poruba, K.Pokorného</t>
  </si>
  <si>
    <t>ZŠ O-Poruba, Komenského</t>
  </si>
  <si>
    <t>ZŠ O-Poruba, Porubská 832</t>
  </si>
  <si>
    <t>ZŠ O-Poruba, Ukrajinská</t>
  </si>
  <si>
    <t>ZŠ O-Radvanice, Vrchlického</t>
  </si>
  <si>
    <t>ZŠ O-Stará Bělá</t>
  </si>
  <si>
    <t>ZŠ O-Vítkovice, Šalounova</t>
  </si>
  <si>
    <t>ZŠ O-Výškovice, Srbská</t>
  </si>
  <si>
    <t>ZŠ O-Zábřeh, Chrjukinova</t>
  </si>
  <si>
    <t>ZŠ O-Zábřeh, Jugoslávská</t>
  </si>
  <si>
    <t>ZŠ Ostrava, Gebauerova</t>
  </si>
  <si>
    <t>ZŠ Ostrava, Gen.Píky</t>
  </si>
  <si>
    <t>ZŠ Ostrava, Nádražní</t>
  </si>
  <si>
    <t>ZŠ Ostrava, Zelená</t>
  </si>
  <si>
    <t>ZŠ Slezská Ostrava, Bohumínská</t>
  </si>
  <si>
    <t>ZŠ Slezská Ostrava, Chrustova</t>
  </si>
  <si>
    <t>ZUŠ O-Svinov, Bílovecká</t>
  </si>
  <si>
    <t>KS 2</t>
  </si>
  <si>
    <t>KS 1</t>
  </si>
  <si>
    <t>Plán zařazení</t>
  </si>
  <si>
    <t>Seřadit dle</t>
  </si>
  <si>
    <t xml:space="preserve">
[ % ]</t>
  </si>
  <si>
    <r>
      <t xml:space="preserve">Součet / </t>
    </r>
    <r>
      <rPr>
        <b/>
        <sz val="8"/>
        <color indexed="57"/>
        <rFont val="Arial"/>
        <family val="2"/>
        <charset val="238"/>
      </rPr>
      <t>Cíl</t>
    </r>
  </si>
  <si>
    <t>Pl.zařaz.
[%]</t>
  </si>
  <si>
    <t>Evidence</t>
  </si>
  <si>
    <t>u1</t>
  </si>
  <si>
    <t>obdobi</t>
  </si>
  <si>
    <t>kumulovaně</t>
  </si>
  <si>
    <t>Rating</t>
  </si>
  <si>
    <t>Dodrzena</t>
  </si>
  <si>
    <t>váha</t>
  </si>
  <si>
    <t>Průběžné hodnocení aktuálního stavu projektu k plánovaným hodnotám</t>
  </si>
  <si>
    <t>stupnice</t>
  </si>
  <si>
    <t>D</t>
  </si>
  <si>
    <t>C</t>
  </si>
  <si>
    <t>C+</t>
  </si>
  <si>
    <t>C++</t>
  </si>
  <si>
    <t>B</t>
  </si>
  <si>
    <t>B+</t>
  </si>
  <si>
    <t>B++</t>
  </si>
  <si>
    <t>A+</t>
  </si>
  <si>
    <t>A++</t>
  </si>
  <si>
    <t>znak</t>
  </si>
  <si>
    <t>po najetí myší na buňku s červeným trojuhelníčkem 
zobrazíte bližší informace</t>
  </si>
  <si>
    <t>CÍL PROJEKTU</t>
  </si>
  <si>
    <t>Nákupy zařazené do eVŘ
a realizované za dodrženou cenu</t>
  </si>
  <si>
    <t>SKUTEČNOST</t>
  </si>
  <si>
    <t>PLÁN</t>
  </si>
  <si>
    <t>7-01-S</t>
  </si>
  <si>
    <t>7-02-S</t>
  </si>
  <si>
    <t>8-01-S</t>
  </si>
  <si>
    <t>8-02-S</t>
  </si>
  <si>
    <t>9-01-S</t>
  </si>
  <si>
    <t>1-01-S</t>
  </si>
  <si>
    <t>1-02-S</t>
  </si>
  <si>
    <t>1-03-S</t>
  </si>
  <si>
    <t>1-04-S</t>
  </si>
  <si>
    <t>1-05-S</t>
  </si>
  <si>
    <t>KS1-S</t>
  </si>
  <si>
    <t>KS2-S</t>
  </si>
  <si>
    <t>id</t>
  </si>
  <si>
    <t>nazev</t>
  </si>
  <si>
    <t>typ</t>
  </si>
  <si>
    <t>oblast</t>
  </si>
  <si>
    <t>mo</t>
  </si>
  <si>
    <t>kk</t>
  </si>
  <si>
    <t>blok</t>
  </si>
  <si>
    <t>0304</t>
  </si>
  <si>
    <t>Resort dopravy</t>
  </si>
  <si>
    <t>Magistrát města</t>
  </si>
  <si>
    <t>03</t>
  </si>
  <si>
    <t>010203</t>
  </si>
  <si>
    <t>MO-Sociální služby, sport</t>
  </si>
  <si>
    <t>MO-Školství</t>
  </si>
  <si>
    <t>MO-Technické zaměření</t>
  </si>
  <si>
    <t>platce
dph</t>
  </si>
  <si>
    <t>TOP
23</t>
  </si>
  <si>
    <t>REF
ZAD</t>
  </si>
  <si>
    <t>Zařazení
KS1</t>
  </si>
  <si>
    <t>Zařazení
KS2</t>
  </si>
  <si>
    <t>Skutečnosti s ÚSPOROU</t>
  </si>
  <si>
    <t>Zobrazit KS</t>
  </si>
  <si>
    <t>Evidence
plán</t>
  </si>
  <si>
    <t>Evidence
skutečnost</t>
  </si>
  <si>
    <t>NP
skutečnost</t>
  </si>
  <si>
    <t>Úspora
skutečnost</t>
  </si>
  <si>
    <t>Průměrná zařaditelnost</t>
  </si>
  <si>
    <t>RATING
evidence</t>
  </si>
  <si>
    <t>RATING
dodržena cena</t>
  </si>
  <si>
    <t>RATING
CELKOVÝ</t>
  </si>
  <si>
    <t>Evidence
KS1
plán</t>
  </si>
  <si>
    <t>Evidence
KS1
skutečnost</t>
  </si>
  <si>
    <t>Úspora
KS1
skutečnost</t>
  </si>
  <si>
    <t>Úspora
KS1
plán</t>
  </si>
  <si>
    <t>NP
KS1
plán</t>
  </si>
  <si>
    <t>NP
KS1
skutečnost</t>
  </si>
  <si>
    <t>Evidence
KS2
plán</t>
  </si>
  <si>
    <t>Evidence
KS2
skutečnost</t>
  </si>
  <si>
    <t>NP
KS2
plán</t>
  </si>
  <si>
    <t>NP
KS2
skutečnost</t>
  </si>
  <si>
    <t>Úspora
KS2
plán</t>
  </si>
  <si>
    <t>Úspora
KS2
skutečnost</t>
  </si>
  <si>
    <t>NP
plán</t>
  </si>
  <si>
    <t>Klikněte na okna níže a zvolte  kritéria výběru</t>
  </si>
  <si>
    <t>vyber2</t>
  </si>
  <si>
    <t>Počet měsíců</t>
  </si>
  <si>
    <t>Období</t>
  </si>
  <si>
    <t>ç</t>
  </si>
  <si>
    <t>data do "I.Souhrn SMO"</t>
  </si>
  <si>
    <t>GRAF % vývoje</t>
  </si>
  <si>
    <t>usp</t>
  </si>
  <si>
    <t>evids
%</t>
  </si>
  <si>
    <t>GRAF 2012</t>
  </si>
  <si>
    <t>plan/R2012</t>
  </si>
  <si>
    <t>plan/R2010</t>
  </si>
  <si>
    <t>plan/R2011</t>
  </si>
  <si>
    <t>plan/R2013</t>
  </si>
  <si>
    <t>2011/1Q</t>
  </si>
  <si>
    <t>2011/2Q</t>
  </si>
  <si>
    <t>2011/3Q</t>
  </si>
  <si>
    <t>2011/4Q</t>
  </si>
  <si>
    <t>2012/1Q</t>
  </si>
  <si>
    <t>2012/2Q</t>
  </si>
  <si>
    <t>2012/3Q</t>
  </si>
  <si>
    <t>Evidované nákupy
(čtvrtletní plán = 973,16 mil.Kč)</t>
  </si>
  <si>
    <t>Komoditní skupina KS I. + KS II.</t>
  </si>
  <si>
    <t>Komoditní skupina I.</t>
  </si>
  <si>
    <t>Komoditní skupina II.</t>
  </si>
  <si>
    <t>Zařazení
KS1+KS2</t>
  </si>
  <si>
    <t>28/27</t>
  </si>
  <si>
    <t>31/27</t>
  </si>
  <si>
    <t>32/31</t>
  </si>
  <si>
    <t>Zařazení
plán</t>
  </si>
  <si>
    <r>
      <t>individualni plan zarazeni</t>
    </r>
    <r>
      <rPr>
        <sz val="8"/>
        <rFont val="Calibri"/>
        <family val="2"/>
        <charset val="238"/>
      </rPr>
      <t xml:space="preserve"> (sl.24-26)</t>
    </r>
  </si>
  <si>
    <t>Plán úspor</t>
  </si>
  <si>
    <t>skutecnosti BEZ uspor</t>
  </si>
  <si>
    <t>ZNAK</t>
  </si>
  <si>
    <t>STUPNICE</t>
  </si>
  <si>
    <t>Nákupy zařazené do eVŘ a realizované za dodrženou cenu</t>
  </si>
  <si>
    <t>Rating - složený index</t>
  </si>
  <si>
    <t>VÁHA</t>
  </si>
  <si>
    <t>RATING</t>
  </si>
  <si>
    <t>data pro mesíční report</t>
  </si>
  <si>
    <t>Oblasti (resorty)</t>
  </si>
  <si>
    <t>I.</t>
  </si>
  <si>
    <t>I. - II.</t>
  </si>
  <si>
    <t>I. - III.</t>
  </si>
  <si>
    <t>I. - IV.</t>
  </si>
  <si>
    <t>I. - V.</t>
  </si>
  <si>
    <t>I. - VI.</t>
  </si>
  <si>
    <t>I. - VII.</t>
  </si>
  <si>
    <t>I. - VIII.</t>
  </si>
  <si>
    <t>I. - IX.</t>
  </si>
  <si>
    <t>I. - X.</t>
  </si>
  <si>
    <t>Resorty</t>
  </si>
  <si>
    <t>všechny resorty</t>
  </si>
  <si>
    <r>
      <t xml:space="preserve">Nákupy zařazené do eVŘ
</t>
    </r>
    <r>
      <rPr>
        <b/>
        <sz val="10"/>
        <color indexed="9"/>
        <rFont val="Arial"/>
        <family val="2"/>
        <charset val="238"/>
      </rPr>
      <t>a realizované za dodrženou cenu</t>
    </r>
  </si>
  <si>
    <t>Zarazeni plan</t>
  </si>
  <si>
    <t xml:space="preserve">Evidence : </t>
  </si>
  <si>
    <t xml:space="preserve">Dodržena cena : </t>
  </si>
  <si>
    <t>ROK 2011</t>
  </si>
  <si>
    <t>ROK 2010</t>
  </si>
  <si>
    <t>% Plnění
k evidenci</t>
  </si>
  <si>
    <t>% Plnění
k plánu</t>
  </si>
  <si>
    <t>Plnění
[%]</t>
  </si>
  <si>
    <t>Plnění plánu
[ % ]</t>
  </si>
  <si>
    <t>SL10</t>
  </si>
  <si>
    <t>31/(27*29)</t>
  </si>
  <si>
    <t>RATING
MINULÝ</t>
  </si>
  <si>
    <t>w</t>
  </si>
  <si>
    <t>Rating
aktual</t>
  </si>
  <si>
    <t>změna</t>
  </si>
  <si>
    <t>I. - XI.</t>
  </si>
  <si>
    <t>2012/4Q</t>
  </si>
  <si>
    <t>I. - XII.</t>
  </si>
  <si>
    <t>Evidence rating</t>
  </si>
  <si>
    <t>ÚMOb Hošťálkovice</t>
  </si>
  <si>
    <t>ÚMOb Hrabová</t>
  </si>
  <si>
    <t>ÚMOb Krásné Pole</t>
  </si>
  <si>
    <t>ÚMOb Lhotka</t>
  </si>
  <si>
    <t>ÚMOb Mariánské Hory a Hulváky</t>
  </si>
  <si>
    <t>ÚMOb Martinov</t>
  </si>
  <si>
    <t>ÚMOb Michálkovice</t>
  </si>
  <si>
    <t>ÚMOb Moravská Ostrava a Přívoz</t>
  </si>
  <si>
    <t>ÚMOb Nová Bělá</t>
  </si>
  <si>
    <t>ÚMOb Nová Ves</t>
  </si>
  <si>
    <t>ÚMOb Ostrava-Jih</t>
  </si>
  <si>
    <t>ÚMOb Petřkovice</t>
  </si>
  <si>
    <t>ÚMOb Plesná</t>
  </si>
  <si>
    <t>ÚMOb Polanka n/O</t>
  </si>
  <si>
    <t>ÚMOb Poruba</t>
  </si>
  <si>
    <t>ÚMOb Proskovice</t>
  </si>
  <si>
    <t>ÚMOb Pustkovec</t>
  </si>
  <si>
    <t>ÚMOb Radvanice a Bartovice</t>
  </si>
  <si>
    <t>ÚMOb Slezská Ostrava</t>
  </si>
  <si>
    <t>ÚMOb Stará Bělá</t>
  </si>
  <si>
    <t>ÚMOb Svinov</t>
  </si>
  <si>
    <t>ÚMOb Třebovice</t>
  </si>
  <si>
    <t>ÚMOb Vítkovice</t>
  </si>
  <si>
    <t>procpl</t>
  </si>
  <si>
    <t>ROK 2012</t>
  </si>
  <si>
    <t>portal2010</t>
  </si>
  <si>
    <t xml:space="preserve">Úspora : </t>
  </si>
  <si>
    <r>
      <t>skutečnost</t>
    </r>
    <r>
      <rPr>
        <i/>
        <sz val="11"/>
        <color indexed="63"/>
        <rFont val="Arial"/>
        <family val="2"/>
        <charset val="238"/>
      </rPr>
      <t xml:space="preserve"> Evidence nákupů</t>
    </r>
    <r>
      <rPr>
        <sz val="11"/>
        <color indexed="63"/>
        <rFont val="Arial"/>
        <family val="2"/>
        <charset val="238"/>
      </rPr>
      <t xml:space="preserve"> a skutečnost </t>
    </r>
    <r>
      <rPr>
        <i/>
        <sz val="11"/>
        <color indexed="63"/>
        <rFont val="Arial"/>
        <family val="2"/>
        <charset val="238"/>
      </rPr>
      <t>Nákupy zařazené do eVŘ a realizované za dodrženou cenu</t>
    </r>
    <r>
      <rPr>
        <sz val="11"/>
        <color indexed="63"/>
        <rFont val="Arial"/>
        <family val="2"/>
        <charset val="238"/>
      </rPr>
      <t xml:space="preserve"> k plánu se sčítají a vyhodnocují dle váhy, která je přiřazena Evidenci nákupů a Nákupy zařazené (40:60) - max.hodnota je 100</t>
    </r>
  </si>
  <si>
    <t>2013/1Q</t>
  </si>
  <si>
    <t>Nákupy zařazené do eVŘ a realizované za dodrženou cenu
(čtvrtletní plán = 249,64 mil.Kč)</t>
  </si>
  <si>
    <t>Úspora
(čtvrtletní plán = 24,96 mil.Kč)</t>
  </si>
  <si>
    <t>2013/2Q</t>
  </si>
  <si>
    <t>2012</t>
  </si>
  <si>
    <t>Waldorfská ZŠ a MŠ MO a Přívoz</t>
  </si>
  <si>
    <t>2013/3Q</t>
  </si>
  <si>
    <t>ZŠ gen.Z.Škarvady, O-Poruba</t>
  </si>
  <si>
    <t>úpravy zařaditelnosti</t>
  </si>
  <si>
    <t>2013/4Q</t>
  </si>
  <si>
    <t>ROK 2013</t>
  </si>
  <si>
    <t>2013</t>
  </si>
  <si>
    <t>2014/1Q</t>
  </si>
  <si>
    <t>MŠ U Dvoru</t>
  </si>
  <si>
    <t>% zařazení - nove (květen 2014)</t>
  </si>
  <si>
    <t>2014/2Q</t>
  </si>
  <si>
    <t>2014/3Q</t>
  </si>
  <si>
    <t>2014/4Q</t>
  </si>
  <si>
    <t>ZŠ a waldorfská ZŠ O-Poruba</t>
  </si>
  <si>
    <t>Resort ŽP a IT</t>
  </si>
  <si>
    <t>Sloupec1</t>
  </si>
  <si>
    <t>Sloupec2</t>
  </si>
  <si>
    <t>2014</t>
  </si>
  <si>
    <t>ROK 2014</t>
  </si>
  <si>
    <t>2015/1Q</t>
  </si>
  <si>
    <t>plan/R2014</t>
  </si>
  <si>
    <t>plan/R2015</t>
  </si>
  <si>
    <r>
      <t xml:space="preserve">Objem nákupů města                                  </t>
    </r>
    <r>
      <rPr>
        <b/>
        <sz val="14"/>
        <color rgb="FF00ADD0"/>
        <rFont val="Arial"/>
        <family val="2"/>
        <charset val="238"/>
      </rPr>
      <t>4 000 mil. Kč / rok</t>
    </r>
  </si>
  <si>
    <r>
      <t>Zařazení do e-VŘ</t>
    </r>
    <r>
      <rPr>
        <b/>
        <sz val="9"/>
        <color rgb="FF00ADD0"/>
        <rFont val="Arial"/>
        <family val="2"/>
        <charset val="238"/>
      </rPr>
      <t xml:space="preserve"> </t>
    </r>
    <r>
      <rPr>
        <sz val="9"/>
        <color rgb="FF00ADD0"/>
        <rFont val="Arial"/>
        <family val="2"/>
        <charset val="238"/>
      </rPr>
      <t xml:space="preserve"> (el.výběrová řízení)  </t>
    </r>
    <r>
      <rPr>
        <b/>
        <sz val="11"/>
        <color rgb="FF00ADD0"/>
        <rFont val="Arial"/>
        <family val="2"/>
        <charset val="238"/>
      </rPr>
      <t xml:space="preserve">25,6%         </t>
    </r>
    <r>
      <rPr>
        <b/>
        <sz val="14"/>
        <color rgb="FF00ADD0"/>
        <rFont val="Arial"/>
        <family val="2"/>
        <charset val="238"/>
      </rPr>
      <t>1 000 mil. Kč / rok</t>
    </r>
  </si>
  <si>
    <r>
      <t xml:space="preserve">Předpoklad úspory    10%                         </t>
    </r>
    <r>
      <rPr>
        <b/>
        <sz val="14"/>
        <color rgb="FF00ADD0"/>
        <rFont val="Arial"/>
        <family val="2"/>
        <charset val="238"/>
      </rPr>
      <t>100 mil. Kč / rok</t>
    </r>
  </si>
  <si>
    <t>AKTUÁLNÍ STAV PROJEKTU SSN</t>
  </si>
  <si>
    <r>
      <t xml:space="preserve">Předpoklad úspory  10%                         </t>
    </r>
    <r>
      <rPr>
        <b/>
        <sz val="14"/>
        <color rgb="FF00ADD0"/>
        <rFont val="Arial"/>
        <family val="2"/>
        <charset val="238"/>
      </rPr>
      <t>100 mil. Kč / rok</t>
    </r>
  </si>
  <si>
    <r>
      <t xml:space="preserve">██ </t>
    </r>
    <r>
      <rPr>
        <b/>
        <i/>
        <sz val="8"/>
        <color theme="0"/>
        <rFont val="Arial"/>
        <family val="2"/>
        <charset val="238"/>
      </rPr>
      <t>nesplněný cíl</t>
    </r>
  </si>
  <si>
    <r>
      <t xml:space="preserve">██ </t>
    </r>
    <r>
      <rPr>
        <b/>
        <i/>
        <sz val="8"/>
        <color theme="0"/>
        <rFont val="Arial"/>
        <family val="2"/>
        <charset val="238"/>
      </rPr>
      <t>splněný cíl</t>
    </r>
  </si>
  <si>
    <t>)</t>
  </si>
  <si>
    <t>(</t>
  </si>
  <si>
    <t>Městské obvody včetně PO</t>
  </si>
  <si>
    <t xml:space="preserve"> </t>
  </si>
  <si>
    <t>MMO + OS + PO</t>
  </si>
  <si>
    <t>STATUTÁRNÍ MĚSTO OSTRAVA</t>
  </si>
  <si>
    <t>MINULÉ OBDOBÍ</t>
  </si>
  <si>
    <t>ZMĚNA</t>
  </si>
  <si>
    <t>100 mil. Kč / rok</t>
  </si>
  <si>
    <t>Nákup za dodržené ceny a dosažení tak ÚSPORY</t>
  </si>
  <si>
    <t>1 000 mil. Kč / rok</t>
  </si>
  <si>
    <t xml:space="preserve">26 % nákupů zařadit do elektronického výběrového řízení (e-VŘ)                                                                                         </t>
  </si>
  <si>
    <t>4 000 mil. Kč / rok</t>
  </si>
  <si>
    <t xml:space="preserve">Evidence nákupů přes NÁKUPNÍ PORTÁL MĚSTA OSTRAVA !!!                                                                           </t>
  </si>
  <si>
    <r>
      <t xml:space="preserve">Cíl projektu -  </t>
    </r>
    <r>
      <rPr>
        <b/>
        <sz val="11"/>
        <color theme="0"/>
        <rFont val="Calibri"/>
        <family val="2"/>
        <charset val="238"/>
      </rPr>
      <t>Ø</t>
    </r>
    <r>
      <rPr>
        <b/>
        <sz val="11"/>
        <color theme="0"/>
        <rFont val="Arial"/>
        <family val="2"/>
        <charset val="238"/>
      </rPr>
      <t xml:space="preserve"> roční úspora 100 milionů korun</t>
    </r>
  </si>
  <si>
    <t>MĚSÍČNÍ REPORT SYSTÉMU SDRUŽENÝCH NÁKUPŮ PRO SMO</t>
  </si>
  <si>
    <t>res06</t>
  </si>
  <si>
    <t>Školství MO</t>
  </si>
  <si>
    <t>res03</t>
  </si>
  <si>
    <t>Sociální služby, sport MO</t>
  </si>
  <si>
    <t>res02</t>
  </si>
  <si>
    <t>Technické zaměření MO</t>
  </si>
  <si>
    <t>res14</t>
  </si>
  <si>
    <t>Resort životního prostředí</t>
  </si>
  <si>
    <t>res07</t>
  </si>
  <si>
    <t>Resort soc.věcí,školství,sportu a vlč aktivit</t>
  </si>
  <si>
    <t>res13</t>
  </si>
  <si>
    <t>res11</t>
  </si>
  <si>
    <t>res05</t>
  </si>
  <si>
    <t>res12</t>
  </si>
  <si>
    <t>*</t>
  </si>
  <si>
    <t>res10</t>
  </si>
  <si>
    <t>res16</t>
  </si>
  <si>
    <t>res01</t>
  </si>
  <si>
    <t>NPS</t>
  </si>
  <si>
    <t>NPP</t>
  </si>
  <si>
    <t>EvidS</t>
  </si>
  <si>
    <t>EvidP</t>
  </si>
  <si>
    <t>Ucet</t>
  </si>
  <si>
    <t>MO24</t>
  </si>
  <si>
    <t>MO23</t>
  </si>
  <si>
    <t>MO22</t>
  </si>
  <si>
    <t>MO21</t>
  </si>
  <si>
    <t>MO20</t>
  </si>
  <si>
    <t>MO19</t>
  </si>
  <si>
    <t>MO18</t>
  </si>
  <si>
    <t>MO17</t>
  </si>
  <si>
    <t>MO16</t>
  </si>
  <si>
    <t>MO15</t>
  </si>
  <si>
    <t>MO14</t>
  </si>
  <si>
    <t>MO13</t>
  </si>
  <si>
    <t>MO12</t>
  </si>
  <si>
    <t>MO11</t>
  </si>
  <si>
    <t>MO10</t>
  </si>
  <si>
    <t>MO09</t>
  </si>
  <si>
    <t>MO08</t>
  </si>
  <si>
    <t>MO07</t>
  </si>
  <si>
    <t>MO06</t>
  </si>
  <si>
    <t>MO05</t>
  </si>
  <si>
    <t>MO04</t>
  </si>
  <si>
    <t>MO03</t>
  </si>
  <si>
    <t>MO02</t>
  </si>
  <si>
    <t>MO01</t>
  </si>
  <si>
    <t>R1</t>
  </si>
  <si>
    <t>NP</t>
  </si>
  <si>
    <t>EV</t>
  </si>
  <si>
    <t>MO</t>
  </si>
  <si>
    <t>POHYB</t>
  </si>
  <si>
    <t>RATING 2</t>
  </si>
  <si>
    <t>RATING 1</t>
  </si>
  <si>
    <t xml:space="preserve">ŠETŘÍME </t>
  </si>
  <si>
    <t xml:space="preserve">ELEKTRONICKÝMI </t>
  </si>
  <si>
    <t>AUKCEMI</t>
  </si>
  <si>
    <t xml:space="preserve">SYSTÉM </t>
  </si>
  <si>
    <t xml:space="preserve">SDRUŽENÉHO </t>
  </si>
  <si>
    <t>NÁKUPU</t>
  </si>
  <si>
    <t>Město Ostrava se stalo příkladem pro další města a subjekty
státní správy.</t>
  </si>
  <si>
    <t xml:space="preserve">STATUTÁRNÍ MĚSTO OSTRAVA </t>
  </si>
  <si>
    <r>
      <t xml:space="preserve">Objem nákupů města                                       </t>
    </r>
    <r>
      <rPr>
        <b/>
        <sz val="14"/>
        <color rgb="FF00ADD0"/>
        <rFont val="Arial"/>
        <family val="2"/>
        <charset val="238"/>
      </rPr>
      <t>4 000 mil. Kč / rok</t>
    </r>
  </si>
  <si>
    <r>
      <t xml:space="preserve">Objem nákupů města                                           </t>
    </r>
    <r>
      <rPr>
        <b/>
        <sz val="14"/>
        <color rgb="FF00ADD0"/>
        <rFont val="Arial"/>
        <family val="2"/>
        <charset val="238"/>
      </rPr>
      <t>4 000 mil. Kč / rok</t>
    </r>
  </si>
  <si>
    <t>Průhledné veřejné zakázky a sdružení  poptávky při využití elektronických aukcí. To jsou hlavní přednosti Systému sdruženého nákupu, který město Ostrava zavedlo v roce 2010.
Od jeho zavedení se tak podařilo uspořit z veřejných prostředků</t>
  </si>
  <si>
    <t>2015/2Q</t>
  </si>
  <si>
    <t>2015/3Q</t>
  </si>
  <si>
    <t>2015/4Q</t>
  </si>
  <si>
    <t>Domov Slunečnice</t>
  </si>
  <si>
    <t>Městská nemocnice Ostrava</t>
  </si>
  <si>
    <t>Národní divadlo Moravskoslezské</t>
  </si>
  <si>
    <t>Centrum kultury a vzdělávání Moravská Ostrava</t>
  </si>
  <si>
    <t>Čtyřlístek</t>
  </si>
  <si>
    <t>Dětské centrum Domeček</t>
  </si>
  <si>
    <t>Divadlo loutek Ostrava</t>
  </si>
  <si>
    <t>Domov Čujkovova</t>
  </si>
  <si>
    <t>Domov Korýtko</t>
  </si>
  <si>
    <t>Domov Magnolie</t>
  </si>
  <si>
    <t>Komorní scéna Aréna</t>
  </si>
  <si>
    <t>ZOO Ostrava</t>
  </si>
  <si>
    <t>Centrum sociálních služeb Poruba</t>
  </si>
  <si>
    <t>Domov Sluníčko</t>
  </si>
  <si>
    <t>Domov Slunovrat</t>
  </si>
  <si>
    <t>DPS Iris</t>
  </si>
  <si>
    <t>DPS Kamenec</t>
  </si>
  <si>
    <t>Dům dětí a mládeže Poruba</t>
  </si>
  <si>
    <t>Janáčkova filharmonie Ostrava</t>
  </si>
  <si>
    <t>Knihovna města Ostravy</t>
  </si>
  <si>
    <t>Kulturní zařízení Ostrava-Jih</t>
  </si>
  <si>
    <t>Lidová konzervatoř</t>
  </si>
  <si>
    <t>Technické služby O-Jih</t>
  </si>
  <si>
    <t>Ostravské muzeum</t>
  </si>
  <si>
    <t>Středisko volného času Korunka</t>
  </si>
  <si>
    <t>Středisko volného času O-Zábřeh</t>
  </si>
  <si>
    <t>Středisko volného času Ostrava</t>
  </si>
  <si>
    <t>Technické služby Moravská Ostrava a Přívoz</t>
  </si>
  <si>
    <t>► plán 2015</t>
  </si>
  <si>
    <t>% zaraditelnosti - OMÚaSN 2015</t>
  </si>
  <si>
    <t>ROK 2015</t>
  </si>
  <si>
    <t>2015</t>
  </si>
  <si>
    <t>Resort soc.věcí a zdravotnictví</t>
  </si>
  <si>
    <t>Dopravní podnik Ostrava</t>
  </si>
  <si>
    <t>Resort kultury a VLČ</t>
  </si>
  <si>
    <t>OZO Ostrava</t>
  </si>
  <si>
    <t>Dům kultury Akord</t>
  </si>
  <si>
    <t>Ostravské komunikace</t>
  </si>
  <si>
    <t>SAREZA</t>
  </si>
  <si>
    <t>Resort školství a sportu</t>
  </si>
  <si>
    <t>VÍTKOVICE ARÉNA</t>
  </si>
  <si>
    <t>DK POKLAD</t>
  </si>
  <si>
    <t>Dům kultury Ostrava</t>
  </si>
  <si>
    <t>Dům seniorů v Krásném Poli</t>
  </si>
  <si>
    <t>Firemní školka města Ostravy</t>
  </si>
  <si>
    <t>Krematorium Ostrava</t>
  </si>
  <si>
    <t>MŠ Zámostní</t>
  </si>
  <si>
    <t>Ostravské městské lesy</t>
  </si>
  <si>
    <t>Ostravské výstavy, a.s.</t>
  </si>
  <si>
    <t>Ostravský informační servis</t>
  </si>
  <si>
    <t>Technické služby Slezská Ostrava</t>
  </si>
  <si>
    <r>
      <t>plan - plán 2016</t>
    </r>
    <r>
      <rPr>
        <b/>
        <sz val="8"/>
        <color indexed="56"/>
        <rFont val="Calibri"/>
        <family val="2"/>
        <charset val="238"/>
      </rPr>
      <t>, NP plan vypocitan procentem</t>
    </r>
  </si>
  <si>
    <t>2016/1Q</t>
  </si>
  <si>
    <r>
      <t>Předpokládaný
objem nákupů</t>
    </r>
    <r>
      <rPr>
        <sz val="8"/>
        <color rgb="FF00ADD0"/>
        <rFont val="Arial"/>
        <family val="2"/>
        <charset val="238"/>
      </rPr>
      <t xml:space="preserve">
plán</t>
    </r>
    <r>
      <rPr>
        <b/>
        <sz val="8"/>
        <color rgb="FF00ADD0"/>
        <rFont val="Arial"/>
        <family val="2"/>
        <charset val="238"/>
      </rPr>
      <t xml:space="preserve"> r.2016</t>
    </r>
    <r>
      <rPr>
        <sz val="8"/>
        <color rgb="FF00ADD0"/>
        <rFont val="Arial"/>
        <family val="2"/>
        <charset val="238"/>
      </rPr>
      <t xml:space="preserve">
[ Kč ]</t>
    </r>
  </si>
  <si>
    <t>2016/2Q</t>
  </si>
  <si>
    <t>OVANET a.s.</t>
  </si>
  <si>
    <t>S R P E N</t>
  </si>
  <si>
    <t>aktualizace 14.9.2016</t>
  </si>
  <si>
    <t>LEDEN-ZÁŘÍ 2016</t>
  </si>
  <si>
    <r>
      <t xml:space="preserve">LEDEN-ZÁŘÍ 2016
</t>
    </r>
    <r>
      <rPr>
        <sz val="11"/>
        <color indexed="9"/>
        <rFont val="Arial"/>
        <family val="2"/>
        <charset val="238"/>
      </rPr>
      <t>( aktuální stav r.2016 )</t>
    </r>
  </si>
  <si>
    <t>CELKEM                        2010-2016 (září)</t>
  </si>
  <si>
    <t>Z Á Ř Í</t>
  </si>
  <si>
    <t>2016/3Q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</si>
</sst>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K_č_-;\-* #,##0.00\ _K_č_-;_-* &quot;-&quot;??\ _K_č_-;_-@_-"/>
    <numFmt numFmtId="164" formatCode="#,##0_ ;[Red]\-#,##0\ "/>
    <numFmt numFmtId="165" formatCode="#,##0.00,,&quot; mil. Kč&quot;"/>
    <numFmt numFmtId="166" formatCode="0.0"/>
    <numFmt numFmtId="167" formatCode="#,##0.0_ ;[Red]\-#,##0.0\ "/>
    <numFmt numFmtId="168" formatCode="#,##0.00_ ;[Red]\-#,##0.00\ "/>
    <numFmt numFmtId="169" formatCode="0_ ;[Red]\-0\ "/>
    <numFmt numFmtId="170" formatCode="0.0_ ;[Red]\-0.0\ "/>
  </numFmts>
  <fonts count="159" x14ac:knownFonts="1">
    <font>
      <sz val="8"/>
      <color indexed="8"/>
      <name val="Calibri"/>
      <family val="2"/>
      <charset val="238"/>
    </font>
    <font>
      <sz val="8"/>
      <color theme="1"/>
      <name val="Arial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name val="Calibri"/>
      <family val="2"/>
      <charset val="238"/>
    </font>
    <font>
      <sz val="8"/>
      <color indexed="9"/>
      <name val="Calibri"/>
      <family val="2"/>
      <charset val="238"/>
    </font>
    <font>
      <sz val="8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2"/>
      <name val="Calibri"/>
      <family val="2"/>
      <charset val="238"/>
    </font>
    <font>
      <sz val="8"/>
      <name val="Calibri"/>
      <family val="2"/>
      <charset val="238"/>
    </font>
    <font>
      <sz val="10"/>
      <name val="MS Sans Serif"/>
      <family val="2"/>
      <charset val="238"/>
    </font>
    <font>
      <b/>
      <sz val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12"/>
      <name val="Calibri"/>
      <family val="2"/>
      <charset val="238"/>
    </font>
    <font>
      <u/>
      <sz val="8"/>
      <color indexed="12"/>
      <name val="Calibri"/>
      <family val="2"/>
      <charset val="238"/>
    </font>
    <font>
      <b/>
      <sz val="11"/>
      <name val="Calibri"/>
      <family val="2"/>
      <charset val="238"/>
    </font>
    <font>
      <sz val="9"/>
      <name val="Calibri"/>
      <family val="2"/>
      <charset val="238"/>
    </font>
    <font>
      <sz val="11"/>
      <name val="Calibri"/>
      <family val="2"/>
      <charset val="238"/>
    </font>
    <font>
      <sz val="18"/>
      <color indexed="9"/>
      <name val="Wingdings 2"/>
      <family val="1"/>
      <charset val="2"/>
    </font>
    <font>
      <i/>
      <sz val="9"/>
      <color indexed="81"/>
      <name val="Tahoma"/>
      <family val="2"/>
      <charset val="238"/>
    </font>
    <font>
      <b/>
      <sz val="9"/>
      <color indexed="9"/>
      <name val="Calibri"/>
      <family val="2"/>
      <charset val="238"/>
    </font>
    <font>
      <sz val="8"/>
      <color indexed="55"/>
      <name val="Calibri"/>
      <family val="2"/>
      <charset val="238"/>
    </font>
    <font>
      <sz val="8"/>
      <color indexed="23"/>
      <name val="Calibri"/>
      <family val="2"/>
      <charset val="238"/>
    </font>
    <font>
      <b/>
      <sz val="8"/>
      <color indexed="57"/>
      <name val="Calibri"/>
      <family val="2"/>
      <charset val="238"/>
    </font>
    <font>
      <i/>
      <sz val="8"/>
      <color indexed="56"/>
      <name val="Calibri"/>
      <family val="2"/>
      <charset val="238"/>
    </font>
    <font>
      <sz val="8"/>
      <name val="Calibri"/>
      <family val="2"/>
      <charset val="238"/>
    </font>
    <font>
      <sz val="8"/>
      <color indexed="57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57"/>
      <name val="Calibri"/>
      <family val="2"/>
      <charset val="238"/>
    </font>
    <font>
      <sz val="8"/>
      <color indexed="9"/>
      <name val="Calibri"/>
      <family val="2"/>
      <charset val="238"/>
    </font>
    <font>
      <sz val="8"/>
      <color indexed="9"/>
      <name val="Wingdings"/>
      <charset val="2"/>
    </font>
    <font>
      <b/>
      <i/>
      <sz val="9"/>
      <color indexed="9"/>
      <name val="Calibri"/>
      <family val="2"/>
      <charset val="238"/>
    </font>
    <font>
      <sz val="8"/>
      <name val="Calibri"/>
      <family val="2"/>
      <charset val="238"/>
    </font>
    <font>
      <b/>
      <sz val="14"/>
      <color indexed="9"/>
      <name val="Arial"/>
      <family val="2"/>
      <charset val="238"/>
    </font>
    <font>
      <sz val="12"/>
      <color indexed="9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4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color indexed="9"/>
      <name val="Arial"/>
      <family val="2"/>
      <charset val="238"/>
    </font>
    <font>
      <sz val="10"/>
      <color indexed="9"/>
      <name val="Arial"/>
      <family val="2"/>
      <charset val="238"/>
    </font>
    <font>
      <sz val="8"/>
      <color indexed="9"/>
      <name val="Arial"/>
      <family val="2"/>
      <charset val="238"/>
    </font>
    <font>
      <sz val="8"/>
      <color indexed="23"/>
      <name val="Arial"/>
      <family val="2"/>
      <charset val="238"/>
    </font>
    <font>
      <b/>
      <sz val="8"/>
      <color indexed="18"/>
      <name val="Arial"/>
      <family val="2"/>
      <charset val="238"/>
    </font>
    <font>
      <b/>
      <sz val="8"/>
      <color indexed="57"/>
      <name val="Arial"/>
      <family val="2"/>
      <charset val="238"/>
    </font>
    <font>
      <sz val="9"/>
      <color indexed="8"/>
      <name val="Arial"/>
      <family val="2"/>
      <charset val="238"/>
    </font>
    <font>
      <b/>
      <i/>
      <sz val="8"/>
      <color indexed="9"/>
      <name val="Arial"/>
      <family val="2"/>
      <charset val="238"/>
    </font>
    <font>
      <sz val="11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color indexed="9"/>
      <name val="Arial"/>
      <family val="2"/>
      <charset val="238"/>
    </font>
    <font>
      <sz val="10"/>
      <color indexed="12"/>
      <name val="Wingdings"/>
      <charset val="2"/>
    </font>
    <font>
      <b/>
      <sz val="18"/>
      <color indexed="9"/>
      <name val="Arial"/>
      <family val="2"/>
      <charset val="238"/>
    </font>
    <font>
      <sz val="14"/>
      <color indexed="30"/>
      <name val="Arial"/>
      <family val="2"/>
      <charset val="238"/>
    </font>
    <font>
      <sz val="12"/>
      <color indexed="30"/>
      <name val="Arial"/>
      <family val="2"/>
      <charset val="238"/>
    </font>
    <font>
      <sz val="12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name val="Arial"/>
      <family val="2"/>
      <charset val="238"/>
    </font>
    <font>
      <sz val="11"/>
      <color indexed="9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color indexed="63"/>
      <name val="Arial"/>
      <family val="2"/>
      <charset val="238"/>
    </font>
    <font>
      <b/>
      <sz val="8"/>
      <color indexed="18"/>
      <name val="Arial"/>
      <family val="2"/>
      <charset val="238"/>
    </font>
    <font>
      <b/>
      <sz val="8"/>
      <color indexed="32"/>
      <name val="Arial"/>
      <family val="2"/>
      <charset val="238"/>
    </font>
    <font>
      <sz val="12"/>
      <color indexed="30"/>
      <name val="Calibri"/>
      <family val="2"/>
      <charset val="238"/>
    </font>
    <font>
      <sz val="14"/>
      <color indexed="30"/>
      <name val="Calibri"/>
      <family val="2"/>
      <charset val="238"/>
    </font>
    <font>
      <b/>
      <sz val="10"/>
      <name val="Arial"/>
      <family val="2"/>
      <charset val="238"/>
    </font>
    <font>
      <b/>
      <sz val="8"/>
      <color indexed="56"/>
      <name val="Calibri"/>
      <family val="2"/>
      <charset val="238"/>
    </font>
    <font>
      <i/>
      <sz val="11"/>
      <color indexed="63"/>
      <name val="Arial"/>
      <family val="2"/>
      <charset val="238"/>
    </font>
    <font>
      <b/>
      <sz val="10"/>
      <color indexed="9"/>
      <name val="Arial"/>
      <family val="2"/>
      <charset val="238"/>
    </font>
    <font>
      <sz val="12"/>
      <name val="Arial"/>
      <family val="2"/>
      <charset val="238"/>
    </font>
    <font>
      <b/>
      <sz val="11"/>
      <color indexed="63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30"/>
      <name val="Arial"/>
      <family val="2"/>
      <charset val="238"/>
    </font>
    <font>
      <sz val="8"/>
      <name val="Calibri"/>
      <family val="2"/>
      <charset val="238"/>
    </font>
    <font>
      <sz val="8"/>
      <color theme="1"/>
      <name val="Calibri"/>
      <family val="2"/>
      <charset val="238"/>
    </font>
    <font>
      <sz val="8"/>
      <color theme="0"/>
      <name val="Calibri"/>
      <family val="2"/>
      <charset val="238"/>
    </font>
    <font>
      <sz val="8"/>
      <color rgb="FFFF0000"/>
      <name val="Calibri"/>
      <family val="2"/>
      <charset val="238"/>
    </font>
    <font>
      <sz val="11"/>
      <color theme="0"/>
      <name val="Calibri"/>
      <family val="2"/>
      <charset val="238"/>
    </font>
    <font>
      <sz val="12"/>
      <color theme="0"/>
      <name val="Calibri"/>
      <family val="2"/>
      <charset val="238"/>
    </font>
    <font>
      <b/>
      <i/>
      <sz val="8"/>
      <color rgb="FF7030A0"/>
      <name val="Calibri"/>
      <family val="2"/>
      <charset val="238"/>
    </font>
    <font>
      <b/>
      <sz val="8"/>
      <color rgb="FF7030A0"/>
      <name val="Calibri"/>
      <family val="2"/>
      <charset val="238"/>
    </font>
    <font>
      <sz val="11"/>
      <color theme="1"/>
      <name val="Arial"/>
      <family val="2"/>
      <charset val="238"/>
    </font>
    <font>
      <sz val="8"/>
      <color rgb="FF7030A0"/>
      <name val="Calibri"/>
      <family val="2"/>
      <charset val="238"/>
    </font>
    <font>
      <sz val="8"/>
      <color theme="1"/>
      <name val="Arial"/>
      <family val="2"/>
      <charset val="238"/>
    </font>
    <font>
      <b/>
      <sz val="8"/>
      <color rgb="FFC00000"/>
      <name val="Calibri"/>
      <family val="2"/>
      <charset val="238"/>
    </font>
    <font>
      <sz val="8"/>
      <color rgb="FF002060"/>
      <name val="Arial"/>
      <family val="2"/>
      <charset val="238"/>
    </font>
    <font>
      <sz val="8"/>
      <color rgb="FFC00000"/>
      <name val="Calibri"/>
      <family val="2"/>
      <charset val="238"/>
    </font>
    <font>
      <sz val="8"/>
      <color theme="0" tint="-4.9989318521683403E-2"/>
      <name val="Calibri"/>
      <family val="2"/>
      <charset val="238"/>
    </font>
    <font>
      <sz val="8"/>
      <name val="Calibri"/>
      <family val="2"/>
      <charset val="238"/>
    </font>
    <font>
      <b/>
      <sz val="9"/>
      <color indexed="81"/>
      <name val="Tahoma"/>
      <family val="2"/>
      <charset val="238"/>
    </font>
    <font>
      <sz val="12"/>
      <color theme="0"/>
      <name val="Arial"/>
      <family val="2"/>
      <charset val="238"/>
    </font>
    <font>
      <sz val="12"/>
      <color theme="1"/>
      <name val="Arial"/>
      <family val="2"/>
      <charset val="238"/>
    </font>
    <font>
      <b/>
      <sz val="18"/>
      <color rgb="FF00ADD0"/>
      <name val="Arial"/>
      <family val="2"/>
      <charset val="238"/>
    </font>
    <font>
      <b/>
      <sz val="12"/>
      <color rgb="FF00ADD0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1"/>
      <color rgb="FF00ADD0"/>
      <name val="Arial"/>
      <family val="2"/>
      <charset val="238"/>
    </font>
    <font>
      <b/>
      <sz val="14"/>
      <color rgb="FF00ADD0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9"/>
      <color rgb="FF00ADD0"/>
      <name val="Arial"/>
      <family val="2"/>
      <charset val="238"/>
    </font>
    <font>
      <sz val="9"/>
      <color rgb="FF00ADD0"/>
      <name val="Arial"/>
      <family val="2"/>
      <charset val="238"/>
    </font>
    <font>
      <sz val="10"/>
      <color rgb="FF003C69"/>
      <name val="Arial"/>
      <family val="2"/>
      <charset val="238"/>
    </font>
    <font>
      <b/>
      <sz val="14"/>
      <color rgb="FF003C69"/>
      <name val="Arial"/>
      <family val="2"/>
      <charset val="238"/>
    </font>
    <font>
      <sz val="12"/>
      <color rgb="FF003C69"/>
      <name val="Arial"/>
      <family val="2"/>
      <charset val="238"/>
    </font>
    <font>
      <b/>
      <sz val="11"/>
      <color rgb="FF003C69"/>
      <name val="Arial"/>
      <family val="2"/>
      <charset val="238"/>
    </font>
    <font>
      <b/>
      <sz val="10"/>
      <color rgb="FF003C69"/>
      <name val="Arial"/>
      <family val="2"/>
      <charset val="238"/>
    </font>
    <font>
      <b/>
      <sz val="12"/>
      <color rgb="FF003C69"/>
      <name val="Arial"/>
      <family val="2"/>
      <charset val="238"/>
    </font>
    <font>
      <b/>
      <sz val="18"/>
      <color rgb="FF003C69"/>
      <name val="Arial"/>
      <family val="2"/>
      <charset val="238"/>
    </font>
    <font>
      <sz val="8"/>
      <color rgb="FF003C69"/>
      <name val="Calibri"/>
      <family val="2"/>
      <charset val="238"/>
    </font>
    <font>
      <sz val="10"/>
      <color indexed="81"/>
      <name val="Arial"/>
      <family val="2"/>
      <charset val="238"/>
    </font>
    <font>
      <b/>
      <sz val="10"/>
      <color indexed="81"/>
      <name val="Arial"/>
      <family val="2"/>
      <charset val="238"/>
    </font>
    <font>
      <b/>
      <sz val="11"/>
      <color indexed="81"/>
      <name val="Arial"/>
      <family val="2"/>
      <charset val="238"/>
    </font>
    <font>
      <sz val="8"/>
      <color rgb="FF003C69"/>
      <name val="Wingdings"/>
      <charset val="2"/>
    </font>
    <font>
      <i/>
      <sz val="8"/>
      <color rgb="FF003C69"/>
      <name val="Calibri"/>
      <family val="2"/>
      <charset val="238"/>
    </font>
    <font>
      <i/>
      <sz val="8"/>
      <color rgb="FF003C69"/>
      <name val="Arial"/>
      <family val="2"/>
      <charset val="238"/>
    </font>
    <font>
      <sz val="8"/>
      <color rgb="FF003C69"/>
      <name val="Arial"/>
      <family val="2"/>
      <charset val="238"/>
    </font>
    <font>
      <sz val="8"/>
      <color theme="0" tint="-0.34998626667073579"/>
      <name val="Arial"/>
      <family val="2"/>
      <charset val="238"/>
    </font>
    <font>
      <sz val="8"/>
      <color theme="1" tint="0.34998626667073579"/>
      <name val="Arial"/>
      <family val="2"/>
      <charset val="238"/>
    </font>
    <font>
      <sz val="8"/>
      <color rgb="FF00ADD0"/>
      <name val="Arial"/>
      <family val="2"/>
      <charset val="238"/>
    </font>
    <font>
      <b/>
      <sz val="16"/>
      <color theme="0"/>
      <name val="Arial"/>
      <family val="2"/>
      <charset val="238"/>
    </font>
    <font>
      <b/>
      <i/>
      <sz val="8"/>
      <color theme="0"/>
      <name val="Arial"/>
      <family val="2"/>
      <charset val="238"/>
    </font>
    <font>
      <b/>
      <sz val="8"/>
      <color rgb="FF00ADD0"/>
      <name val="Arial"/>
      <family val="2"/>
      <charset val="238"/>
    </font>
    <font>
      <b/>
      <sz val="8"/>
      <color indexed="81"/>
      <name val="Arial"/>
      <family val="2"/>
      <charset val="238"/>
    </font>
    <font>
      <sz val="8"/>
      <color indexed="81"/>
      <name val="Arial"/>
      <family val="2"/>
      <charset val="238"/>
    </font>
    <font>
      <b/>
      <i/>
      <sz val="8"/>
      <color indexed="81"/>
      <name val="Arial"/>
      <family val="2"/>
      <charset val="238"/>
    </font>
    <font>
      <i/>
      <sz val="8"/>
      <color indexed="81"/>
      <name val="Arial"/>
      <family val="2"/>
      <charset val="238"/>
    </font>
    <font>
      <sz val="9"/>
      <color rgb="FF003C69"/>
      <name val="Arial"/>
      <family val="2"/>
      <charset val="238"/>
    </font>
    <font>
      <sz val="11"/>
      <color theme="0"/>
      <name val="Arial"/>
      <family val="2"/>
      <charset val="238"/>
    </font>
    <font>
      <i/>
      <sz val="9"/>
      <color indexed="81"/>
      <name val="Arial"/>
      <family val="2"/>
      <charset val="238"/>
    </font>
    <font>
      <sz val="12"/>
      <color theme="0" tint="-4.9989318521683403E-2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theme="1"/>
      <name val="Arial"/>
      <family val="2"/>
      <charset val="238"/>
    </font>
    <font>
      <u/>
      <sz val="9"/>
      <color theme="10"/>
      <name val="Calibri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" tint="0.499984740745262"/>
      <name val="Arial"/>
      <family val="2"/>
      <charset val="238"/>
    </font>
    <font>
      <sz val="11"/>
      <color theme="1" tint="0.499984740745262"/>
      <name val="Calibri"/>
      <family val="2"/>
      <charset val="238"/>
    </font>
    <font>
      <b/>
      <sz val="9"/>
      <color theme="1"/>
      <name val="Arial"/>
      <family val="2"/>
      <charset val="238"/>
    </font>
    <font>
      <b/>
      <sz val="11"/>
      <color theme="0"/>
      <name val="Calibri"/>
      <family val="2"/>
      <charset val="238"/>
    </font>
    <font>
      <sz val="9"/>
      <color indexed="81"/>
      <name val="Tahoma"/>
      <family val="2"/>
      <charset val="238"/>
    </font>
    <font>
      <u/>
      <sz val="10"/>
      <color indexed="12"/>
      <name val="Arial"/>
      <family val="2"/>
      <charset val="238"/>
    </font>
    <font>
      <u/>
      <sz val="10"/>
      <color indexed="12"/>
      <name val="MS Sans Serif"/>
      <family val="2"/>
      <charset val="238"/>
    </font>
    <font>
      <sz val="8"/>
      <color rgb="FF9C0006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Verdana"/>
      <family val="2"/>
      <charset val="238"/>
    </font>
    <font>
      <b/>
      <sz val="8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40"/>
      <color rgb="FF00ADD0"/>
      <name val="Arial"/>
      <family val="2"/>
      <charset val="238"/>
    </font>
    <font>
      <b/>
      <sz val="28"/>
      <color rgb="FF00ADD0"/>
      <name val="Arial"/>
      <family val="2"/>
      <charset val="238"/>
    </font>
    <font>
      <b/>
      <sz val="14"/>
      <color rgb="FFFFFFFF"/>
      <name val="Arial"/>
      <family val="2"/>
      <charset val="238"/>
    </font>
    <font>
      <b/>
      <sz val="54"/>
      <color rgb="FF00ADD0"/>
      <name val="Arial"/>
      <family val="2"/>
      <charset val="238"/>
    </font>
    <font>
      <b/>
      <sz val="26"/>
      <color rgb="FFFFFFFF"/>
      <name val="Arial"/>
      <family val="2"/>
      <charset val="238"/>
    </font>
    <font>
      <sz val="9"/>
      <color indexed="81"/>
      <name val="Arial"/>
      <family val="2"/>
      <charset val="238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gray0625"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3C69"/>
        <bgColor indexed="64"/>
      </patternFill>
    </fill>
    <fill>
      <patternFill patternType="solid">
        <fgColor rgb="FF00233E"/>
        <bgColor indexed="64"/>
      </patternFill>
    </fill>
    <fill>
      <patternFill patternType="solid">
        <fgColor rgb="FF00ADD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C0E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CD0E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45E5E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6E7E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BE5FF"/>
        <bgColor indexed="64"/>
      </patternFill>
    </fill>
    <fill>
      <patternFill patternType="solid">
        <fgColor theme="5" tint="0.79998168889431442"/>
        <bgColor indexed="64"/>
      </patternFill>
    </fill>
  </fills>
  <borders count="1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57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 style="hair">
        <color indexed="64"/>
      </bottom>
      <diagonal/>
    </border>
    <border>
      <left style="thin">
        <color indexed="55"/>
      </left>
      <right/>
      <top style="hair">
        <color indexed="64"/>
      </top>
      <bottom style="hair">
        <color indexed="64"/>
      </bottom>
      <diagonal/>
    </border>
    <border>
      <left style="thin">
        <color indexed="55"/>
      </left>
      <right/>
      <top style="hair">
        <color indexed="64"/>
      </top>
      <bottom style="thin">
        <color indexed="55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55"/>
      </bottom>
      <diagonal/>
    </border>
    <border>
      <left/>
      <right style="thin">
        <color indexed="64"/>
      </right>
      <top style="hair">
        <color indexed="64"/>
      </top>
      <bottom style="thin">
        <color indexed="55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55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59"/>
      </right>
      <top style="double">
        <color indexed="64"/>
      </top>
      <bottom/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3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59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55"/>
      </bottom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ck">
        <color indexed="57"/>
      </left>
      <right/>
      <top style="thick">
        <color indexed="57"/>
      </top>
      <bottom style="thick">
        <color indexed="57"/>
      </bottom>
      <diagonal/>
    </border>
    <border>
      <left/>
      <right/>
      <top style="thick">
        <color indexed="57"/>
      </top>
      <bottom style="thick">
        <color indexed="57"/>
      </bottom>
      <diagonal/>
    </border>
    <border>
      <left/>
      <right style="thick">
        <color indexed="57"/>
      </right>
      <top style="thick">
        <color indexed="57"/>
      </top>
      <bottom style="thick">
        <color indexed="57"/>
      </bottom>
      <diagonal/>
    </border>
    <border>
      <left/>
      <right style="thick">
        <color indexed="57"/>
      </right>
      <top/>
      <bottom/>
      <diagonal/>
    </border>
    <border>
      <left style="thin">
        <color indexed="55"/>
      </left>
      <right style="thin">
        <color indexed="23"/>
      </right>
      <top style="thin">
        <color indexed="55"/>
      </top>
      <bottom/>
      <diagonal/>
    </border>
    <border>
      <left style="thin">
        <color indexed="55"/>
      </left>
      <right style="thin">
        <color indexed="23"/>
      </right>
      <top/>
      <bottom style="thin">
        <color indexed="55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double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rgb="FF00ADD0"/>
      </left>
      <right style="thin">
        <color rgb="FF00ADD0"/>
      </right>
      <top style="thin">
        <color rgb="FF00ADD0"/>
      </top>
      <bottom style="thin">
        <color rgb="FF00ADD0"/>
      </bottom>
      <diagonal/>
    </border>
    <border>
      <left style="thin">
        <color rgb="FF00ADD0"/>
      </left>
      <right/>
      <top style="thin">
        <color rgb="FF00ADD0"/>
      </top>
      <bottom/>
      <diagonal/>
    </border>
    <border>
      <left/>
      <right style="thin">
        <color rgb="FF00ADD0"/>
      </right>
      <top style="thin">
        <color rgb="FF00ADD0"/>
      </top>
      <bottom/>
      <diagonal/>
    </border>
    <border>
      <left style="thin">
        <color rgb="FF00ADD0"/>
      </left>
      <right/>
      <top/>
      <bottom style="thin">
        <color rgb="FF00ADD0"/>
      </bottom>
      <diagonal/>
    </border>
    <border>
      <left/>
      <right style="thin">
        <color rgb="FF00ADD0"/>
      </right>
      <top/>
      <bottom style="thin">
        <color rgb="FF00ADD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medium">
        <color rgb="FF003C69"/>
      </top>
      <bottom style="medium">
        <color rgb="FF003C69"/>
      </bottom>
      <diagonal/>
    </border>
    <border>
      <left/>
      <right/>
      <top style="thin">
        <color rgb="FF00ADD0"/>
      </top>
      <bottom/>
      <diagonal/>
    </border>
    <border>
      <left/>
      <right/>
      <top/>
      <bottom style="thin">
        <color rgb="FF00ADD0"/>
      </bottom>
      <diagonal/>
    </border>
    <border>
      <left style="thin">
        <color rgb="FF00233E"/>
      </left>
      <right style="thin">
        <color rgb="FF00233E"/>
      </right>
      <top style="thin">
        <color rgb="FF00233E"/>
      </top>
      <bottom style="thin">
        <color rgb="FF00233E"/>
      </bottom>
      <diagonal/>
    </border>
    <border>
      <left style="thin">
        <color rgb="FF00233E"/>
      </left>
      <right style="thin">
        <color rgb="FF00233E"/>
      </right>
      <top style="thin">
        <color rgb="FF00233E"/>
      </top>
      <bottom style="thin">
        <color indexed="55"/>
      </bottom>
      <diagonal/>
    </border>
    <border>
      <left style="thin">
        <color rgb="FF00233E"/>
      </left>
      <right style="thin">
        <color rgb="FF00233E"/>
      </right>
      <top style="thin">
        <color indexed="55"/>
      </top>
      <bottom style="thin">
        <color indexed="55"/>
      </bottom>
      <diagonal/>
    </border>
    <border>
      <left style="thin">
        <color rgb="FF00233E"/>
      </left>
      <right style="thin">
        <color rgb="FF00233E"/>
      </right>
      <top style="thin">
        <color indexed="55"/>
      </top>
      <bottom style="thin">
        <color rgb="FF00233E"/>
      </bottom>
      <diagonal/>
    </border>
    <border>
      <left style="thin">
        <color rgb="FF00233E"/>
      </left>
      <right style="thin">
        <color rgb="FF00233E"/>
      </right>
      <top style="thin">
        <color rgb="FF00233E"/>
      </top>
      <bottom/>
      <diagonal/>
    </border>
    <border>
      <left style="thin">
        <color rgb="FF00233E"/>
      </left>
      <right style="thin">
        <color rgb="FF00233E"/>
      </right>
      <top/>
      <bottom style="thin">
        <color rgb="FF00233E"/>
      </bottom>
      <diagonal/>
    </border>
    <border>
      <left style="thin">
        <color rgb="FF003C69"/>
      </left>
      <right style="thin">
        <color rgb="FF003C69"/>
      </right>
      <top style="thin">
        <color rgb="FF003C69"/>
      </top>
      <bottom style="thin">
        <color rgb="FF003C69"/>
      </bottom>
      <diagonal/>
    </border>
    <border>
      <left style="thin">
        <color rgb="FF00233E"/>
      </left>
      <right/>
      <top/>
      <bottom/>
      <diagonal/>
    </border>
    <border>
      <left style="thin">
        <color rgb="FF003C69"/>
      </left>
      <right style="thin">
        <color indexed="55"/>
      </right>
      <top style="thin">
        <color rgb="FF003C69"/>
      </top>
      <bottom style="thin">
        <color rgb="FF003C69"/>
      </bottom>
      <diagonal/>
    </border>
    <border>
      <left style="thin">
        <color indexed="55"/>
      </left>
      <right style="thin">
        <color indexed="55"/>
      </right>
      <top style="thin">
        <color rgb="FF003C69"/>
      </top>
      <bottom style="thin">
        <color rgb="FF003C69"/>
      </bottom>
      <diagonal/>
    </border>
    <border>
      <left style="thin">
        <color indexed="55"/>
      </left>
      <right style="thin">
        <color rgb="FF003C69"/>
      </right>
      <top style="thin">
        <color rgb="FF003C69"/>
      </top>
      <bottom style="thin">
        <color rgb="FF003C69"/>
      </bottom>
      <diagonal/>
    </border>
    <border>
      <left style="thin">
        <color rgb="FF003C69"/>
      </left>
      <right style="thin">
        <color rgb="FF003C69"/>
      </right>
      <top/>
      <bottom/>
      <diagonal/>
    </border>
    <border>
      <left style="thin">
        <color rgb="FF00ADD0"/>
      </left>
      <right style="thin">
        <color indexed="55"/>
      </right>
      <top style="thin">
        <color rgb="FF00ADD0"/>
      </top>
      <bottom/>
      <diagonal/>
    </border>
    <border>
      <left style="thin">
        <color indexed="55"/>
      </left>
      <right style="thin">
        <color indexed="55"/>
      </right>
      <top style="thin">
        <color rgb="FF00ADD0"/>
      </top>
      <bottom/>
      <diagonal/>
    </border>
    <border>
      <left style="thin">
        <color indexed="55"/>
      </left>
      <right style="thin">
        <color rgb="FF00ADD0"/>
      </right>
      <top style="thin">
        <color rgb="FF00ADD0"/>
      </top>
      <bottom/>
      <diagonal/>
    </border>
    <border>
      <left/>
      <right style="thin">
        <color rgb="FF00ADD0"/>
      </right>
      <top/>
      <bottom/>
      <diagonal/>
    </border>
    <border>
      <left style="thin">
        <color rgb="FF9BEEFF"/>
      </left>
      <right style="thin">
        <color rgb="FF9BEEFF"/>
      </right>
      <top style="thin">
        <color rgb="FF9BEEFF"/>
      </top>
      <bottom style="thin">
        <color rgb="FF9BEEFF"/>
      </bottom>
      <diagonal/>
    </border>
    <border>
      <left style="thin">
        <color rgb="FF9BEEFF"/>
      </left>
      <right/>
      <top style="thin">
        <color rgb="FF9BEEFF"/>
      </top>
      <bottom style="thin">
        <color rgb="FF9BEEFF"/>
      </bottom>
      <diagonal/>
    </border>
    <border>
      <left/>
      <right/>
      <top style="thin">
        <color rgb="FF9BEEFF"/>
      </top>
      <bottom style="thin">
        <color rgb="FF9BEEFF"/>
      </bottom>
      <diagonal/>
    </border>
    <border>
      <left/>
      <right style="thin">
        <color rgb="FF9BEEFF"/>
      </right>
      <top style="thin">
        <color rgb="FF9BEEFF"/>
      </top>
      <bottom style="thin">
        <color rgb="FF9BEEFF"/>
      </bottom>
      <diagonal/>
    </border>
    <border>
      <left style="thin">
        <color rgb="FF0CD0EA"/>
      </left>
      <right style="thin">
        <color rgb="FF0CD0EA"/>
      </right>
      <top style="thin">
        <color rgb="FF0CD0EA"/>
      </top>
      <bottom style="thin">
        <color rgb="FF0CD0EA"/>
      </bottom>
      <diagonal/>
    </border>
    <border>
      <left/>
      <right/>
      <top style="thin">
        <color rgb="FF00ADD0"/>
      </top>
      <bottom style="thin">
        <color rgb="FF00ADD0"/>
      </bottom>
      <diagonal/>
    </border>
    <border>
      <left style="thick">
        <color rgb="FF00ADD0"/>
      </left>
      <right/>
      <top style="thick">
        <color rgb="FF00ADD0"/>
      </top>
      <bottom style="thick">
        <color rgb="FF00ADD0"/>
      </bottom>
      <diagonal/>
    </border>
    <border>
      <left/>
      <right/>
      <top style="thick">
        <color rgb="FF00ADD0"/>
      </top>
      <bottom style="thick">
        <color rgb="FF00ADD0"/>
      </bottom>
      <diagonal/>
    </border>
    <border>
      <left/>
      <right style="thick">
        <color rgb="FF00ADD0"/>
      </right>
      <top style="thick">
        <color rgb="FF00ADD0"/>
      </top>
      <bottom style="thick">
        <color rgb="FF00ADD0"/>
      </bottom>
      <diagonal/>
    </border>
    <border>
      <left style="thin">
        <color rgb="FF00C0E6"/>
      </left>
      <right/>
      <top style="thin">
        <color rgb="FF00C0E6"/>
      </top>
      <bottom style="thin">
        <color rgb="FF00C0E6"/>
      </bottom>
      <diagonal/>
    </border>
    <border>
      <left/>
      <right/>
      <top style="thin">
        <color rgb="FF00C0E6"/>
      </top>
      <bottom style="thin">
        <color rgb="FF00C0E6"/>
      </bottom>
      <diagonal/>
    </border>
    <border>
      <left style="thin">
        <color auto="1"/>
      </left>
      <right/>
      <top style="thin">
        <color rgb="FF00233E"/>
      </top>
      <bottom style="thin">
        <color rgb="FF00233E"/>
      </bottom>
      <diagonal/>
    </border>
    <border>
      <left/>
      <right/>
      <top style="thin">
        <color rgb="FF00233E"/>
      </top>
      <bottom style="thin">
        <color rgb="FF00233E"/>
      </bottom>
      <diagonal/>
    </border>
    <border>
      <left/>
      <right style="thin">
        <color rgb="FF00233E"/>
      </right>
      <top style="thin">
        <color rgb="FF00233E"/>
      </top>
      <bottom style="thin">
        <color rgb="FF00233E"/>
      </bottom>
      <diagonal/>
    </border>
    <border>
      <left style="thin">
        <color rgb="FF00ADD0"/>
      </left>
      <right style="thin">
        <color rgb="FF00ADD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8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10" fillId="0" borderId="0"/>
    <xf numFmtId="0" fontId="76" fillId="0" borderId="0"/>
    <xf numFmtId="9" fontId="2" fillId="0" borderId="0" applyFont="0" applyFill="0" applyBorder="0" applyAlignment="0" applyProtection="0"/>
    <xf numFmtId="0" fontId="131" fillId="0" borderId="0"/>
    <xf numFmtId="0" fontId="133" fillId="0" borderId="0" applyNumberFormat="0" applyFill="0" applyBorder="0" applyAlignment="0" applyProtection="0">
      <alignment vertical="top"/>
      <protection locked="0"/>
    </xf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45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5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147" fillId="30" borderId="0" applyNumberFormat="0" applyBorder="0" applyAlignment="0" applyProtection="0"/>
    <xf numFmtId="0" fontId="59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148" fillId="0" borderId="0"/>
    <xf numFmtId="0" fontId="76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59" fillId="0" borderId="0"/>
    <xf numFmtId="0" fontId="59" fillId="0" borderId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3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5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5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 applyProtection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7" fillId="0" borderId="0"/>
    <xf numFmtId="0" fontId="59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9" fillId="0" borderId="0"/>
    <xf numFmtId="0" fontId="76" fillId="0" borderId="0"/>
    <xf numFmtId="0" fontId="150" fillId="0" borderId="0"/>
    <xf numFmtId="0" fontId="59" fillId="0" borderId="0"/>
    <xf numFmtId="0" fontId="59" fillId="0" borderId="0" applyProtection="0"/>
    <xf numFmtId="0" fontId="10" fillId="0" borderId="0"/>
    <xf numFmtId="0" fontId="59" fillId="0" borderId="0"/>
    <xf numFmtId="0" fontId="59" fillId="0" borderId="0" applyProtection="0"/>
    <xf numFmtId="0" fontId="150" fillId="0" borderId="0"/>
    <xf numFmtId="0" fontId="59" fillId="0" borderId="0" applyProtection="0"/>
    <xf numFmtId="0" fontId="149" fillId="31" borderId="105" applyNumberFormat="0" applyFont="0" applyAlignment="0" applyProtection="0"/>
  </cellStyleXfs>
  <cellXfs count="831">
    <xf numFmtId="0" fontId="0" fillId="0" borderId="0" xfId="0"/>
    <xf numFmtId="0" fontId="4" fillId="0" borderId="1" xfId="0" applyFont="1" applyFill="1" applyBorder="1" applyAlignment="1" applyProtection="1">
      <alignment horizontal="left" vertical="center" indent="1"/>
      <protection hidden="1"/>
    </xf>
    <xf numFmtId="0" fontId="4" fillId="0" borderId="1" xfId="0" applyNumberFormat="1" applyFont="1" applyFill="1" applyBorder="1" applyAlignment="1" applyProtection="1">
      <alignment horizontal="center"/>
      <protection locked="0" hidden="1"/>
    </xf>
    <xf numFmtId="0" fontId="4" fillId="0" borderId="1" xfId="0" applyNumberFormat="1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Font="1" applyFill="1" applyBorder="1"/>
    <xf numFmtId="0" fontId="6" fillId="0" borderId="0" xfId="0" applyFont="1" applyFill="1" applyBorder="1"/>
    <xf numFmtId="0" fontId="0" fillId="0" borderId="0" xfId="0" applyFill="1" applyBorder="1"/>
    <xf numFmtId="0" fontId="6" fillId="0" borderId="0" xfId="0" applyFont="1" applyFill="1"/>
    <xf numFmtId="0" fontId="6" fillId="0" borderId="0" xfId="0" applyFont="1" applyFill="1" applyAlignment="1">
      <alignment horizontal="left" vertical="top" textRotation="90" wrapText="1"/>
    </xf>
    <xf numFmtId="0" fontId="6" fillId="0" borderId="0" xfId="0" applyFont="1" applyFill="1" applyBorder="1" applyAlignment="1">
      <alignment horizontal="right" indent="1"/>
    </xf>
    <xf numFmtId="0" fontId="9" fillId="0" borderId="0" xfId="0" applyFont="1" applyFill="1" applyBorder="1"/>
    <xf numFmtId="0" fontId="9" fillId="0" borderId="0" xfId="0" applyFont="1" applyFill="1"/>
    <xf numFmtId="0" fontId="9" fillId="0" borderId="0" xfId="0" applyFont="1" applyFill="1" applyAlignment="1">
      <alignment horizontal="left" vertical="top" textRotation="90" wrapText="1"/>
    </xf>
    <xf numFmtId="0" fontId="0" fillId="0" borderId="0" xfId="0" applyFill="1"/>
    <xf numFmtId="0" fontId="6" fillId="0" borderId="0" xfId="0" applyFont="1" applyFill="1" applyBorder="1" applyAlignment="1" applyProtection="1">
      <alignment horizontal="right" vertical="center"/>
    </xf>
    <xf numFmtId="0" fontId="11" fillId="0" borderId="0" xfId="0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4" fillId="0" borderId="0" xfId="0" applyFont="1"/>
    <xf numFmtId="0" fontId="4" fillId="0" borderId="0" xfId="0" applyFont="1" applyAlignment="1">
      <alignment horizontal="left" inden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Border="1"/>
    <xf numFmtId="0" fontId="4" fillId="0" borderId="7" xfId="0" applyFont="1" applyBorder="1" applyAlignment="1">
      <alignment horizontal="left" indent="1"/>
    </xf>
    <xf numFmtId="3" fontId="4" fillId="0" borderId="7" xfId="0" applyNumberFormat="1" applyFont="1" applyBorder="1"/>
    <xf numFmtId="3" fontId="4" fillId="0" borderId="7" xfId="0" applyNumberFormat="1" applyFont="1" applyBorder="1" applyAlignment="1">
      <alignment horizontal="right"/>
    </xf>
    <xf numFmtId="10" fontId="4" fillId="0" borderId="7" xfId="0" applyNumberFormat="1" applyFont="1" applyBorder="1" applyAlignment="1">
      <alignment horizontal="right"/>
    </xf>
    <xf numFmtId="10" fontId="4" fillId="0" borderId="7" xfId="0" applyNumberFormat="1" applyFont="1" applyBorder="1"/>
    <xf numFmtId="0" fontId="4" fillId="0" borderId="8" xfId="0" applyFont="1" applyBorder="1"/>
    <xf numFmtId="0" fontId="4" fillId="0" borderId="8" xfId="0" applyFont="1" applyBorder="1" applyAlignment="1">
      <alignment horizontal="left" indent="1"/>
    </xf>
    <xf numFmtId="3" fontId="4" fillId="0" borderId="8" xfId="0" applyNumberFormat="1" applyFont="1" applyBorder="1"/>
    <xf numFmtId="3" fontId="4" fillId="0" borderId="8" xfId="0" applyNumberFormat="1" applyFont="1" applyBorder="1" applyAlignment="1">
      <alignment horizontal="right"/>
    </xf>
    <xf numFmtId="10" fontId="4" fillId="0" borderId="8" xfId="0" applyNumberFormat="1" applyFont="1" applyBorder="1" applyAlignment="1">
      <alignment horizontal="right"/>
    </xf>
    <xf numFmtId="10" fontId="4" fillId="0" borderId="8" xfId="0" applyNumberFormat="1" applyFont="1" applyBorder="1"/>
    <xf numFmtId="10" fontId="4" fillId="0" borderId="9" xfId="0" applyNumberFormat="1" applyFont="1" applyBorder="1"/>
    <xf numFmtId="10" fontId="23" fillId="0" borderId="0" xfId="0" applyNumberFormat="1" applyFont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4" fillId="0" borderId="0" xfId="0" applyFont="1" applyFill="1" applyBorder="1"/>
    <xf numFmtId="0" fontId="26" fillId="0" borderId="0" xfId="0" applyFont="1"/>
    <xf numFmtId="3" fontId="4" fillId="0" borderId="1" xfId="0" applyNumberFormat="1" applyFont="1" applyBorder="1"/>
    <xf numFmtId="10" fontId="4" fillId="0" borderId="1" xfId="0" applyNumberFormat="1" applyFont="1" applyBorder="1"/>
    <xf numFmtId="0" fontId="11" fillId="3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vertical="center"/>
    </xf>
    <xf numFmtId="0" fontId="26" fillId="0" borderId="0" xfId="0" applyFont="1" applyBorder="1"/>
    <xf numFmtId="0" fontId="26" fillId="0" borderId="10" xfId="0" applyFont="1" applyBorder="1"/>
    <xf numFmtId="3" fontId="4" fillId="0" borderId="0" xfId="0" applyNumberFormat="1" applyFont="1"/>
    <xf numFmtId="0" fontId="11" fillId="0" borderId="0" xfId="0" applyFont="1" applyAlignment="1">
      <alignment horizontal="center"/>
    </xf>
    <xf numFmtId="0" fontId="11" fillId="0" borderId="1" xfId="0" applyFont="1" applyBorder="1" applyAlignment="1">
      <alignment horizontal="right" indent="1"/>
    </xf>
    <xf numFmtId="0" fontId="11" fillId="0" borderId="1" xfId="0" applyFont="1" applyBorder="1" applyAlignment="1">
      <alignment vertical="center"/>
    </xf>
    <xf numFmtId="10" fontId="4" fillId="0" borderId="0" xfId="0" applyNumberFormat="1" applyFont="1"/>
    <xf numFmtId="164" fontId="4" fillId="0" borderId="0" xfId="0" applyNumberFormat="1" applyFont="1"/>
    <xf numFmtId="0" fontId="11" fillId="0" borderId="0" xfId="0" applyFont="1" applyFill="1" applyBorder="1"/>
    <xf numFmtId="0" fontId="4" fillId="0" borderId="11" xfId="0" applyFont="1" applyFill="1" applyBorder="1" applyAlignment="1">
      <alignment horizontal="left" indent="1"/>
    </xf>
    <xf numFmtId="0" fontId="4" fillId="0" borderId="11" xfId="0" applyFont="1" applyFill="1" applyBorder="1"/>
    <xf numFmtId="0" fontId="4" fillId="5" borderId="4" xfId="0" applyFont="1" applyFill="1" applyBorder="1" applyAlignment="1">
      <alignment horizontal="left" indent="1"/>
    </xf>
    <xf numFmtId="0" fontId="4" fillId="5" borderId="5" xfId="0" applyFont="1" applyFill="1" applyBorder="1"/>
    <xf numFmtId="0" fontId="4" fillId="5" borderId="12" xfId="0" applyFont="1" applyFill="1" applyBorder="1" applyAlignment="1">
      <alignment horizontal="left" indent="1"/>
    </xf>
    <xf numFmtId="0" fontId="4" fillId="5" borderId="13" xfId="0" applyFont="1" applyFill="1" applyBorder="1"/>
    <xf numFmtId="0" fontId="4" fillId="5" borderId="14" xfId="0" applyFont="1" applyFill="1" applyBorder="1" applyAlignment="1">
      <alignment horizontal="left" indent="1"/>
    </xf>
    <xf numFmtId="0" fontId="4" fillId="5" borderId="15" xfId="0" applyFont="1" applyFill="1" applyBorder="1"/>
    <xf numFmtId="0" fontId="4" fillId="6" borderId="4" xfId="0" applyFont="1" applyFill="1" applyBorder="1" applyAlignment="1">
      <alignment horizontal="left" indent="1"/>
    </xf>
    <xf numFmtId="0" fontId="4" fillId="6" borderId="11" xfId="0" applyFont="1" applyFill="1" applyBorder="1"/>
    <xf numFmtId="0" fontId="4" fillId="6" borderId="5" xfId="0" applyFont="1" applyFill="1" applyBorder="1"/>
    <xf numFmtId="0" fontId="4" fillId="6" borderId="12" xfId="0" applyFont="1" applyFill="1" applyBorder="1" applyAlignment="1">
      <alignment horizontal="left" indent="1"/>
    </xf>
    <xf numFmtId="0" fontId="4" fillId="6" borderId="0" xfId="0" applyFont="1" applyFill="1" applyBorder="1"/>
    <xf numFmtId="0" fontId="4" fillId="6" borderId="13" xfId="0" applyFont="1" applyFill="1" applyBorder="1"/>
    <xf numFmtId="0" fontId="4" fillId="6" borderId="14" xfId="0" applyFont="1" applyFill="1" applyBorder="1" applyAlignment="1">
      <alignment horizontal="left" indent="1"/>
    </xf>
    <xf numFmtId="0" fontId="4" fillId="6" borderId="3" xfId="0" applyFont="1" applyFill="1" applyBorder="1"/>
    <xf numFmtId="0" fontId="4" fillId="6" borderId="15" xfId="0" applyFont="1" applyFill="1" applyBorder="1"/>
    <xf numFmtId="0" fontId="4" fillId="0" borderId="1" xfId="0" applyFont="1" applyBorder="1"/>
    <xf numFmtId="0" fontId="11" fillId="7" borderId="1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16" fillId="0" borderId="20" xfId="0" applyFont="1" applyBorder="1"/>
    <xf numFmtId="0" fontId="16" fillId="0" borderId="21" xfId="0" applyFont="1" applyBorder="1"/>
    <xf numFmtId="0" fontId="16" fillId="0" borderId="22" xfId="0" applyFont="1" applyBorder="1"/>
    <xf numFmtId="0" fontId="4" fillId="0" borderId="0" xfId="0" applyFont="1" applyFill="1" applyAlignment="1">
      <alignment horizontal="left" vertical="top" textRotation="90" wrapText="1"/>
    </xf>
    <xf numFmtId="0" fontId="11" fillId="2" borderId="1" xfId="0" applyFont="1" applyFill="1" applyBorder="1"/>
    <xf numFmtId="0" fontId="3" fillId="2" borderId="1" xfId="0" applyFont="1" applyFill="1" applyBorder="1"/>
    <xf numFmtId="0" fontId="11" fillId="2" borderId="1" xfId="0" applyFont="1" applyFill="1" applyBorder="1" applyAlignment="1" applyProtection="1">
      <alignment horizontal="right" vertical="center"/>
    </xf>
    <xf numFmtId="164" fontId="11" fillId="2" borderId="1" xfId="0" applyNumberFormat="1" applyFont="1" applyFill="1" applyBorder="1" applyAlignment="1" applyProtection="1">
      <alignment horizontal="right" vertical="center"/>
    </xf>
    <xf numFmtId="0" fontId="4" fillId="8" borderId="0" xfId="0" applyFont="1" applyFill="1" applyBorder="1"/>
    <xf numFmtId="0" fontId="4" fillId="8" borderId="23" xfId="0" applyFont="1" applyFill="1" applyBorder="1"/>
    <xf numFmtId="3" fontId="4" fillId="8" borderId="23" xfId="0" applyNumberFormat="1" applyFont="1" applyFill="1" applyBorder="1"/>
    <xf numFmtId="3" fontId="4" fillId="8" borderId="0" xfId="0" applyNumberFormat="1" applyFont="1" applyFill="1" applyBorder="1"/>
    <xf numFmtId="0" fontId="4" fillId="0" borderId="0" xfId="0" applyFont="1" applyFill="1" applyBorder="1" applyAlignment="1" applyProtection="1">
      <alignment horizontal="right" vertical="center"/>
    </xf>
    <xf numFmtId="164" fontId="4" fillId="0" borderId="0" xfId="0" applyNumberFormat="1" applyFont="1" applyFill="1" applyBorder="1" applyAlignment="1" applyProtection="1">
      <alignment horizontal="right" vertical="center"/>
    </xf>
    <xf numFmtId="164" fontId="4" fillId="0" borderId="0" xfId="0" applyNumberFormat="1" applyFont="1" applyFill="1" applyBorder="1" applyAlignment="1"/>
    <xf numFmtId="0" fontId="6" fillId="8" borderId="0" xfId="0" applyFont="1" applyFill="1" applyAlignment="1">
      <alignment horizontal="left" vertical="top" textRotation="90" wrapText="1"/>
    </xf>
    <xf numFmtId="0" fontId="9" fillId="4" borderId="0" xfId="0" applyFont="1" applyFill="1" applyAlignment="1">
      <alignment horizontal="left" vertical="top" textRotation="90" wrapText="1"/>
    </xf>
    <xf numFmtId="0" fontId="4" fillId="0" borderId="0" xfId="0" applyFont="1" applyFill="1"/>
    <xf numFmtId="0" fontId="26" fillId="0" borderId="0" xfId="0" applyFont="1" applyAlignment="1">
      <alignment horizontal="right"/>
    </xf>
    <xf numFmtId="0" fontId="9" fillId="10" borderId="0" xfId="0" applyFont="1" applyFill="1" applyAlignment="1">
      <alignment horizontal="left" vertical="top" textRotation="90" wrapText="1"/>
    </xf>
    <xf numFmtId="0" fontId="4" fillId="10" borderId="0" xfId="0" applyFont="1" applyFill="1" applyAlignment="1">
      <alignment horizontal="left" vertical="top" textRotation="90" wrapText="1"/>
    </xf>
    <xf numFmtId="0" fontId="4" fillId="6" borderId="12" xfId="0" applyFont="1" applyFill="1" applyBorder="1" applyAlignment="1">
      <alignment horizontal="left"/>
    </xf>
    <xf numFmtId="0" fontId="4" fillId="6" borderId="14" xfId="0" applyFont="1" applyFill="1" applyBorder="1" applyAlignment="1">
      <alignment horizontal="left"/>
    </xf>
    <xf numFmtId="0" fontId="4" fillId="0" borderId="11" xfId="0" applyFont="1" applyBorder="1"/>
    <xf numFmtId="0" fontId="4" fillId="0" borderId="11" xfId="0" applyFont="1" applyBorder="1" applyAlignment="1">
      <alignment horizontal="left" indent="1"/>
    </xf>
    <xf numFmtId="3" fontId="4" fillId="0" borderId="11" xfId="0" applyNumberFormat="1" applyFont="1" applyBorder="1"/>
    <xf numFmtId="3" fontId="4" fillId="0" borderId="5" xfId="0" applyNumberFormat="1" applyFont="1" applyBorder="1"/>
    <xf numFmtId="0" fontId="4" fillId="0" borderId="0" xfId="0" applyFont="1" applyBorder="1"/>
    <xf numFmtId="3" fontId="4" fillId="0" borderId="0" xfId="0" applyNumberFormat="1" applyFont="1" applyBorder="1"/>
    <xf numFmtId="3" fontId="4" fillId="0" borderId="13" xfId="0" applyNumberFormat="1" applyFont="1" applyBorder="1"/>
    <xf numFmtId="3" fontId="4" fillId="0" borderId="3" xfId="0" applyNumberFormat="1" applyFont="1" applyBorder="1"/>
    <xf numFmtId="3" fontId="4" fillId="0" borderId="15" xfId="0" applyNumberFormat="1" applyFont="1" applyBorder="1"/>
    <xf numFmtId="0" fontId="4" fillId="9" borderId="0" xfId="0" applyFont="1" applyFill="1" applyBorder="1"/>
    <xf numFmtId="3" fontId="4" fillId="9" borderId="0" xfId="0" applyNumberFormat="1" applyFont="1" applyFill="1" applyBorder="1"/>
    <xf numFmtId="3" fontId="4" fillId="9" borderId="13" xfId="0" applyNumberFormat="1" applyFont="1" applyFill="1" applyBorder="1"/>
    <xf numFmtId="0" fontId="4" fillId="9" borderId="3" xfId="0" applyFont="1" applyFill="1" applyBorder="1"/>
    <xf numFmtId="3" fontId="4" fillId="9" borderId="3" xfId="0" applyNumberFormat="1" applyFont="1" applyFill="1" applyBorder="1"/>
    <xf numFmtId="3" fontId="4" fillId="9" borderId="15" xfId="0" applyNumberFormat="1" applyFont="1" applyFill="1" applyBorder="1"/>
    <xf numFmtId="3" fontId="4" fillId="0" borderId="4" xfId="0" applyNumberFormat="1" applyFont="1" applyBorder="1"/>
    <xf numFmtId="3" fontId="4" fillId="0" borderId="14" xfId="0" applyNumberFormat="1" applyFont="1" applyBorder="1"/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4" fontId="4" fillId="0" borderId="0" xfId="0" applyNumberFormat="1" applyFont="1" applyFill="1" applyBorder="1"/>
    <xf numFmtId="0" fontId="11" fillId="0" borderId="0" xfId="0" applyFont="1" applyFill="1" applyBorder="1" applyAlignment="1">
      <alignment horizontal="left"/>
    </xf>
    <xf numFmtId="3" fontId="11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3" fontId="4" fillId="0" borderId="0" xfId="0" applyNumberFormat="1" applyFont="1" applyFill="1" applyBorder="1"/>
    <xf numFmtId="3" fontId="3" fillId="0" borderId="0" xfId="0" applyNumberFormat="1" applyFont="1" applyAlignment="1">
      <alignment horizontal="right" vertical="center"/>
    </xf>
    <xf numFmtId="0" fontId="11" fillId="4" borderId="0" xfId="0" applyFont="1" applyFill="1" applyAlignment="1">
      <alignment horizontal="left" vertical="top" textRotation="90" wrapText="1"/>
    </xf>
    <xf numFmtId="0" fontId="32" fillId="0" borderId="0" xfId="0" applyFont="1" applyFill="1" applyBorder="1"/>
    <xf numFmtId="0" fontId="25" fillId="0" borderId="2" xfId="0" applyFont="1" applyFill="1" applyBorder="1" applyAlignment="1">
      <alignment horizontal="center"/>
    </xf>
    <xf numFmtId="0" fontId="45" fillId="0" borderId="4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/>
    </xf>
    <xf numFmtId="0" fontId="45" fillId="0" borderId="11" xfId="0" applyFont="1" applyFill="1" applyBorder="1" applyAlignment="1">
      <alignment horizontal="center" vertical="center" wrapText="1"/>
    </xf>
    <xf numFmtId="10" fontId="47" fillId="0" borderId="3" xfId="0" applyNumberFormat="1" applyFont="1" applyBorder="1" applyAlignment="1">
      <alignment horizontal="center"/>
    </xf>
    <xf numFmtId="4" fontId="40" fillId="0" borderId="25" xfId="0" applyNumberFormat="1" applyFont="1" applyBorder="1" applyAlignment="1">
      <alignment horizontal="left"/>
    </xf>
    <xf numFmtId="0" fontId="40" fillId="0" borderId="25" xfId="0" applyFont="1" applyBorder="1"/>
    <xf numFmtId="10" fontId="41" fillId="0" borderId="26" xfId="0" applyNumberFormat="1" applyFont="1" applyBorder="1" applyAlignment="1">
      <alignment horizontal="right"/>
    </xf>
    <xf numFmtId="4" fontId="40" fillId="0" borderId="27" xfId="0" applyNumberFormat="1" applyFont="1" applyBorder="1" applyAlignment="1">
      <alignment horizontal="left"/>
    </xf>
    <xf numFmtId="10" fontId="40" fillId="0" borderId="28" xfId="0" applyNumberFormat="1" applyFont="1" applyBorder="1" applyAlignment="1">
      <alignment horizontal="right" indent="1"/>
    </xf>
    <xf numFmtId="0" fontId="40" fillId="0" borderId="27" xfId="0" applyFont="1" applyBorder="1"/>
    <xf numFmtId="3" fontId="39" fillId="0" borderId="27" xfId="0" applyNumberFormat="1" applyFont="1" applyBorder="1" applyAlignment="1">
      <alignment horizontal="left" indent="1"/>
    </xf>
    <xf numFmtId="10" fontId="41" fillId="0" borderId="29" xfId="0" applyNumberFormat="1" applyFont="1" applyBorder="1" applyAlignment="1">
      <alignment horizontal="right"/>
    </xf>
    <xf numFmtId="3" fontId="39" fillId="0" borderId="30" xfId="0" applyNumberFormat="1" applyFont="1" applyBorder="1" applyAlignment="1">
      <alignment horizontal="left" indent="1"/>
    </xf>
    <xf numFmtId="10" fontId="40" fillId="0" borderId="31" xfId="0" applyNumberFormat="1" applyFont="1" applyBorder="1" applyAlignment="1">
      <alignment horizontal="right" indent="1"/>
    </xf>
    <xf numFmtId="0" fontId="40" fillId="0" borderId="30" xfId="0" applyFont="1" applyBorder="1"/>
    <xf numFmtId="0" fontId="39" fillId="0" borderId="32" xfId="0" applyFont="1" applyBorder="1" applyAlignment="1">
      <alignment horizontal="left" indent="1"/>
    </xf>
    <xf numFmtId="0" fontId="48" fillId="0" borderId="25" xfId="0" applyFont="1" applyBorder="1"/>
    <xf numFmtId="0" fontId="39" fillId="0" borderId="26" xfId="0" applyFont="1" applyBorder="1" applyAlignment="1">
      <alignment horizontal="left" indent="1"/>
    </xf>
    <xf numFmtId="0" fontId="48" fillId="0" borderId="27" xfId="0" applyFont="1" applyBorder="1"/>
    <xf numFmtId="0" fontId="39" fillId="0" borderId="29" xfId="0" applyFont="1" applyBorder="1" applyAlignment="1">
      <alignment horizontal="left" indent="1"/>
    </xf>
    <xf numFmtId="0" fontId="48" fillId="0" borderId="30" xfId="0" applyFont="1" applyBorder="1"/>
    <xf numFmtId="0" fontId="41" fillId="0" borderId="0" xfId="0" applyFont="1" applyFill="1" applyBorder="1" applyAlignment="1">
      <alignment horizontal="right"/>
    </xf>
    <xf numFmtId="0" fontId="45" fillId="0" borderId="2" xfId="0" applyFont="1" applyFill="1" applyBorder="1" applyAlignment="1">
      <alignment horizontal="center" vertical="center" wrapText="1"/>
    </xf>
    <xf numFmtId="3" fontId="40" fillId="0" borderId="33" xfId="0" applyNumberFormat="1" applyFont="1" applyBorder="1" applyAlignment="1">
      <alignment horizontal="right"/>
    </xf>
    <xf numFmtId="3" fontId="40" fillId="0" borderId="28" xfId="0" applyNumberFormat="1" applyFont="1" applyBorder="1" applyAlignment="1">
      <alignment horizontal="right"/>
    </xf>
    <xf numFmtId="3" fontId="40" fillId="0" borderId="34" xfId="0" applyNumberFormat="1" applyFont="1" applyBorder="1" applyAlignment="1">
      <alignment horizontal="right"/>
    </xf>
    <xf numFmtId="10" fontId="41" fillId="0" borderId="32" xfId="0" applyNumberFormat="1" applyFont="1" applyBorder="1" applyAlignment="1">
      <alignment horizontal="right" indent="3"/>
    </xf>
    <xf numFmtId="10" fontId="41" fillId="0" borderId="26" xfId="0" applyNumberFormat="1" applyFont="1" applyBorder="1" applyAlignment="1">
      <alignment horizontal="right" indent="3"/>
    </xf>
    <xf numFmtId="10" fontId="41" fillId="0" borderId="29" xfId="0" applyNumberFormat="1" applyFont="1" applyBorder="1" applyAlignment="1">
      <alignment horizontal="right" indent="3"/>
    </xf>
    <xf numFmtId="166" fontId="4" fillId="0" borderId="0" xfId="0" applyNumberFormat="1" applyFont="1"/>
    <xf numFmtId="166" fontId="4" fillId="0" borderId="7" xfId="0" applyNumberFormat="1" applyFont="1" applyBorder="1"/>
    <xf numFmtId="166" fontId="4" fillId="0" borderId="8" xfId="0" applyNumberFormat="1" applyFont="1" applyBorder="1"/>
    <xf numFmtId="0" fontId="40" fillId="0" borderId="0" xfId="0" applyFont="1" applyBorder="1" applyAlignment="1">
      <alignment horizontal="left" vertical="center" indent="1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left" indent="1"/>
    </xf>
    <xf numFmtId="0" fontId="0" fillId="0" borderId="15" xfId="0" applyBorder="1" applyAlignment="1">
      <alignment horizontal="left" indent="1"/>
    </xf>
    <xf numFmtId="0" fontId="48" fillId="0" borderId="35" xfId="0" applyFont="1" applyBorder="1"/>
    <xf numFmtId="0" fontId="0" fillId="11" borderId="0" xfId="0" applyFill="1"/>
    <xf numFmtId="0" fontId="0" fillId="0" borderId="0" xfId="0" applyAlignment="1">
      <alignment vertical="center"/>
    </xf>
    <xf numFmtId="0" fontId="17" fillId="0" borderId="0" xfId="0" applyFont="1" applyFill="1" applyBorder="1" applyAlignment="1">
      <alignment horizontal="center"/>
    </xf>
    <xf numFmtId="3" fontId="4" fillId="0" borderId="13" xfId="0" applyNumberFormat="1" applyFont="1" applyFill="1" applyBorder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164" fontId="4" fillId="0" borderId="0" xfId="0" applyNumberFormat="1" applyFont="1" applyFill="1" applyBorder="1" applyAlignment="1" applyProtection="1">
      <alignment horizontal="center" vertical="center"/>
    </xf>
    <xf numFmtId="10" fontId="4" fillId="0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164" fontId="4" fillId="0" borderId="0" xfId="0" applyNumberFormat="1" applyFont="1" applyFill="1" applyBorder="1" applyAlignment="1" applyProtection="1">
      <alignment horizontal="left" vertical="center"/>
    </xf>
    <xf numFmtId="1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10" fontId="4" fillId="0" borderId="0" xfId="0" applyNumberFormat="1" applyFont="1" applyFill="1" applyBorder="1" applyAlignment="1">
      <alignment horizontal="left"/>
    </xf>
    <xf numFmtId="0" fontId="0" fillId="0" borderId="0" xfId="0" applyAlignment="1">
      <alignment horizontal="right"/>
    </xf>
    <xf numFmtId="0" fontId="11" fillId="0" borderId="0" xfId="0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right" wrapText="1"/>
    </xf>
    <xf numFmtId="4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 applyProtection="1">
      <alignment horizontal="right" vertical="center"/>
    </xf>
    <xf numFmtId="0" fontId="11" fillId="4" borderId="36" xfId="0" applyFont="1" applyFill="1" applyBorder="1" applyAlignment="1" applyProtection="1">
      <alignment horizontal="center" vertical="center" wrapText="1"/>
    </xf>
    <xf numFmtId="0" fontId="11" fillId="4" borderId="24" xfId="0" applyFont="1" applyFill="1" applyBorder="1" applyAlignment="1" applyProtection="1">
      <alignment horizontal="center" vertical="center" wrapText="1"/>
    </xf>
    <xf numFmtId="0" fontId="11" fillId="4" borderId="37" xfId="0" applyFont="1" applyFill="1" applyBorder="1" applyAlignment="1" applyProtection="1">
      <alignment horizontal="center" vertical="center" wrapText="1"/>
    </xf>
    <xf numFmtId="0" fontId="11" fillId="2" borderId="24" xfId="0" applyFont="1" applyFill="1" applyBorder="1" applyAlignment="1" applyProtection="1">
      <alignment horizontal="center" vertical="center" wrapText="1"/>
    </xf>
    <xf numFmtId="0" fontId="4" fillId="8" borderId="38" xfId="0" applyFont="1" applyFill="1" applyBorder="1" applyAlignment="1">
      <alignment horizontal="right"/>
    </xf>
    <xf numFmtId="0" fontId="4" fillId="8" borderId="12" xfId="0" applyFont="1" applyFill="1" applyBorder="1" applyAlignment="1">
      <alignment horizontal="right"/>
    </xf>
    <xf numFmtId="0" fontId="4" fillId="8" borderId="14" xfId="0" applyFont="1" applyFill="1" applyBorder="1" applyAlignment="1">
      <alignment horizontal="right"/>
    </xf>
    <xf numFmtId="3" fontId="4" fillId="8" borderId="38" xfId="0" applyNumberFormat="1" applyFont="1" applyFill="1" applyBorder="1" applyAlignment="1">
      <alignment horizontal="right"/>
    </xf>
    <xf numFmtId="3" fontId="4" fillId="8" borderId="12" xfId="0" applyNumberFormat="1" applyFont="1" applyFill="1" applyBorder="1" applyAlignment="1">
      <alignment horizontal="right"/>
    </xf>
    <xf numFmtId="0" fontId="11" fillId="0" borderId="11" xfId="0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right" vertical="center"/>
    </xf>
    <xf numFmtId="0" fontId="4" fillId="0" borderId="13" xfId="0" applyFont="1" applyFill="1" applyBorder="1" applyAlignment="1" applyProtection="1">
      <alignment horizontal="left" vertical="center"/>
    </xf>
    <xf numFmtId="0" fontId="4" fillId="8" borderId="3" xfId="0" applyFont="1" applyFill="1" applyBorder="1"/>
    <xf numFmtId="164" fontId="11" fillId="2" borderId="24" xfId="0" applyNumberFormat="1" applyFont="1" applyFill="1" applyBorder="1" applyAlignment="1" applyProtection="1">
      <alignment horizontal="center" vertical="center"/>
    </xf>
    <xf numFmtId="3" fontId="11" fillId="2" borderId="24" xfId="0" applyNumberFormat="1" applyFont="1" applyFill="1" applyBorder="1" applyAlignment="1" applyProtection="1">
      <alignment horizontal="center" vertical="center"/>
    </xf>
    <xf numFmtId="164" fontId="11" fillId="2" borderId="24" xfId="0" applyNumberFormat="1" applyFont="1" applyFill="1" applyBorder="1" applyAlignment="1" applyProtection="1">
      <alignment horizontal="left" vertical="center"/>
    </xf>
    <xf numFmtId="10" fontId="11" fillId="2" borderId="24" xfId="0" applyNumberFormat="1" applyFont="1" applyFill="1" applyBorder="1" applyAlignment="1" applyProtection="1">
      <alignment horizontal="left" vertical="center"/>
    </xf>
    <xf numFmtId="0" fontId="11" fillId="2" borderId="24" xfId="0" applyFont="1" applyFill="1" applyBorder="1" applyAlignment="1" applyProtection="1">
      <alignment horizontal="left" vertical="center"/>
    </xf>
    <xf numFmtId="0" fontId="11" fillId="2" borderId="37" xfId="0" applyFont="1" applyFill="1" applyBorder="1" applyAlignment="1" applyProtection="1">
      <alignment horizontal="left" vertical="center"/>
    </xf>
    <xf numFmtId="0" fontId="11" fillId="0" borderId="0" xfId="0" applyFont="1" applyBorder="1" applyAlignment="1">
      <alignment horizontal="right" indent="2"/>
    </xf>
    <xf numFmtId="3" fontId="4" fillId="0" borderId="0" xfId="0" applyNumberFormat="1" applyFont="1" applyBorder="1" applyAlignment="1">
      <alignment horizontal="center"/>
    </xf>
    <xf numFmtId="10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left"/>
    </xf>
    <xf numFmtId="10" fontId="4" fillId="0" borderId="0" xfId="0" applyNumberFormat="1" applyFont="1" applyBorder="1" applyAlignment="1">
      <alignment horizontal="left"/>
    </xf>
    <xf numFmtId="0" fontId="28" fillId="0" borderId="39" xfId="0" applyFont="1" applyBorder="1" applyAlignment="1">
      <alignment horizontal="right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4" fillId="0" borderId="0" xfId="0" applyFont="1" applyAlignment="1">
      <alignment horizontal="right" indent="3"/>
    </xf>
    <xf numFmtId="10" fontId="4" fillId="0" borderId="0" xfId="0" applyNumberFormat="1" applyFont="1" applyFill="1" applyBorder="1" applyAlignment="1">
      <alignment horizontal="right" indent="2"/>
    </xf>
    <xf numFmtId="0" fontId="26" fillId="0" borderId="43" xfId="0" applyFont="1" applyBorder="1"/>
    <xf numFmtId="0" fontId="26" fillId="0" borderId="3" xfId="0" applyFont="1" applyBorder="1" applyAlignment="1">
      <alignment horizontal="right"/>
    </xf>
    <xf numFmtId="0" fontId="0" fillId="0" borderId="0" xfId="0" applyFill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11" fillId="4" borderId="0" xfId="0" applyFont="1" applyFill="1" applyAlignment="1">
      <alignment horizontal="center" vertical="center"/>
    </xf>
    <xf numFmtId="166" fontId="4" fillId="8" borderId="23" xfId="0" applyNumberFormat="1" applyFont="1" applyFill="1" applyBorder="1"/>
    <xf numFmtId="166" fontId="4" fillId="8" borderId="0" xfId="0" applyNumberFormat="1" applyFont="1" applyFill="1" applyBorder="1"/>
    <xf numFmtId="167" fontId="11" fillId="2" borderId="1" xfId="0" applyNumberFormat="1" applyFont="1" applyFill="1" applyBorder="1" applyAlignment="1" applyProtection="1">
      <alignment horizontal="right" vertical="center"/>
    </xf>
    <xf numFmtId="0" fontId="4" fillId="5" borderId="11" xfId="0" applyFont="1" applyFill="1" applyBorder="1" applyAlignment="1">
      <alignment horizontal="left" indent="1"/>
    </xf>
    <xf numFmtId="0" fontId="4" fillId="5" borderId="0" xfId="0" applyFont="1" applyFill="1" applyBorder="1" applyAlignment="1">
      <alignment horizontal="left" indent="1"/>
    </xf>
    <xf numFmtId="0" fontId="4" fillId="5" borderId="3" xfId="0" applyFont="1" applyFill="1" applyBorder="1" applyAlignment="1">
      <alignment horizontal="left" indent="1"/>
    </xf>
    <xf numFmtId="0" fontId="4" fillId="5" borderId="5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5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14" borderId="4" xfId="0" applyFont="1" applyFill="1" applyBorder="1" applyAlignment="1">
      <alignment horizontal="left" indent="1"/>
    </xf>
    <xf numFmtId="0" fontId="4" fillId="15" borderId="12" xfId="0" applyFont="1" applyFill="1" applyBorder="1" applyAlignment="1">
      <alignment horizontal="left" indent="1"/>
    </xf>
    <xf numFmtId="0" fontId="4" fillId="15" borderId="14" xfId="0" applyFont="1" applyFill="1" applyBorder="1" applyAlignment="1">
      <alignment horizontal="left" indent="1"/>
    </xf>
    <xf numFmtId="0" fontId="4" fillId="15" borderId="12" xfId="0" applyFont="1" applyFill="1" applyBorder="1" applyAlignment="1">
      <alignment horizontal="right" indent="1"/>
    </xf>
    <xf numFmtId="0" fontId="4" fillId="15" borderId="14" xfId="0" applyFont="1" applyFill="1" applyBorder="1" applyAlignment="1">
      <alignment horizontal="right" indent="1"/>
    </xf>
    <xf numFmtId="0" fontId="11" fillId="0" borderId="2" xfId="0" applyFont="1" applyFill="1" applyBorder="1" applyAlignment="1" applyProtection="1">
      <alignment horizontal="right" vertical="center" wrapText="1" indent="1"/>
    </xf>
    <xf numFmtId="166" fontId="11" fillId="0" borderId="44" xfId="0" applyNumberFormat="1" applyFont="1" applyFill="1" applyBorder="1" applyAlignment="1" applyProtection="1">
      <alignment horizontal="right" vertical="center" indent="1"/>
    </xf>
    <xf numFmtId="166" fontId="11" fillId="8" borderId="45" xfId="0" applyNumberFormat="1" applyFont="1" applyFill="1" applyBorder="1" applyAlignment="1">
      <alignment horizontal="right" indent="1"/>
    </xf>
    <xf numFmtId="166" fontId="11" fillId="8" borderId="44" xfId="0" applyNumberFormat="1" applyFont="1" applyFill="1" applyBorder="1" applyAlignment="1">
      <alignment horizontal="right" indent="1"/>
    </xf>
    <xf numFmtId="0" fontId="81" fillId="0" borderId="12" xfId="0" applyFont="1" applyBorder="1"/>
    <xf numFmtId="0" fontId="0" fillId="0" borderId="12" xfId="0" applyBorder="1"/>
    <xf numFmtId="0" fontId="0" fillId="0" borderId="14" xfId="0" applyBorder="1" applyAlignment="1">
      <alignment horizontal="left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3" fontId="4" fillId="0" borderId="9" xfId="0" applyNumberFormat="1" applyFont="1" applyBorder="1"/>
    <xf numFmtId="3" fontId="11" fillId="10" borderId="1" xfId="0" applyNumberFormat="1" applyFont="1" applyFill="1" applyBorder="1"/>
    <xf numFmtId="0" fontId="11" fillId="0" borderId="1" xfId="0" applyFont="1" applyBorder="1" applyAlignment="1">
      <alignment horizontal="center" vertical="center" wrapText="1"/>
    </xf>
    <xf numFmtId="0" fontId="4" fillId="0" borderId="46" xfId="0" applyFont="1" applyFill="1" applyBorder="1"/>
    <xf numFmtId="0" fontId="0" fillId="0" borderId="46" xfId="0" applyFont="1" applyFill="1" applyBorder="1"/>
    <xf numFmtId="0" fontId="4" fillId="0" borderId="46" xfId="0" applyFont="1" applyFill="1" applyBorder="1" applyAlignment="1">
      <alignment horizontal="right" vertical="center"/>
    </xf>
    <xf numFmtId="0" fontId="11" fillId="2" borderId="11" xfId="0" applyFont="1" applyFill="1" applyBorder="1" applyAlignment="1" applyProtection="1">
      <alignment horizontal="center" vertical="center" wrapText="1"/>
    </xf>
    <xf numFmtId="10" fontId="4" fillId="0" borderId="0" xfId="0" applyNumberFormat="1" applyFont="1" applyFill="1" applyBorder="1" applyAlignment="1" applyProtection="1">
      <alignment horizontal="right" vertical="center"/>
    </xf>
    <xf numFmtId="10" fontId="4" fillId="0" borderId="0" xfId="0" applyNumberFormat="1" applyFont="1" applyFill="1" applyBorder="1" applyAlignment="1"/>
    <xf numFmtId="10" fontId="11" fillId="2" borderId="1" xfId="0" applyNumberFormat="1" applyFont="1" applyFill="1" applyBorder="1" applyAlignment="1" applyProtection="1">
      <alignment horizontal="right" vertical="center"/>
    </xf>
    <xf numFmtId="0" fontId="82" fillId="0" borderId="0" xfId="0" applyFont="1" applyFill="1" applyBorder="1" applyAlignment="1">
      <alignment horizontal="left" vertical="center"/>
    </xf>
    <xf numFmtId="4" fontId="82" fillId="0" borderId="0" xfId="0" applyNumberFormat="1" applyFont="1" applyFill="1" applyBorder="1" applyAlignment="1">
      <alignment horizontal="left"/>
    </xf>
    <xf numFmtId="0" fontId="0" fillId="0" borderId="11" xfId="0" applyBorder="1"/>
    <xf numFmtId="10" fontId="11" fillId="2" borderId="37" xfId="0" applyNumberFormat="1" applyFont="1" applyFill="1" applyBorder="1" applyAlignment="1" applyProtection="1">
      <alignment horizontal="right" vertical="center"/>
    </xf>
    <xf numFmtId="0" fontId="11" fillId="4" borderId="11" xfId="0" applyFont="1" applyFill="1" applyBorder="1" applyAlignment="1" applyProtection="1">
      <alignment horizontal="center" vertical="center" wrapText="1"/>
    </xf>
    <xf numFmtId="164" fontId="11" fillId="2" borderId="59" xfId="0" applyNumberFormat="1" applyFont="1" applyFill="1" applyBorder="1" applyAlignment="1" applyProtection="1">
      <alignment horizontal="right" vertical="center"/>
    </xf>
    <xf numFmtId="0" fontId="11" fillId="2" borderId="60" xfId="0" applyFont="1" applyFill="1" applyBorder="1" applyAlignment="1" applyProtection="1">
      <alignment horizontal="center" vertical="center" wrapText="1"/>
    </xf>
    <xf numFmtId="4" fontId="78" fillId="0" borderId="0" xfId="0" applyNumberFormat="1" applyFont="1" applyFill="1" applyBorder="1" applyAlignment="1">
      <alignment horizontal="left"/>
    </xf>
    <xf numFmtId="164" fontId="11" fillId="2" borderId="36" xfId="0" applyNumberFormat="1" applyFont="1" applyFill="1" applyBorder="1" applyAlignment="1" applyProtection="1">
      <alignment horizontal="right" vertical="center"/>
    </xf>
    <xf numFmtId="0" fontId="11" fillId="0" borderId="12" xfId="0" applyFont="1" applyFill="1" applyBorder="1" applyAlignment="1" applyProtection="1">
      <alignment horizontal="right" vertical="center" wrapText="1"/>
    </xf>
    <xf numFmtId="0" fontId="11" fillId="0" borderId="13" xfId="0" applyFont="1" applyFill="1" applyBorder="1" applyAlignment="1" applyProtection="1">
      <alignment horizontal="right" vertical="center" wrapText="1"/>
    </xf>
    <xf numFmtId="166" fontId="4" fillId="0" borderId="12" xfId="0" applyNumberFormat="1" applyFont="1" applyFill="1" applyBorder="1" applyAlignment="1"/>
    <xf numFmtId="166" fontId="4" fillId="0" borderId="13" xfId="0" applyNumberFormat="1" applyFont="1" applyFill="1" applyBorder="1"/>
    <xf numFmtId="166" fontId="4" fillId="0" borderId="41" xfId="0" applyNumberFormat="1" applyFont="1" applyFill="1" applyBorder="1"/>
    <xf numFmtId="0" fontId="38" fillId="0" borderId="15" xfId="0" applyFont="1" applyFill="1" applyBorder="1" applyAlignment="1">
      <alignment horizontal="left"/>
    </xf>
    <xf numFmtId="0" fontId="76" fillId="0" borderId="0" xfId="4"/>
    <xf numFmtId="0" fontId="83" fillId="0" borderId="37" xfId="4" applyFont="1" applyFill="1" applyBorder="1" applyAlignment="1">
      <alignment horizontal="center" vertical="center"/>
    </xf>
    <xf numFmtId="0" fontId="83" fillId="0" borderId="15" xfId="4" applyFont="1" applyBorder="1" applyAlignment="1">
      <alignment horizontal="center" vertical="center"/>
    </xf>
    <xf numFmtId="0" fontId="83" fillId="0" borderId="13" xfId="4" applyFont="1" applyBorder="1" applyAlignment="1">
      <alignment horizontal="center" vertical="center"/>
    </xf>
    <xf numFmtId="0" fontId="84" fillId="0" borderId="0" xfId="0" applyFont="1"/>
    <xf numFmtId="0" fontId="81" fillId="0" borderId="0" xfId="0" applyFont="1"/>
    <xf numFmtId="0" fontId="81" fillId="0" borderId="0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4" fillId="16" borderId="0" xfId="0" applyFont="1" applyFill="1" applyBorder="1" applyAlignment="1" applyProtection="1">
      <alignment vertical="center"/>
    </xf>
    <xf numFmtId="4" fontId="4" fillId="16" borderId="0" xfId="0" applyNumberFormat="1" applyFont="1" applyFill="1" applyBorder="1" applyAlignment="1">
      <alignment horizontal="right"/>
    </xf>
    <xf numFmtId="3" fontId="4" fillId="0" borderId="0" xfId="0" applyNumberFormat="1" applyFont="1" applyAlignment="1">
      <alignment horizontal="right"/>
    </xf>
    <xf numFmtId="49" fontId="11" fillId="0" borderId="7" xfId="0" applyNumberFormat="1" applyFont="1" applyBorder="1" applyAlignment="1">
      <alignment horizontal="left"/>
    </xf>
    <xf numFmtId="49" fontId="11" fillId="0" borderId="8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left"/>
    </xf>
    <xf numFmtId="49" fontId="11" fillId="0" borderId="8" xfId="0" applyNumberFormat="1" applyFont="1" applyBorder="1" applyAlignment="1">
      <alignment horizontal="left" wrapText="1"/>
    </xf>
    <xf numFmtId="0" fontId="0" fillId="0" borderId="0" xfId="0" applyFill="1" applyAlignment="1">
      <alignment vertical="center"/>
    </xf>
    <xf numFmtId="0" fontId="77" fillId="0" borderId="0" xfId="0" applyFont="1" applyFill="1"/>
    <xf numFmtId="0" fontId="4" fillId="4" borderId="0" xfId="0" applyFont="1" applyFill="1" applyAlignment="1">
      <alignment horizontal="left" vertical="top" textRotation="90" wrapText="1"/>
    </xf>
    <xf numFmtId="0" fontId="85" fillId="0" borderId="0" xfId="4" applyFont="1" applyAlignment="1">
      <alignment vertical="center"/>
    </xf>
    <xf numFmtId="0" fontId="85" fillId="0" borderId="0" xfId="4" applyFont="1" applyFill="1" applyBorder="1" applyAlignment="1">
      <alignment vertical="center"/>
    </xf>
    <xf numFmtId="10" fontId="4" fillId="8" borderId="23" xfId="0" applyNumberFormat="1" applyFont="1" applyFill="1" applyBorder="1"/>
    <xf numFmtId="10" fontId="4" fillId="8" borderId="0" xfId="0" applyNumberFormat="1" applyFont="1" applyFill="1" applyBorder="1"/>
    <xf numFmtId="10" fontId="4" fillId="8" borderId="48" xfId="0" applyNumberFormat="1" applyFont="1" applyFill="1" applyBorder="1"/>
    <xf numFmtId="10" fontId="4" fillId="8" borderId="13" xfId="0" applyNumberFormat="1" applyFont="1" applyFill="1" applyBorder="1"/>
    <xf numFmtId="0" fontId="11" fillId="17" borderId="0" xfId="0" applyFont="1" applyFill="1" applyAlignment="1">
      <alignment horizontal="center"/>
    </xf>
    <xf numFmtId="3" fontId="11" fillId="17" borderId="0" xfId="0" applyNumberFormat="1" applyFont="1" applyFill="1" applyAlignment="1">
      <alignment horizontal="center"/>
    </xf>
    <xf numFmtId="3" fontId="38" fillId="0" borderId="14" xfId="0" applyNumberFormat="1" applyFont="1" applyFill="1" applyBorder="1" applyAlignment="1">
      <alignment horizontal="right"/>
    </xf>
    <xf numFmtId="0" fontId="51" fillId="0" borderId="0" xfId="0" applyFont="1"/>
    <xf numFmtId="0" fontId="48" fillId="0" borderId="49" xfId="0" applyFont="1" applyBorder="1"/>
    <xf numFmtId="0" fontId="38" fillId="0" borderId="3" xfId="0" applyFont="1" applyFill="1" applyBorder="1" applyAlignment="1">
      <alignment horizontal="left"/>
    </xf>
    <xf numFmtId="0" fontId="48" fillId="0" borderId="32" xfId="0" applyFont="1" applyBorder="1"/>
    <xf numFmtId="0" fontId="48" fillId="0" borderId="26" xfId="0" applyFont="1" applyBorder="1"/>
    <xf numFmtId="0" fontId="48" fillId="0" borderId="50" xfId="0" applyFont="1" applyBorder="1"/>
    <xf numFmtId="0" fontId="0" fillId="0" borderId="13" xfId="0" applyFill="1" applyBorder="1"/>
    <xf numFmtId="0" fontId="0" fillId="0" borderId="15" xfId="0" applyFill="1" applyBorder="1"/>
    <xf numFmtId="0" fontId="0" fillId="0" borderId="25" xfId="0" applyFill="1" applyBorder="1"/>
    <xf numFmtId="0" fontId="0" fillId="0" borderId="27" xfId="0" applyFill="1" applyBorder="1"/>
    <xf numFmtId="0" fontId="4" fillId="2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10" fontId="40" fillId="0" borderId="26" xfId="0" applyNumberFormat="1" applyFont="1" applyBorder="1" applyAlignment="1">
      <alignment horizontal="right" indent="1"/>
    </xf>
    <xf numFmtId="167" fontId="86" fillId="2" borderId="1" xfId="0" applyNumberFormat="1" applyFont="1" applyFill="1" applyBorder="1" applyAlignment="1" applyProtection="1">
      <alignment horizontal="right" vertical="center"/>
    </xf>
    <xf numFmtId="0" fontId="86" fillId="0" borderId="2" xfId="0" applyFont="1" applyFill="1" applyBorder="1" applyAlignment="1" applyProtection="1">
      <alignment horizontal="right" vertical="center" wrapText="1" indent="1"/>
    </xf>
    <xf numFmtId="166" fontId="86" fillId="0" borderId="44" xfId="0" applyNumberFormat="1" applyFont="1" applyFill="1" applyBorder="1" applyAlignment="1" applyProtection="1">
      <alignment horizontal="right" vertical="center" indent="1"/>
    </xf>
    <xf numFmtId="166" fontId="86" fillId="8" borderId="45" xfId="0" applyNumberFormat="1" applyFont="1" applyFill="1" applyBorder="1" applyAlignment="1">
      <alignment horizontal="right" indent="1"/>
    </xf>
    <xf numFmtId="166" fontId="86" fillId="8" borderId="44" xfId="0" applyNumberFormat="1" applyFont="1" applyFill="1" applyBorder="1" applyAlignment="1">
      <alignment horizontal="right" indent="1"/>
    </xf>
    <xf numFmtId="166" fontId="86" fillId="8" borderId="6" xfId="0" applyNumberFormat="1" applyFont="1" applyFill="1" applyBorder="1" applyAlignment="1">
      <alignment horizontal="right" indent="1"/>
    </xf>
    <xf numFmtId="0" fontId="11" fillId="15" borderId="24" xfId="0" applyFont="1" applyFill="1" applyBorder="1" applyAlignment="1" applyProtection="1">
      <alignment horizontal="center" vertical="center" wrapText="1"/>
    </xf>
    <xf numFmtId="0" fontId="86" fillId="0" borderId="2" xfId="0" applyFont="1" applyFill="1" applyBorder="1" applyAlignment="1" applyProtection="1">
      <alignment horizontal="center" vertical="center" wrapText="1"/>
    </xf>
    <xf numFmtId="168" fontId="0" fillId="0" borderId="0" xfId="0" applyNumberFormat="1"/>
    <xf numFmtId="10" fontId="4" fillId="16" borderId="0" xfId="0" applyNumberFormat="1" applyFont="1" applyFill="1"/>
    <xf numFmtId="10" fontId="4" fillId="16" borderId="1" xfId="0" applyNumberFormat="1" applyFont="1" applyFill="1" applyBorder="1"/>
    <xf numFmtId="3" fontId="87" fillId="0" borderId="8" xfId="0" applyNumberFormat="1" applyFont="1" applyBorder="1" applyAlignment="1">
      <alignment horizontal="right" indent="1"/>
    </xf>
    <xf numFmtId="3" fontId="87" fillId="0" borderId="26" xfId="0" applyNumberFormat="1" applyFont="1" applyBorder="1" applyAlignment="1">
      <alignment horizontal="right"/>
    </xf>
    <xf numFmtId="3" fontId="87" fillId="0" borderId="51" xfId="0" applyNumberFormat="1" applyFont="1" applyBorder="1" applyAlignment="1">
      <alignment horizontal="right" indent="1"/>
    </xf>
    <xf numFmtId="3" fontId="87" fillId="0" borderId="29" xfId="0" applyNumberFormat="1" applyFont="1" applyBorder="1" applyAlignment="1">
      <alignment horizontal="right"/>
    </xf>
    <xf numFmtId="3" fontId="87" fillId="0" borderId="26" xfId="0" applyNumberFormat="1" applyFont="1" applyBorder="1" applyAlignment="1">
      <alignment horizontal="right" indent="1"/>
    </xf>
    <xf numFmtId="3" fontId="87" fillId="0" borderId="29" xfId="0" applyNumberFormat="1" applyFont="1" applyBorder="1" applyAlignment="1">
      <alignment horizontal="right" indent="1"/>
    </xf>
    <xf numFmtId="3" fontId="87" fillId="0" borderId="28" xfId="0" applyNumberFormat="1" applyFont="1" applyBorder="1" applyAlignment="1">
      <alignment horizontal="right" indent="1"/>
    </xf>
    <xf numFmtId="3" fontId="87" fillId="0" borderId="34" xfId="0" applyNumberFormat="1" applyFont="1" applyBorder="1" applyAlignment="1">
      <alignment horizontal="right" indent="1"/>
    </xf>
    <xf numFmtId="3" fontId="46" fillId="0" borderId="6" xfId="0" applyNumberFormat="1" applyFont="1" applyBorder="1" applyAlignment="1">
      <alignment horizontal="center" shrinkToFit="1"/>
    </xf>
    <xf numFmtId="3" fontId="46" fillId="0" borderId="3" xfId="0" applyNumberFormat="1" applyFont="1" applyBorder="1" applyAlignment="1">
      <alignment horizontal="right" shrinkToFit="1"/>
    </xf>
    <xf numFmtId="10" fontId="46" fillId="0" borderId="3" xfId="0" applyNumberFormat="1" applyFont="1" applyBorder="1" applyAlignment="1">
      <alignment horizontal="right" shrinkToFit="1"/>
    </xf>
    <xf numFmtId="10" fontId="47" fillId="0" borderId="15" xfId="0" applyNumberFormat="1" applyFont="1" applyBorder="1" applyAlignment="1">
      <alignment horizontal="center" shrinkToFit="1"/>
    </xf>
    <xf numFmtId="10" fontId="64" fillId="0" borderId="3" xfId="0" applyNumberFormat="1" applyFont="1" applyBorder="1" applyAlignment="1">
      <alignment horizontal="center" shrinkToFit="1"/>
    </xf>
    <xf numFmtId="3" fontId="46" fillId="0" borderId="14" xfId="0" applyNumberFormat="1" applyFont="1" applyBorder="1" applyAlignment="1">
      <alignment horizontal="right" shrinkToFit="1"/>
    </xf>
    <xf numFmtId="10" fontId="63" fillId="0" borderId="3" xfId="0" applyNumberFormat="1" applyFont="1" applyBorder="1" applyAlignment="1">
      <alignment shrinkToFit="1"/>
    </xf>
    <xf numFmtId="4" fontId="88" fillId="0" borderId="0" xfId="0" applyNumberFormat="1" applyFont="1" applyFill="1" applyBorder="1" applyAlignment="1">
      <alignment horizontal="left"/>
    </xf>
    <xf numFmtId="10" fontId="88" fillId="0" borderId="0" xfId="0" applyNumberFormat="1" applyFont="1" applyFill="1" applyBorder="1" applyAlignment="1">
      <alignment horizontal="right" indent="2"/>
    </xf>
    <xf numFmtId="2" fontId="4" fillId="0" borderId="0" xfId="0" applyNumberFormat="1" applyFont="1"/>
    <xf numFmtId="0" fontId="84" fillId="0" borderId="0" xfId="0" applyFont="1" applyAlignment="1">
      <alignment horizontal="right"/>
    </xf>
    <xf numFmtId="0" fontId="0" fillId="0" borderId="13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89" fillId="0" borderId="0" xfId="0" applyFont="1"/>
    <xf numFmtId="164" fontId="4" fillId="0" borderId="61" xfId="0" applyNumberFormat="1" applyFont="1" applyFill="1" applyBorder="1" applyAlignment="1" applyProtection="1">
      <alignment horizontal="right" vertical="center"/>
    </xf>
    <xf numFmtId="164" fontId="4" fillId="0" borderId="62" xfId="0" applyNumberFormat="1" applyFont="1" applyFill="1" applyBorder="1" applyAlignment="1" applyProtection="1">
      <alignment horizontal="right" vertical="center"/>
    </xf>
    <xf numFmtId="49" fontId="11" fillId="0" borderId="0" xfId="0" applyNumberFormat="1" applyFont="1" applyFill="1" applyBorder="1" applyAlignment="1">
      <alignment horizontal="left"/>
    </xf>
    <xf numFmtId="49" fontId="11" fillId="0" borderId="0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0" fontId="0" fillId="0" borderId="7" xfId="0" applyFont="1" applyBorder="1" applyAlignment="1">
      <alignment horizontal="center"/>
    </xf>
    <xf numFmtId="49" fontId="4" fillId="0" borderId="8" xfId="0" applyNumberFormat="1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49" fontId="11" fillId="0" borderId="7" xfId="0" applyNumberFormat="1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3" fontId="4" fillId="0" borderId="0" xfId="0" applyNumberFormat="1" applyFont="1" applyFill="1" applyBorder="1" applyAlignment="1" applyProtection="1">
      <alignment horizontal="left" vertical="center"/>
    </xf>
    <xf numFmtId="0" fontId="75" fillId="0" borderId="0" xfId="0" applyFont="1" applyFill="1"/>
    <xf numFmtId="3" fontId="11" fillId="17" borderId="0" xfId="0" applyNumberFormat="1" applyFont="1" applyFill="1" applyBorder="1"/>
    <xf numFmtId="3" fontId="4" fillId="17" borderId="0" xfId="0" applyNumberFormat="1" applyFont="1" applyFill="1" applyBorder="1"/>
    <xf numFmtId="10" fontId="4" fillId="0" borderId="40" xfId="0" applyNumberFormat="1" applyFont="1" applyFill="1" applyBorder="1" applyAlignment="1" applyProtection="1">
      <alignment horizontal="right" vertical="center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0" xfId="0" applyFont="1" applyAlignment="1">
      <alignment horizontal="right"/>
    </xf>
    <xf numFmtId="0" fontId="90" fillId="0" borderId="0" xfId="0" applyFont="1" applyFill="1" applyBorder="1" applyAlignment="1" applyProtection="1">
      <alignment horizontal="right" vertical="center"/>
    </xf>
    <xf numFmtId="0" fontId="90" fillId="0" borderId="0" xfId="0" applyFont="1" applyFill="1" applyAlignment="1" applyProtection="1">
      <alignment horizontal="right" vertical="center"/>
    </xf>
    <xf numFmtId="10" fontId="4" fillId="8" borderId="3" xfId="0" applyNumberFormat="1" applyFont="1" applyFill="1" applyBorder="1"/>
    <xf numFmtId="0" fontId="4" fillId="0" borderId="0" xfId="0" applyFont="1" applyFill="1" applyAlignment="1" applyProtection="1">
      <alignment horizontal="right" vertical="center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left" indent="1"/>
    </xf>
    <xf numFmtId="49" fontId="11" fillId="0" borderId="7" xfId="0" applyNumberFormat="1" applyFont="1" applyBorder="1" applyAlignment="1">
      <alignment horizontal="left" indent="2"/>
    </xf>
    <xf numFmtId="49" fontId="11" fillId="0" borderId="8" xfId="0" applyNumberFormat="1" applyFont="1" applyBorder="1" applyAlignment="1">
      <alignment horizontal="left" wrapText="1" indent="2"/>
    </xf>
    <xf numFmtId="49" fontId="11" fillId="0" borderId="8" xfId="0" applyNumberFormat="1" applyFont="1" applyBorder="1" applyAlignment="1">
      <alignment horizontal="left" indent="2"/>
    </xf>
    <xf numFmtId="49" fontId="11" fillId="0" borderId="9" xfId="0" applyNumberFormat="1" applyFont="1" applyBorder="1" applyAlignment="1">
      <alignment horizontal="left" indent="2"/>
    </xf>
    <xf numFmtId="49" fontId="11" fillId="0" borderId="7" xfId="0" applyNumberFormat="1" applyFont="1" applyBorder="1" applyAlignment="1">
      <alignment horizontal="center"/>
    </xf>
    <xf numFmtId="10" fontId="4" fillId="17" borderId="0" xfId="0" applyNumberFormat="1" applyFont="1" applyFill="1"/>
    <xf numFmtId="0" fontId="4" fillId="17" borderId="0" xfId="0" applyFont="1" applyFill="1"/>
    <xf numFmtId="3" fontId="4" fillId="17" borderId="0" xfId="0" applyNumberFormat="1" applyFont="1" applyFill="1"/>
    <xf numFmtId="0" fontId="4" fillId="18" borderId="0" xfId="0" applyFont="1" applyFill="1"/>
    <xf numFmtId="3" fontId="4" fillId="18" borderId="0" xfId="0" applyNumberFormat="1" applyFont="1" applyFill="1"/>
    <xf numFmtId="10" fontId="4" fillId="18" borderId="0" xfId="0" applyNumberFormat="1" applyFont="1" applyFill="1"/>
    <xf numFmtId="3" fontId="4" fillId="17" borderId="11" xfId="0" applyNumberFormat="1" applyFont="1" applyFill="1" applyBorder="1"/>
    <xf numFmtId="3" fontId="78" fillId="18" borderId="0" xfId="0" applyNumberFormat="1" applyFont="1" applyFill="1"/>
    <xf numFmtId="0" fontId="93" fillId="19" borderId="0" xfId="0" applyFont="1" applyFill="1" applyAlignment="1">
      <alignment horizontal="center"/>
    </xf>
    <xf numFmtId="0" fontId="0" fillId="19" borderId="0" xfId="0" applyFill="1" applyAlignment="1">
      <alignment vertical="center"/>
    </xf>
    <xf numFmtId="0" fontId="0" fillId="19" borderId="0" xfId="0" applyFill="1"/>
    <xf numFmtId="0" fontId="53" fillId="19" borderId="0" xfId="1" applyFont="1" applyFill="1" applyAlignment="1" applyProtection="1">
      <alignment horizontal="center" vertical="center"/>
      <protection locked="0"/>
    </xf>
    <xf numFmtId="0" fontId="56" fillId="19" borderId="0" xfId="0" applyFont="1" applyFill="1" applyAlignment="1">
      <alignment horizontal="center"/>
    </xf>
    <xf numFmtId="0" fontId="57" fillId="19" borderId="0" xfId="0" applyFont="1" applyFill="1" applyAlignment="1">
      <alignment horizontal="center" vertical="center"/>
    </xf>
    <xf numFmtId="0" fontId="51" fillId="19" borderId="0" xfId="0" applyFont="1" applyFill="1" applyAlignment="1">
      <alignment vertical="center"/>
    </xf>
    <xf numFmtId="0" fontId="58" fillId="19" borderId="0" xfId="0" applyFont="1" applyFill="1" applyAlignment="1">
      <alignment horizontal="center" vertical="center"/>
    </xf>
    <xf numFmtId="0" fontId="55" fillId="19" borderId="0" xfId="0" applyFont="1" applyFill="1" applyAlignment="1"/>
    <xf numFmtId="0" fontId="51" fillId="19" borderId="0" xfId="0" applyFont="1" applyFill="1"/>
    <xf numFmtId="0" fontId="4" fillId="19" borderId="0" xfId="0" applyFont="1" applyFill="1" applyBorder="1"/>
    <xf numFmtId="0" fontId="58" fillId="19" borderId="0" xfId="0" applyFont="1" applyFill="1" applyAlignment="1">
      <alignment horizontal="center"/>
    </xf>
    <xf numFmtId="0" fontId="33" fillId="19" borderId="0" xfId="0" applyFont="1" applyFill="1" applyBorder="1" applyAlignment="1">
      <alignment horizontal="center" vertical="center" wrapText="1"/>
    </xf>
    <xf numFmtId="0" fontId="43" fillId="19" borderId="0" xfId="0" applyFont="1" applyFill="1" applyBorder="1" applyAlignment="1">
      <alignment horizontal="center" vertical="center" wrapText="1"/>
    </xf>
    <xf numFmtId="0" fontId="33" fillId="19" borderId="0" xfId="0" applyFont="1" applyFill="1" applyBorder="1" applyAlignment="1">
      <alignment horizontal="center" vertical="top" wrapText="1"/>
    </xf>
    <xf numFmtId="0" fontId="50" fillId="19" borderId="0" xfId="0" applyFont="1" applyFill="1" applyBorder="1" applyAlignment="1">
      <alignment horizontal="center"/>
    </xf>
    <xf numFmtId="0" fontId="36" fillId="19" borderId="0" xfId="0" applyFont="1" applyFill="1" applyBorder="1" applyAlignment="1">
      <alignment vertical="center"/>
    </xf>
    <xf numFmtId="0" fontId="40" fillId="19" borderId="0" xfId="0" applyFont="1" applyFill="1" applyBorder="1" applyAlignment="1">
      <alignment horizontal="center" vertical="center" wrapText="1"/>
    </xf>
    <xf numFmtId="0" fontId="4" fillId="19" borderId="0" xfId="0" applyFont="1" applyFill="1" applyBorder="1" applyAlignment="1">
      <alignment horizontal="left" vertical="center" wrapText="1" indent="2"/>
    </xf>
    <xf numFmtId="165" fontId="15" fillId="19" borderId="0" xfId="0" applyNumberFormat="1" applyFont="1" applyFill="1" applyBorder="1" applyAlignment="1">
      <alignment horizontal="right" vertical="center" indent="1"/>
    </xf>
    <xf numFmtId="0" fontId="15" fillId="19" borderId="0" xfId="0" applyFont="1" applyFill="1" applyBorder="1" applyAlignment="1">
      <alignment horizontal="left" vertical="center" wrapText="1" indent="2"/>
    </xf>
    <xf numFmtId="165" fontId="17" fillId="19" borderId="0" xfId="0" applyNumberFormat="1" applyFont="1" applyFill="1" applyBorder="1" applyAlignment="1">
      <alignment horizontal="center"/>
    </xf>
    <xf numFmtId="165" fontId="61" fillId="19" borderId="0" xfId="0" applyNumberFormat="1" applyFont="1" applyFill="1" applyBorder="1" applyAlignment="1">
      <alignment horizontal="center" shrinkToFit="1"/>
    </xf>
    <xf numFmtId="165" fontId="57" fillId="19" borderId="0" xfId="0" applyNumberFormat="1" applyFont="1" applyFill="1" applyBorder="1" applyAlignment="1">
      <alignment horizontal="center" shrinkToFit="1"/>
    </xf>
    <xf numFmtId="165" fontId="73" fillId="19" borderId="0" xfId="0" applyNumberFormat="1" applyFont="1" applyFill="1" applyBorder="1" applyAlignment="1">
      <alignment horizontal="center"/>
    </xf>
    <xf numFmtId="0" fontId="96" fillId="19" borderId="0" xfId="0" applyFont="1" applyFill="1" applyBorder="1" applyAlignment="1">
      <alignment horizontal="center" vertical="center"/>
    </xf>
    <xf numFmtId="0" fontId="95" fillId="19" borderId="0" xfId="0" applyFont="1" applyFill="1" applyBorder="1" applyAlignment="1">
      <alignment horizontal="center" vertical="center"/>
    </xf>
    <xf numFmtId="0" fontId="52" fillId="19" borderId="0" xfId="0" applyFont="1" applyFill="1" applyBorder="1" applyAlignment="1">
      <alignment horizontal="center" vertical="center"/>
    </xf>
    <xf numFmtId="0" fontId="42" fillId="19" borderId="0" xfId="0" applyFont="1" applyFill="1" applyBorder="1" applyAlignment="1">
      <alignment horizontal="center" vertical="center" wrapText="1"/>
    </xf>
    <xf numFmtId="0" fontId="34" fillId="19" borderId="0" xfId="0" applyFont="1" applyFill="1" applyBorder="1" applyAlignment="1">
      <alignment horizontal="center" vertical="center" wrapText="1"/>
    </xf>
    <xf numFmtId="0" fontId="52" fillId="19" borderId="0" xfId="0" applyFont="1" applyFill="1" applyBorder="1" applyAlignment="1">
      <alignment horizontal="center" vertical="center" wrapText="1"/>
    </xf>
    <xf numFmtId="0" fontId="0" fillId="19" borderId="0" xfId="0" applyFill="1" applyBorder="1"/>
    <xf numFmtId="0" fontId="34" fillId="19" borderId="70" xfId="0" applyFont="1" applyFill="1" applyBorder="1" applyAlignment="1">
      <alignment horizontal="center" vertical="center" wrapText="1"/>
    </xf>
    <xf numFmtId="165" fontId="34" fillId="19" borderId="71" xfId="0" applyNumberFormat="1" applyFont="1" applyFill="1" applyBorder="1" applyAlignment="1">
      <alignment horizontal="right" vertical="center" shrinkToFit="1"/>
    </xf>
    <xf numFmtId="0" fontId="58" fillId="19" borderId="0" xfId="0" applyFont="1" applyFill="1" applyBorder="1" applyAlignment="1">
      <alignment horizontal="center"/>
    </xf>
    <xf numFmtId="165" fontId="71" fillId="19" borderId="0" xfId="0" applyNumberFormat="1" applyFont="1" applyFill="1" applyBorder="1" applyAlignment="1">
      <alignment horizontal="right" vertical="center" shrinkToFit="1"/>
    </xf>
    <xf numFmtId="165" fontId="34" fillId="19" borderId="0" xfId="0" applyNumberFormat="1" applyFont="1" applyFill="1" applyBorder="1" applyAlignment="1">
      <alignment horizontal="right" vertical="center" shrinkToFit="1"/>
    </xf>
    <xf numFmtId="0" fontId="42" fillId="22" borderId="74" xfId="0" applyFont="1" applyFill="1" applyBorder="1" applyAlignment="1">
      <alignment horizontal="center" vertical="center" wrapText="1"/>
    </xf>
    <xf numFmtId="0" fontId="34" fillId="22" borderId="74" xfId="0" applyFont="1" applyFill="1" applyBorder="1" applyAlignment="1">
      <alignment horizontal="center" vertical="center" wrapText="1"/>
    </xf>
    <xf numFmtId="0" fontId="52" fillId="22" borderId="74" xfId="0" applyFont="1" applyFill="1" applyBorder="1" applyAlignment="1">
      <alignment horizontal="center" vertical="center" wrapText="1"/>
    </xf>
    <xf numFmtId="0" fontId="52" fillId="19" borderId="81" xfId="0" applyFont="1" applyFill="1" applyBorder="1" applyAlignment="1">
      <alignment horizontal="center" vertical="center" wrapText="1"/>
    </xf>
    <xf numFmtId="165" fontId="33" fillId="21" borderId="80" xfId="0" applyNumberFormat="1" applyFont="1" applyFill="1" applyBorder="1" applyAlignment="1">
      <alignment horizontal="right" vertical="center" shrinkToFit="1"/>
    </xf>
    <xf numFmtId="165" fontId="34" fillId="21" borderId="80" xfId="0" applyNumberFormat="1" applyFont="1" applyFill="1" applyBorder="1" applyAlignment="1">
      <alignment horizontal="right" vertical="center" shrinkToFit="1"/>
    </xf>
    <xf numFmtId="165" fontId="99" fillId="21" borderId="80" xfId="0" applyNumberFormat="1" applyFont="1" applyFill="1" applyBorder="1" applyAlignment="1">
      <alignment horizontal="right" vertical="center" indent="1"/>
    </xf>
    <xf numFmtId="0" fontId="102" fillId="19" borderId="85" xfId="0" applyFont="1" applyFill="1" applyBorder="1" applyAlignment="1">
      <alignment horizontal="center" vertical="center" wrapText="1"/>
    </xf>
    <xf numFmtId="165" fontId="37" fillId="19" borderId="85" xfId="0" applyNumberFormat="1" applyFont="1" applyFill="1" applyBorder="1" applyAlignment="1">
      <alignment horizontal="right" vertical="center" shrinkToFit="1"/>
    </xf>
    <xf numFmtId="165" fontId="71" fillId="19" borderId="85" xfId="0" applyNumberFormat="1" applyFont="1" applyFill="1" applyBorder="1" applyAlignment="1">
      <alignment horizontal="right" vertical="center" shrinkToFit="1"/>
    </xf>
    <xf numFmtId="165" fontId="72" fillId="19" borderId="85" xfId="0" applyNumberFormat="1" applyFont="1" applyFill="1" applyBorder="1" applyAlignment="1">
      <alignment horizontal="right" vertical="center" indent="1"/>
    </xf>
    <xf numFmtId="165" fontId="103" fillId="19" borderId="80" xfId="0" applyNumberFormat="1" applyFont="1" applyFill="1" applyBorder="1" applyAlignment="1">
      <alignment horizontal="right" vertical="center" shrinkToFit="1"/>
    </xf>
    <xf numFmtId="165" fontId="104" fillId="19" borderId="80" xfId="0" applyNumberFormat="1" applyFont="1" applyFill="1" applyBorder="1" applyAlignment="1">
      <alignment horizontal="right" vertical="center" shrinkToFit="1"/>
    </xf>
    <xf numFmtId="165" fontId="104" fillId="19" borderId="0" xfId="0" applyNumberFormat="1" applyFont="1" applyFill="1" applyBorder="1" applyAlignment="1">
      <alignment horizontal="right" vertical="center" shrinkToFit="1"/>
    </xf>
    <xf numFmtId="165" fontId="105" fillId="19" borderId="80" xfId="0" applyNumberFormat="1" applyFont="1" applyFill="1" applyBorder="1" applyAlignment="1">
      <alignment horizontal="right" vertical="center" indent="1"/>
    </xf>
    <xf numFmtId="0" fontId="106" fillId="0" borderId="80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center" vertical="center" wrapText="1"/>
    </xf>
    <xf numFmtId="165" fontId="103" fillId="19" borderId="0" xfId="0" applyNumberFormat="1" applyFont="1" applyFill="1" applyBorder="1" applyAlignment="1">
      <alignment horizontal="right" vertical="center" shrinkToFit="1"/>
    </xf>
    <xf numFmtId="165" fontId="37" fillId="19" borderId="0" xfId="0" applyNumberFormat="1" applyFont="1" applyFill="1" applyBorder="1" applyAlignment="1">
      <alignment horizontal="right" vertical="center" shrinkToFit="1"/>
    </xf>
    <xf numFmtId="165" fontId="105" fillId="19" borderId="0" xfId="0" applyNumberFormat="1" applyFont="1" applyFill="1" applyBorder="1" applyAlignment="1">
      <alignment horizontal="right" vertical="center" indent="1"/>
    </xf>
    <xf numFmtId="165" fontId="36" fillId="19" borderId="0" xfId="0" applyNumberFormat="1" applyFont="1" applyFill="1" applyBorder="1" applyAlignment="1">
      <alignment horizontal="right" vertical="center" indent="1"/>
    </xf>
    <xf numFmtId="0" fontId="106" fillId="0" borderId="65" xfId="0" applyFont="1" applyFill="1" applyBorder="1" applyAlignment="1">
      <alignment horizontal="center" vertical="center" wrapText="1"/>
    </xf>
    <xf numFmtId="165" fontId="103" fillId="19" borderId="65" xfId="0" applyNumberFormat="1" applyFont="1" applyFill="1" applyBorder="1" applyAlignment="1">
      <alignment horizontal="right" vertical="center" shrinkToFit="1"/>
    </xf>
    <xf numFmtId="165" fontId="33" fillId="23" borderId="65" xfId="0" applyNumberFormat="1" applyFont="1" applyFill="1" applyBorder="1" applyAlignment="1">
      <alignment horizontal="right" vertical="center" shrinkToFit="1"/>
    </xf>
    <xf numFmtId="165" fontId="104" fillId="19" borderId="65" xfId="0" applyNumberFormat="1" applyFont="1" applyFill="1" applyBorder="1" applyAlignment="1">
      <alignment horizontal="right" vertical="center" shrinkToFit="1"/>
    </xf>
    <xf numFmtId="165" fontId="34" fillId="23" borderId="65" xfId="0" applyNumberFormat="1" applyFont="1" applyFill="1" applyBorder="1" applyAlignment="1">
      <alignment horizontal="right" vertical="center" shrinkToFit="1"/>
    </xf>
    <xf numFmtId="165" fontId="105" fillId="19" borderId="65" xfId="0" applyNumberFormat="1" applyFont="1" applyFill="1" applyBorder="1" applyAlignment="1">
      <alignment horizontal="right" vertical="center" indent="1"/>
    </xf>
    <xf numFmtId="165" fontId="99" fillId="23" borderId="65" xfId="0" applyNumberFormat="1" applyFont="1" applyFill="1" applyBorder="1" applyAlignment="1">
      <alignment horizontal="right" vertical="center" indent="1"/>
    </xf>
    <xf numFmtId="0" fontId="56" fillId="19" borderId="0" xfId="0" applyFont="1" applyFill="1" applyBorder="1" applyAlignment="1">
      <alignment horizontal="center"/>
    </xf>
    <xf numFmtId="0" fontId="35" fillId="19" borderId="0" xfId="0" applyFont="1" applyFill="1" applyBorder="1" applyAlignment="1">
      <alignment horizontal="center" vertical="center" wrapText="1"/>
    </xf>
    <xf numFmtId="0" fontId="102" fillId="0" borderId="0" xfId="0" applyFont="1" applyFill="1" applyBorder="1" applyAlignment="1">
      <alignment horizontal="center" vertical="center" wrapText="1"/>
    </xf>
    <xf numFmtId="0" fontId="109" fillId="19" borderId="0" xfId="0" applyFont="1" applyFill="1" applyBorder="1"/>
    <xf numFmtId="165" fontId="103" fillId="27" borderId="90" xfId="0" applyNumberFormat="1" applyFont="1" applyFill="1" applyBorder="1" applyAlignment="1">
      <alignment horizontal="right" vertical="center" shrinkToFit="1"/>
    </xf>
    <xf numFmtId="165" fontId="104" fillId="27" borderId="90" xfId="0" applyNumberFormat="1" applyFont="1" applyFill="1" applyBorder="1" applyAlignment="1">
      <alignment horizontal="right" vertical="center" shrinkToFit="1"/>
    </xf>
    <xf numFmtId="165" fontId="105" fillId="27" borderId="90" xfId="0" applyNumberFormat="1" applyFont="1" applyFill="1" applyBorder="1" applyAlignment="1">
      <alignment horizontal="right" vertical="center" indent="1"/>
    </xf>
    <xf numFmtId="165" fontId="103" fillId="19" borderId="94" xfId="0" applyNumberFormat="1" applyFont="1" applyFill="1" applyBorder="1" applyAlignment="1">
      <alignment horizontal="right" vertical="center" shrinkToFit="1"/>
    </xf>
    <xf numFmtId="165" fontId="104" fillId="19" borderId="94" xfId="0" applyNumberFormat="1" applyFont="1" applyFill="1" applyBorder="1" applyAlignment="1">
      <alignment horizontal="right" vertical="center" shrinkToFit="1"/>
    </xf>
    <xf numFmtId="165" fontId="105" fillId="19" borderId="94" xfId="0" applyNumberFormat="1" applyFont="1" applyFill="1" applyBorder="1" applyAlignment="1">
      <alignment horizontal="right" vertical="center" indent="1"/>
    </xf>
    <xf numFmtId="0" fontId="106" fillId="0" borderId="94" xfId="0" applyFont="1" applyFill="1" applyBorder="1" applyAlignment="1">
      <alignment horizontal="center" vertical="center" wrapText="1"/>
    </xf>
    <xf numFmtId="0" fontId="65" fillId="19" borderId="0" xfId="0" applyFont="1" applyFill="1" applyAlignment="1">
      <alignment horizontal="center"/>
    </xf>
    <xf numFmtId="0" fontId="113" fillId="19" borderId="0" xfId="1" applyFont="1" applyFill="1" applyAlignment="1" applyProtection="1">
      <alignment horizontal="center" vertical="center"/>
      <protection locked="0"/>
    </xf>
    <xf numFmtId="0" fontId="77" fillId="19" borderId="0" xfId="0" applyFont="1" applyFill="1"/>
    <xf numFmtId="0" fontId="80" fillId="19" borderId="0" xfId="0" applyFont="1" applyFill="1" applyAlignment="1">
      <alignment horizontal="center"/>
    </xf>
    <xf numFmtId="0" fontId="79" fillId="19" borderId="0" xfId="0" applyFont="1" applyFill="1" applyAlignment="1">
      <alignment horizontal="center"/>
    </xf>
    <xf numFmtId="0" fontId="3" fillId="19" borderId="0" xfId="0" applyFont="1" applyFill="1"/>
    <xf numFmtId="0" fontId="66" fillId="19" borderId="0" xfId="0" applyFont="1" applyFill="1" applyAlignment="1"/>
    <xf numFmtId="0" fontId="97" fillId="19" borderId="89" xfId="0" applyFont="1" applyFill="1" applyBorder="1" applyAlignment="1">
      <alignment horizontal="center" vertical="center" wrapText="1" shrinkToFit="1"/>
    </xf>
    <xf numFmtId="0" fontId="97" fillId="19" borderId="89" xfId="0" applyFont="1" applyFill="1" applyBorder="1" applyAlignment="1">
      <alignment horizontal="center" vertical="center" wrapText="1"/>
    </xf>
    <xf numFmtId="0" fontId="33" fillId="19" borderId="89" xfId="0" applyFont="1" applyFill="1" applyBorder="1" applyAlignment="1">
      <alignment horizontal="center" vertical="center"/>
    </xf>
    <xf numFmtId="0" fontId="116" fillId="0" borderId="3" xfId="0" applyFont="1" applyFill="1" applyBorder="1" applyAlignment="1">
      <alignment horizontal="center" vertical="top" wrapText="1"/>
    </xf>
    <xf numFmtId="0" fontId="116" fillId="0" borderId="14" xfId="0" applyFont="1" applyFill="1" applyBorder="1" applyAlignment="1">
      <alignment horizontal="center" vertical="top" wrapText="1"/>
    </xf>
    <xf numFmtId="0" fontId="29" fillId="21" borderId="0" xfId="0" applyFont="1" applyFill="1"/>
    <xf numFmtId="0" fontId="0" fillId="21" borderId="0" xfId="0" applyFill="1"/>
    <xf numFmtId="0" fontId="24" fillId="21" borderId="0" xfId="0" applyFont="1" applyFill="1"/>
    <xf numFmtId="0" fontId="13" fillId="21" borderId="0" xfId="0" applyFont="1" applyFill="1" applyAlignment="1">
      <alignment horizontal="center" vertical="center"/>
    </xf>
    <xf numFmtId="0" fontId="117" fillId="21" borderId="0" xfId="0" applyFont="1" applyFill="1" applyAlignment="1">
      <alignment horizontal="right"/>
    </xf>
    <xf numFmtId="0" fontId="21" fillId="21" borderId="0" xfId="0" applyFont="1" applyFill="1" applyAlignment="1">
      <alignment horizontal="right"/>
    </xf>
    <xf numFmtId="0" fontId="118" fillId="21" borderId="0" xfId="0" applyFont="1" applyFill="1" applyAlignment="1">
      <alignment horizontal="right"/>
    </xf>
    <xf numFmtId="0" fontId="22" fillId="21" borderId="0" xfId="0" applyFont="1" applyFill="1" applyAlignment="1">
      <alignment horizontal="right"/>
    </xf>
    <xf numFmtId="0" fontId="49" fillId="21" borderId="0" xfId="0" applyFont="1" applyFill="1" applyAlignment="1"/>
    <xf numFmtId="0" fontId="0" fillId="21" borderId="0" xfId="0" applyFill="1" applyAlignment="1"/>
    <xf numFmtId="0" fontId="20" fillId="21" borderId="0" xfId="0" applyFont="1" applyFill="1" applyAlignment="1"/>
    <xf numFmtId="0" fontId="20" fillId="21" borderId="0" xfId="0" applyFont="1" applyFill="1" applyAlignment="1">
      <alignment horizontal="left"/>
    </xf>
    <xf numFmtId="0" fontId="31" fillId="21" borderId="0" xfId="0" applyFont="1" applyFill="1" applyAlignment="1"/>
    <xf numFmtId="0" fontId="0" fillId="28" borderId="17" xfId="0" applyFill="1" applyBorder="1"/>
    <xf numFmtId="0" fontId="0" fillId="28" borderId="16" xfId="0" applyFill="1" applyBorder="1"/>
    <xf numFmtId="0" fontId="18" fillId="28" borderId="18" xfId="0" applyFont="1" applyFill="1" applyBorder="1" applyAlignment="1">
      <alignment horizontal="left" vertical="center"/>
    </xf>
    <xf numFmtId="0" fontId="0" fillId="28" borderId="19" xfId="0" applyFill="1" applyBorder="1"/>
    <xf numFmtId="0" fontId="0" fillId="28" borderId="3" xfId="0" applyFill="1" applyBorder="1"/>
    <xf numFmtId="0" fontId="0" fillId="28" borderId="0" xfId="0" applyFill="1" applyBorder="1"/>
    <xf numFmtId="0" fontId="18" fillId="28" borderId="0" xfId="0" applyFont="1" applyFill="1" applyBorder="1" applyAlignment="1">
      <alignment horizontal="right" vertical="top"/>
    </xf>
    <xf numFmtId="0" fontId="51" fillId="28" borderId="0" xfId="0" applyFont="1" applyFill="1" applyBorder="1"/>
    <xf numFmtId="0" fontId="97" fillId="0" borderId="0" xfId="0" applyFont="1" applyBorder="1" applyAlignment="1">
      <alignment vertical="center" wrapText="1"/>
    </xf>
    <xf numFmtId="0" fontId="33" fillId="19" borderId="0" xfId="0" applyFont="1" applyFill="1" applyBorder="1" applyAlignment="1">
      <alignment horizontal="center" vertical="center"/>
    </xf>
    <xf numFmtId="0" fontId="97" fillId="0" borderId="104" xfId="0" applyFont="1" applyBorder="1" applyAlignment="1">
      <alignment vertical="center" wrapText="1"/>
    </xf>
    <xf numFmtId="0" fontId="97" fillId="0" borderId="104" xfId="0" applyFont="1" applyBorder="1" applyAlignment="1">
      <alignment vertical="center" wrapText="1" shrinkToFit="1"/>
    </xf>
    <xf numFmtId="0" fontId="76" fillId="21" borderId="4" xfId="4" applyFill="1" applyBorder="1"/>
    <xf numFmtId="0" fontId="99" fillId="21" borderId="4" xfId="4" applyFont="1" applyFill="1" applyBorder="1" applyAlignment="1">
      <alignment horizontal="center" vertical="center"/>
    </xf>
    <xf numFmtId="0" fontId="99" fillId="25" borderId="37" xfId="4" applyFont="1" applyFill="1" applyBorder="1" applyAlignment="1">
      <alignment horizontal="center" vertical="center"/>
    </xf>
    <xf numFmtId="0" fontId="50" fillId="20" borderId="4" xfId="4" applyFont="1" applyFill="1" applyBorder="1" applyAlignment="1">
      <alignment horizontal="center" vertical="center"/>
    </xf>
    <xf numFmtId="0" fontId="50" fillId="20" borderId="12" xfId="4" applyFont="1" applyFill="1" applyBorder="1" applyAlignment="1">
      <alignment horizontal="center" vertical="center"/>
    </xf>
    <xf numFmtId="0" fontId="50" fillId="20" borderId="14" xfId="4" applyFont="1" applyFill="1" applyBorder="1" applyAlignment="1">
      <alignment horizontal="center" vertical="center"/>
    </xf>
    <xf numFmtId="0" fontId="50" fillId="26" borderId="4" xfId="4" applyFont="1" applyFill="1" applyBorder="1" applyAlignment="1">
      <alignment horizontal="center" vertical="center"/>
    </xf>
    <xf numFmtId="0" fontId="50" fillId="26" borderId="12" xfId="4" applyFont="1" applyFill="1" applyBorder="1" applyAlignment="1">
      <alignment horizontal="center" vertical="center"/>
    </xf>
    <xf numFmtId="0" fontId="50" fillId="26" borderId="14" xfId="4" applyFont="1" applyFill="1" applyBorder="1" applyAlignment="1">
      <alignment horizontal="center" vertical="center"/>
    </xf>
    <xf numFmtId="0" fontId="128" fillId="24" borderId="36" xfId="4" applyFont="1" applyFill="1" applyBorder="1" applyAlignment="1">
      <alignment horizontal="center" vertical="center"/>
    </xf>
    <xf numFmtId="0" fontId="83" fillId="0" borderId="11" xfId="4" applyFont="1" applyBorder="1" applyAlignment="1">
      <alignment horizontal="left" vertical="center" indent="11"/>
    </xf>
    <xf numFmtId="0" fontId="83" fillId="0" borderId="0" xfId="4" applyFont="1" applyBorder="1" applyAlignment="1">
      <alignment horizontal="left" vertical="center" indent="11"/>
    </xf>
    <xf numFmtId="0" fontId="83" fillId="0" borderId="3" xfId="4" applyFont="1" applyBorder="1" applyAlignment="1">
      <alignment horizontal="left" vertical="center" indent="11"/>
    </xf>
    <xf numFmtId="0" fontId="83" fillId="0" borderId="24" xfId="4" applyFont="1" applyBorder="1" applyAlignment="1">
      <alignment horizontal="left" vertical="center" indent="11"/>
    </xf>
    <xf numFmtId="0" fontId="5" fillId="21" borderId="0" xfId="0" applyFont="1" applyFill="1"/>
    <xf numFmtId="0" fontId="12" fillId="21" borderId="0" xfId="0" applyFont="1" applyFill="1" applyAlignment="1">
      <alignment horizontal="center" vertical="center"/>
    </xf>
    <xf numFmtId="0" fontId="50" fillId="29" borderId="4" xfId="4" applyFont="1" applyFill="1" applyBorder="1" applyAlignment="1">
      <alignment horizontal="center" vertical="center"/>
    </xf>
    <xf numFmtId="0" fontId="50" fillId="29" borderId="12" xfId="4" applyFont="1" applyFill="1" applyBorder="1" applyAlignment="1">
      <alignment horizontal="center" vertical="center"/>
    </xf>
    <xf numFmtId="0" fontId="50" fillId="29" borderId="14" xfId="4" applyFont="1" applyFill="1" applyBorder="1" applyAlignment="1">
      <alignment horizontal="center" vertical="center"/>
    </xf>
    <xf numFmtId="0" fontId="44" fillId="21" borderId="0" xfId="0" applyFont="1" applyFill="1"/>
    <xf numFmtId="0" fontId="130" fillId="21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top"/>
    </xf>
    <xf numFmtId="0" fontId="131" fillId="0" borderId="0" xfId="6"/>
    <xf numFmtId="0" fontId="131" fillId="0" borderId="0" xfId="6" applyAlignment="1">
      <alignment vertical="center"/>
    </xf>
    <xf numFmtId="0" fontId="135" fillId="0" borderId="0" xfId="6" applyFont="1" applyAlignment="1">
      <alignment vertical="center"/>
    </xf>
    <xf numFmtId="0" fontId="132" fillId="0" borderId="0" xfId="6" applyFont="1"/>
    <xf numFmtId="0" fontId="135" fillId="0" borderId="106" xfId="6" applyFont="1" applyBorder="1"/>
    <xf numFmtId="0" fontId="135" fillId="0" borderId="106" xfId="6" applyFont="1" applyFill="1" applyBorder="1"/>
    <xf numFmtId="0" fontId="134" fillId="0" borderId="106" xfId="6" applyFont="1" applyBorder="1" applyAlignment="1"/>
    <xf numFmtId="0" fontId="135" fillId="33" borderId="107" xfId="6" applyFont="1" applyFill="1" applyBorder="1" applyAlignment="1">
      <alignment horizontal="left" vertical="center" wrapText="1"/>
    </xf>
    <xf numFmtId="0" fontId="135" fillId="33" borderId="108" xfId="6" applyFont="1" applyFill="1" applyBorder="1" applyAlignment="1">
      <alignment horizontal="left" vertical="center"/>
    </xf>
    <xf numFmtId="166" fontId="135" fillId="33" borderId="108" xfId="6" applyNumberFormat="1" applyFont="1" applyFill="1" applyBorder="1" applyAlignment="1">
      <alignment horizontal="center" vertical="center"/>
    </xf>
    <xf numFmtId="0" fontId="135" fillId="33" borderId="109" xfId="6" applyFont="1" applyFill="1" applyBorder="1" applyAlignment="1">
      <alignment horizontal="center" vertical="center" wrapText="1"/>
    </xf>
    <xf numFmtId="0" fontId="136" fillId="0" borderId="0" xfId="6" applyFont="1" applyAlignment="1">
      <alignment vertical="center"/>
    </xf>
    <xf numFmtId="169" fontId="137" fillId="32" borderId="110" xfId="6" applyNumberFormat="1" applyFont="1" applyFill="1" applyBorder="1" applyAlignment="1">
      <alignment horizontal="center" vertical="center" wrapText="1"/>
    </xf>
    <xf numFmtId="0" fontId="134" fillId="33" borderId="107" xfId="6" applyFont="1" applyFill="1" applyBorder="1" applyAlignment="1">
      <alignment vertical="center" wrapText="1"/>
    </xf>
    <xf numFmtId="166" fontId="134" fillId="33" borderId="109" xfId="6" applyNumberFormat="1" applyFont="1" applyFill="1" applyBorder="1" applyAlignment="1">
      <alignment horizontal="center" vertical="center"/>
    </xf>
    <xf numFmtId="0" fontId="135" fillId="0" borderId="0" xfId="6" applyFont="1" applyFill="1" applyBorder="1" applyAlignment="1">
      <alignment horizontal="left" vertical="center" indent="2"/>
    </xf>
    <xf numFmtId="0" fontId="135" fillId="33" borderId="111" xfId="6" applyFont="1" applyFill="1" applyBorder="1" applyAlignment="1">
      <alignment horizontal="left" vertical="center" indent="2"/>
    </xf>
    <xf numFmtId="0" fontId="135" fillId="0" borderId="0" xfId="6" applyFont="1" applyFill="1" applyAlignment="1">
      <alignment vertical="center"/>
    </xf>
    <xf numFmtId="0" fontId="134" fillId="0" borderId="0" xfId="6" applyFont="1" applyFill="1" applyBorder="1" applyAlignment="1">
      <alignment horizontal="left" vertical="center" wrapText="1" indent="2"/>
    </xf>
    <xf numFmtId="0" fontId="131" fillId="0" borderId="0" xfId="6" applyAlignment="1">
      <alignment vertical="center" wrapText="1"/>
    </xf>
    <xf numFmtId="0" fontId="136" fillId="0" borderId="0" xfId="6" applyFont="1" applyAlignment="1">
      <alignment vertical="center" wrapText="1"/>
    </xf>
    <xf numFmtId="0" fontId="135" fillId="0" borderId="0" xfId="6" applyFont="1" applyAlignment="1">
      <alignment horizontal="center" vertical="center"/>
    </xf>
    <xf numFmtId="0" fontId="135" fillId="0" borderId="0" xfId="6" applyFont="1" applyFill="1" applyAlignment="1">
      <alignment horizontal="left" vertical="center" indent="2"/>
    </xf>
    <xf numFmtId="0" fontId="135" fillId="0" borderId="0" xfId="6" applyFont="1" applyAlignment="1">
      <alignment horizontal="left" vertical="center" indent="2"/>
    </xf>
    <xf numFmtId="0" fontId="134" fillId="0" borderId="0" xfId="6" applyFont="1" applyFill="1" applyBorder="1" applyAlignment="1">
      <alignment horizontal="left" vertical="center" indent="2"/>
    </xf>
    <xf numFmtId="0" fontId="132" fillId="0" borderId="106" xfId="6" applyFont="1" applyBorder="1"/>
    <xf numFmtId="0" fontId="132" fillId="0" borderId="106" xfId="6" applyFont="1" applyFill="1" applyBorder="1"/>
    <xf numFmtId="0" fontId="139" fillId="0" borderId="106" xfId="6" applyFont="1" applyBorder="1" applyAlignment="1"/>
    <xf numFmtId="0" fontId="134" fillId="0" borderId="0" xfId="6" applyFont="1" applyAlignment="1">
      <alignment horizontal="center" vertical="center"/>
    </xf>
    <xf numFmtId="0" fontId="139" fillId="0" borderId="0" xfId="6" applyFont="1" applyBorder="1" applyAlignment="1">
      <alignment horizontal="left" indent="2"/>
    </xf>
    <xf numFmtId="0" fontId="140" fillId="0" borderId="0" xfId="6" applyFont="1" applyBorder="1" applyAlignment="1">
      <alignment vertical="center" wrapText="1"/>
    </xf>
    <xf numFmtId="0" fontId="141" fillId="0" borderId="0" xfId="6" applyFont="1" applyAlignment="1">
      <alignment horizontal="right" vertical="center" wrapText="1"/>
    </xf>
    <xf numFmtId="0" fontId="141" fillId="0" borderId="0" xfId="6" applyFont="1" applyAlignment="1">
      <alignment vertical="center" wrapText="1"/>
    </xf>
    <xf numFmtId="0" fontId="142" fillId="0" borderId="0" xfId="6" applyFont="1" applyAlignment="1"/>
    <xf numFmtId="0" fontId="139" fillId="0" borderId="0" xfId="6" applyFont="1" applyAlignment="1">
      <alignment horizontal="center"/>
    </xf>
    <xf numFmtId="0" fontId="132" fillId="0" borderId="0" xfId="6" applyFont="1" applyAlignment="1">
      <alignment vertical="top"/>
    </xf>
    <xf numFmtId="0" fontId="76" fillId="0" borderId="0" xfId="158"/>
    <xf numFmtId="0" fontId="76" fillId="0" borderId="0" xfId="158" applyBorder="1"/>
    <xf numFmtId="0" fontId="76" fillId="35" borderId="0" xfId="158" applyFill="1" applyBorder="1"/>
    <xf numFmtId="166" fontId="76" fillId="0" borderId="0" xfId="158" applyNumberFormat="1"/>
    <xf numFmtId="166" fontId="151" fillId="36" borderId="112" xfId="158" applyNumberFormat="1" applyFont="1" applyFill="1" applyBorder="1"/>
    <xf numFmtId="166" fontId="76" fillId="36" borderId="0" xfId="158" applyNumberFormat="1" applyFill="1"/>
    <xf numFmtId="165" fontId="151" fillId="36" borderId="112" xfId="158" applyNumberFormat="1" applyFont="1" applyFill="1" applyBorder="1"/>
    <xf numFmtId="165" fontId="151" fillId="35" borderId="44" xfId="158" applyNumberFormat="1" applyFont="1" applyFill="1" applyBorder="1"/>
    <xf numFmtId="166" fontId="151" fillId="37" borderId="112" xfId="158" applyNumberFormat="1" applyFont="1" applyFill="1" applyBorder="1"/>
    <xf numFmtId="166" fontId="76" fillId="37" borderId="0" xfId="158" applyNumberFormat="1" applyFill="1"/>
    <xf numFmtId="3" fontId="151" fillId="37" borderId="0" xfId="158" applyNumberFormat="1" applyFont="1" applyFill="1"/>
    <xf numFmtId="3" fontId="151" fillId="35" borderId="0" xfId="158" applyNumberFormat="1" applyFont="1" applyFill="1" applyBorder="1"/>
    <xf numFmtId="0" fontId="151" fillId="37" borderId="112" xfId="158" applyFont="1" applyFill="1" applyBorder="1"/>
    <xf numFmtId="3" fontId="76" fillId="14" borderId="9" xfId="158" applyNumberFormat="1" applyFill="1" applyBorder="1"/>
    <xf numFmtId="3" fontId="76" fillId="35" borderId="44" xfId="158" applyNumberFormat="1" applyFill="1" applyBorder="1"/>
    <xf numFmtId="0" fontId="76" fillId="14" borderId="9" xfId="158" applyFill="1" applyBorder="1"/>
    <xf numFmtId="0" fontId="78" fillId="0" borderId="0" xfId="158" applyFont="1"/>
    <xf numFmtId="3" fontId="76" fillId="14" borderId="8" xfId="158" applyNumberFormat="1" applyFill="1" applyBorder="1"/>
    <xf numFmtId="0" fontId="76" fillId="14" borderId="8" xfId="158" applyFill="1" applyBorder="1"/>
    <xf numFmtId="3" fontId="76" fillId="14" borderId="113" xfId="158" applyNumberFormat="1" applyFill="1" applyBorder="1"/>
    <xf numFmtId="170" fontId="76" fillId="0" borderId="0" xfId="158" applyNumberFormat="1"/>
    <xf numFmtId="166" fontId="151" fillId="0" borderId="0" xfId="158" applyNumberFormat="1" applyFont="1" applyBorder="1"/>
    <xf numFmtId="0" fontId="76" fillId="14" borderId="8" xfId="158" applyFont="1" applyFill="1" applyBorder="1"/>
    <xf numFmtId="166" fontId="151" fillId="0" borderId="114" xfId="158" applyNumberFormat="1" applyFont="1" applyBorder="1"/>
    <xf numFmtId="3" fontId="76" fillId="14" borderId="7" xfId="158" applyNumberFormat="1" applyFill="1" applyBorder="1"/>
    <xf numFmtId="0" fontId="4" fillId="14" borderId="8" xfId="158" applyFont="1" applyFill="1" applyBorder="1" applyAlignment="1">
      <alignment horizontal="left"/>
    </xf>
    <xf numFmtId="166" fontId="151" fillId="0" borderId="44" xfId="158" applyNumberFormat="1" applyFont="1" applyBorder="1"/>
    <xf numFmtId="3" fontId="76" fillId="0" borderId="8" xfId="158" applyNumberFormat="1" applyBorder="1"/>
    <xf numFmtId="3" fontId="76" fillId="0" borderId="115" xfId="158" applyNumberFormat="1" applyBorder="1"/>
    <xf numFmtId="0" fontId="76" fillId="0" borderId="8" xfId="158" applyBorder="1"/>
    <xf numFmtId="0" fontId="76" fillId="0" borderId="0" xfId="158" applyAlignment="1">
      <alignment horizontal="right"/>
    </xf>
    <xf numFmtId="166" fontId="151" fillId="0" borderId="116" xfId="158" applyNumberFormat="1" applyFont="1" applyBorder="1"/>
    <xf numFmtId="3" fontId="76" fillId="0" borderId="7" xfId="158" applyNumberFormat="1" applyBorder="1"/>
    <xf numFmtId="0" fontId="76" fillId="0" borderId="7" xfId="158" applyBorder="1"/>
    <xf numFmtId="0" fontId="151" fillId="32" borderId="112" xfId="158" applyFont="1" applyFill="1" applyBorder="1" applyAlignment="1">
      <alignment horizontal="right"/>
    </xf>
    <xf numFmtId="3" fontId="151" fillId="32" borderId="112" xfId="158" applyNumberFormat="1" applyFont="1" applyFill="1" applyBorder="1" applyAlignment="1">
      <alignment horizontal="right"/>
    </xf>
    <xf numFmtId="0" fontId="151" fillId="35" borderId="44" xfId="158" applyFont="1" applyFill="1" applyBorder="1" applyAlignment="1">
      <alignment horizontal="left"/>
    </xf>
    <xf numFmtId="0" fontId="151" fillId="32" borderId="112" xfId="158" applyFont="1" applyFill="1" applyBorder="1" applyAlignment="1">
      <alignment horizontal="left"/>
    </xf>
    <xf numFmtId="0" fontId="151" fillId="15" borderId="112" xfId="158" applyFont="1" applyFill="1" applyBorder="1" applyAlignment="1">
      <alignment horizontal="left"/>
    </xf>
    <xf numFmtId="0" fontId="78" fillId="0" borderId="0" xfId="158" applyFont="1" applyProtection="1">
      <protection locked="0"/>
    </xf>
    <xf numFmtId="166" fontId="151" fillId="37" borderId="117" xfId="158" applyNumberFormat="1" applyFont="1" applyFill="1" applyBorder="1"/>
    <xf numFmtId="3" fontId="76" fillId="0" borderId="9" xfId="158" applyNumberFormat="1" applyBorder="1"/>
    <xf numFmtId="0" fontId="76" fillId="35" borderId="44" xfId="158" applyFill="1" applyBorder="1"/>
    <xf numFmtId="0" fontId="76" fillId="0" borderId="9" xfId="158" applyBorder="1"/>
    <xf numFmtId="0" fontId="76" fillId="0" borderId="0" xfId="158" applyProtection="1">
      <protection locked="0"/>
    </xf>
    <xf numFmtId="0" fontId="76" fillId="0" borderId="15" xfId="158" applyBorder="1"/>
    <xf numFmtId="0" fontId="131" fillId="0" borderId="3" xfId="24" applyBorder="1" applyAlignment="1">
      <alignment horizontal="left" indent="1"/>
    </xf>
    <xf numFmtId="0" fontId="4" fillId="38" borderId="14" xfId="24" applyFont="1" applyFill="1" applyBorder="1" applyAlignment="1">
      <alignment horizontal="right" indent="1"/>
    </xf>
    <xf numFmtId="0" fontId="76" fillId="0" borderId="13" xfId="158" applyBorder="1"/>
    <xf numFmtId="0" fontId="131" fillId="0" borderId="0" xfId="24" applyBorder="1" applyAlignment="1">
      <alignment horizontal="left" indent="1"/>
    </xf>
    <xf numFmtId="0" fontId="4" fillId="38" borderId="12" xfId="24" applyFont="1" applyFill="1" applyBorder="1" applyAlignment="1">
      <alignment horizontal="right" indent="1"/>
    </xf>
    <xf numFmtId="0" fontId="76" fillId="0" borderId="118" xfId="158" applyBorder="1"/>
    <xf numFmtId="0" fontId="131" fillId="0" borderId="114" xfId="24" applyBorder="1" applyAlignment="1">
      <alignment horizontal="left" indent="1"/>
    </xf>
    <xf numFmtId="0" fontId="4" fillId="38" borderId="119" xfId="24" applyFont="1" applyFill="1" applyBorder="1" applyAlignment="1">
      <alignment horizontal="right" indent="1"/>
    </xf>
    <xf numFmtId="0" fontId="131" fillId="0" borderId="118" xfId="24" applyBorder="1" applyAlignment="1">
      <alignment horizontal="center"/>
    </xf>
    <xf numFmtId="0" fontId="4" fillId="39" borderId="119" xfId="24" applyFont="1" applyFill="1" applyBorder="1" applyAlignment="1">
      <alignment horizontal="left" indent="1"/>
    </xf>
    <xf numFmtId="0" fontId="131" fillId="0" borderId="0" xfId="24"/>
    <xf numFmtId="0" fontId="131" fillId="0" borderId="15" xfId="24" applyBorder="1" applyAlignment="1">
      <alignment horizontal="center"/>
    </xf>
    <xf numFmtId="0" fontId="4" fillId="38" borderId="14" xfId="24" applyFont="1" applyFill="1" applyBorder="1" applyAlignment="1">
      <alignment horizontal="left" indent="1"/>
    </xf>
    <xf numFmtId="0" fontId="131" fillId="0" borderId="13" xfId="24" applyBorder="1" applyAlignment="1">
      <alignment horizontal="center"/>
    </xf>
    <xf numFmtId="0" fontId="4" fillId="38" borderId="12" xfId="24" applyFont="1" applyFill="1" applyBorder="1" applyAlignment="1">
      <alignment horizontal="left" indent="1"/>
    </xf>
    <xf numFmtId="0" fontId="151" fillId="0" borderId="44" xfId="158" applyFont="1" applyBorder="1"/>
    <xf numFmtId="3" fontId="76" fillId="14" borderId="116" xfId="158" applyNumberFormat="1" applyFill="1" applyBorder="1"/>
    <xf numFmtId="0" fontId="76" fillId="14" borderId="7" xfId="158" applyFill="1" applyBorder="1"/>
    <xf numFmtId="0" fontId="151" fillId="0" borderId="112" xfId="158" applyFont="1" applyBorder="1" applyAlignment="1">
      <alignment horizontal="center"/>
    </xf>
    <xf numFmtId="0" fontId="76" fillId="0" borderId="112" xfId="158" applyBorder="1" applyAlignment="1">
      <alignment horizontal="center"/>
    </xf>
    <xf numFmtId="0" fontId="76" fillId="0" borderId="120" xfId="158" applyBorder="1" applyAlignment="1">
      <alignment horizontal="center"/>
    </xf>
    <xf numFmtId="0" fontId="76" fillId="0" borderId="121" xfId="158" applyBorder="1" applyAlignment="1">
      <alignment horizontal="center"/>
    </xf>
    <xf numFmtId="3" fontId="151" fillId="32" borderId="6" xfId="158" applyNumberFormat="1" applyFont="1" applyFill="1" applyBorder="1" applyAlignment="1">
      <alignment horizontal="right"/>
    </xf>
    <xf numFmtId="0" fontId="151" fillId="35" borderId="44" xfId="158" applyFont="1" applyFill="1" applyBorder="1" applyAlignment="1">
      <alignment horizontal="right"/>
    </xf>
    <xf numFmtId="0" fontId="151" fillId="32" borderId="6" xfId="158" applyFont="1" applyFill="1" applyBorder="1" applyAlignment="1">
      <alignment horizontal="left"/>
    </xf>
    <xf numFmtId="9" fontId="76" fillId="40" borderId="0" xfId="158" applyNumberFormat="1" applyFill="1" applyAlignment="1">
      <alignment horizontal="center" vertical="center"/>
    </xf>
    <xf numFmtId="0" fontId="76" fillId="40" borderId="0" xfId="158" applyFont="1" applyFill="1" applyAlignment="1">
      <alignment vertical="center"/>
    </xf>
    <xf numFmtId="0" fontId="152" fillId="35" borderId="0" xfId="158" applyFont="1" applyFill="1" applyBorder="1" applyAlignment="1">
      <alignment horizontal="center" vertical="center"/>
    </xf>
    <xf numFmtId="0" fontId="152" fillId="0" borderId="121" xfId="158" applyFont="1" applyBorder="1" applyAlignment="1">
      <alignment vertical="center"/>
    </xf>
    <xf numFmtId="0" fontId="153" fillId="21" borderId="0" xfId="0" applyFont="1" applyFill="1" applyAlignment="1">
      <alignment horizontal="left" vertical="center" readingOrder="1"/>
    </xf>
    <xf numFmtId="0" fontId="154" fillId="21" borderId="0" xfId="0" applyFont="1" applyFill="1" applyAlignment="1">
      <alignment horizontal="left" vertical="center" readingOrder="1"/>
    </xf>
    <xf numFmtId="0" fontId="155" fillId="21" borderId="0" xfId="0" applyFont="1" applyFill="1" applyAlignment="1">
      <alignment horizontal="left" vertical="center" wrapText="1" readingOrder="1"/>
    </xf>
    <xf numFmtId="0" fontId="0" fillId="21" borderId="0" xfId="0" applyFill="1" applyAlignment="1">
      <alignment horizontal="left"/>
    </xf>
    <xf numFmtId="0" fontId="157" fillId="21" borderId="0" xfId="0" applyFont="1" applyFill="1" applyAlignment="1">
      <alignment horizontal="left" vertical="center" readingOrder="1"/>
    </xf>
    <xf numFmtId="165" fontId="156" fillId="21" borderId="0" xfId="0" applyNumberFormat="1" applyFont="1" applyFill="1" applyAlignment="1">
      <alignment horizontal="left" vertical="center" readingOrder="1"/>
    </xf>
    <xf numFmtId="0" fontId="137" fillId="23" borderId="111" xfId="6" applyFont="1" applyFill="1" applyBorder="1" applyAlignment="1">
      <alignment horizontal="left" vertical="center" indent="2"/>
    </xf>
    <xf numFmtId="166" fontId="137" fillId="23" borderId="109" xfId="6" applyNumberFormat="1" applyFont="1" applyFill="1" applyBorder="1" applyAlignment="1">
      <alignment horizontal="center" vertical="center"/>
    </xf>
    <xf numFmtId="0" fontId="137" fillId="23" borderId="107" xfId="6" applyFont="1" applyFill="1" applyBorder="1" applyAlignment="1">
      <alignment vertical="center" wrapText="1"/>
    </xf>
    <xf numFmtId="169" fontId="137" fillId="23" borderId="110" xfId="6" applyNumberFormat="1" applyFont="1" applyFill="1" applyBorder="1" applyAlignment="1">
      <alignment horizontal="center" vertical="center" wrapText="1"/>
    </xf>
    <xf numFmtId="0" fontId="138" fillId="23" borderId="109" xfId="6" applyFont="1" applyFill="1" applyBorder="1" applyAlignment="1">
      <alignment horizontal="center" vertical="center" wrapText="1"/>
    </xf>
    <xf numFmtId="166" fontId="138" fillId="23" borderId="108" xfId="6" applyNumberFormat="1" applyFont="1" applyFill="1" applyBorder="1" applyAlignment="1">
      <alignment horizontal="center" vertical="center"/>
    </xf>
    <xf numFmtId="0" fontId="138" fillId="23" borderId="108" xfId="6" applyFont="1" applyFill="1" applyBorder="1" applyAlignment="1">
      <alignment horizontal="left" vertical="center"/>
    </xf>
    <xf numFmtId="0" fontId="138" fillId="23" borderId="107" xfId="6" applyFont="1" applyFill="1" applyBorder="1" applyAlignment="1">
      <alignment horizontal="left" vertical="center" wrapText="1"/>
    </xf>
    <xf numFmtId="0" fontId="137" fillId="23" borderId="111" xfId="6" applyFont="1" applyFill="1" applyBorder="1" applyAlignment="1">
      <alignment horizontal="left" vertical="center" wrapText="1" indent="2"/>
    </xf>
    <xf numFmtId="0" fontId="30" fillId="21" borderId="0" xfId="1" applyFont="1" applyFill="1" applyAlignment="1" applyProtection="1">
      <alignment horizontal="center" vertical="center"/>
    </xf>
    <xf numFmtId="10" fontId="4" fillId="0" borderId="13" xfId="0" applyNumberFormat="1" applyFont="1" applyFill="1" applyBorder="1" applyAlignment="1" applyProtection="1">
      <alignment horizontal="right" vertical="center"/>
    </xf>
    <xf numFmtId="10" fontId="4" fillId="0" borderId="41" xfId="0" applyNumberFormat="1" applyFont="1" applyFill="1" applyBorder="1" applyAlignment="1" applyProtection="1">
      <alignment horizontal="right" vertical="center"/>
    </xf>
    <xf numFmtId="164" fontId="4" fillId="0" borderId="12" xfId="0" applyNumberFormat="1" applyFont="1" applyFill="1" applyBorder="1" applyAlignment="1" applyProtection="1">
      <alignment horizontal="right" vertical="center"/>
    </xf>
    <xf numFmtId="164" fontId="4" fillId="0" borderId="13" xfId="0" applyNumberFormat="1" applyFont="1" applyFill="1" applyBorder="1" applyAlignment="1" applyProtection="1">
      <alignment horizontal="right" vertical="center"/>
    </xf>
    <xf numFmtId="164" fontId="4" fillId="0" borderId="40" xfId="0" applyNumberFormat="1" applyFont="1" applyFill="1" applyBorder="1" applyAlignment="1" applyProtection="1">
      <alignment horizontal="right" vertical="center"/>
    </xf>
    <xf numFmtId="164" fontId="4" fillId="0" borderId="41" xfId="0" applyNumberFormat="1" applyFont="1" applyFill="1" applyBorder="1" applyAlignment="1" applyProtection="1">
      <alignment horizontal="right" vertical="center"/>
    </xf>
    <xf numFmtId="164" fontId="4" fillId="8" borderId="38" xfId="0" applyNumberFormat="1" applyFont="1" applyFill="1" applyBorder="1" applyAlignment="1">
      <alignment horizontal="right"/>
    </xf>
    <xf numFmtId="164" fontId="4" fillId="8" borderId="23" xfId="0" applyNumberFormat="1" applyFont="1" applyFill="1" applyBorder="1" applyAlignment="1">
      <alignment horizontal="right"/>
    </xf>
    <xf numFmtId="164" fontId="4" fillId="8" borderId="42" xfId="0" applyNumberFormat="1" applyFont="1" applyFill="1" applyBorder="1" applyAlignment="1">
      <alignment horizontal="right"/>
    </xf>
    <xf numFmtId="164" fontId="4" fillId="8" borderId="12" xfId="0" applyNumberFormat="1" applyFont="1" applyFill="1" applyBorder="1" applyAlignment="1">
      <alignment horizontal="right"/>
    </xf>
    <xf numFmtId="164" fontId="4" fillId="8" borderId="0" xfId="0" applyNumberFormat="1" applyFont="1" applyFill="1" applyBorder="1" applyAlignment="1">
      <alignment horizontal="right"/>
    </xf>
    <xf numFmtId="164" fontId="4" fillId="8" borderId="39" xfId="0" applyNumberFormat="1" applyFont="1" applyFill="1" applyBorder="1" applyAlignment="1">
      <alignment horizontal="right"/>
    </xf>
    <xf numFmtId="164" fontId="4" fillId="8" borderId="14" xfId="0" applyNumberFormat="1" applyFont="1" applyFill="1" applyBorder="1" applyAlignment="1">
      <alignment horizontal="right"/>
    </xf>
    <xf numFmtId="164" fontId="4" fillId="8" borderId="3" xfId="0" applyNumberFormat="1" applyFont="1" applyFill="1" applyBorder="1" applyAlignment="1">
      <alignment horizontal="right"/>
    </xf>
    <xf numFmtId="164" fontId="4" fillId="8" borderId="43" xfId="0" applyNumberFormat="1" applyFont="1" applyFill="1" applyBorder="1" applyAlignment="1">
      <alignment horizontal="right"/>
    </xf>
    <xf numFmtId="0" fontId="11" fillId="0" borderId="122" xfId="0" applyFont="1" applyFill="1" applyBorder="1" applyAlignment="1" applyProtection="1">
      <alignment horizontal="left" vertical="center" wrapText="1"/>
    </xf>
    <xf numFmtId="0" fontId="11" fillId="0" borderId="36" xfId="0" applyFont="1" applyFill="1" applyBorder="1" applyAlignment="1" applyProtection="1">
      <alignment horizontal="center" vertical="center" wrapText="1"/>
    </xf>
    <xf numFmtId="0" fontId="99" fillId="21" borderId="0" xfId="6" applyNumberFormat="1" applyFont="1" applyFill="1" applyBorder="1" applyAlignment="1">
      <alignment horizontal="center" vertical="center"/>
    </xf>
    <xf numFmtId="0" fontId="78" fillId="0" borderId="0" xfId="0" applyFont="1" applyAlignment="1">
      <alignment horizontal="left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3" fontId="4" fillId="0" borderId="123" xfId="0" applyNumberFormat="1" applyFont="1" applyBorder="1"/>
    <xf numFmtId="3" fontId="4" fillId="0" borderId="124" xfId="0" applyNumberFormat="1" applyFont="1" applyBorder="1"/>
    <xf numFmtId="3" fontId="4" fillId="0" borderId="125" xfId="0" applyNumberFormat="1" applyFont="1" applyBorder="1"/>
    <xf numFmtId="168" fontId="0" fillId="0" borderId="0" xfId="0" applyNumberFormat="1" applyFill="1"/>
    <xf numFmtId="166" fontId="4" fillId="0" borderId="13" xfId="0" applyNumberFormat="1" applyFont="1" applyFill="1" applyBorder="1" applyAlignment="1" applyProtection="1">
      <alignment horizontal="right" vertical="center"/>
    </xf>
    <xf numFmtId="0" fontId="76" fillId="0" borderId="7" xfId="158" applyFont="1" applyFill="1" applyBorder="1"/>
    <xf numFmtId="0" fontId="76" fillId="0" borderId="8" xfId="158" applyFont="1" applyFill="1" applyBorder="1"/>
    <xf numFmtId="0" fontId="76" fillId="0" borderId="8" xfId="158" applyFill="1" applyBorder="1"/>
    <xf numFmtId="164" fontId="11" fillId="2" borderId="122" xfId="0" applyNumberFormat="1" applyFont="1" applyFill="1" applyBorder="1" applyAlignment="1" applyProtection="1">
      <alignment horizontal="center" vertical="center"/>
    </xf>
    <xf numFmtId="0" fontId="11" fillId="0" borderId="114" xfId="0" applyFont="1" applyFill="1" applyBorder="1" applyAlignment="1" applyProtection="1">
      <alignment horizontal="center" vertical="center" wrapText="1"/>
    </xf>
    <xf numFmtId="0" fontId="11" fillId="0" borderId="37" xfId="0" applyFont="1" applyFill="1" applyBorder="1" applyAlignment="1" applyProtection="1">
      <alignment horizontal="center" vertical="center" wrapText="1"/>
    </xf>
    <xf numFmtId="0" fontId="4" fillId="0" borderId="13" xfId="0" applyFont="1" applyFill="1" applyBorder="1" applyAlignment="1" applyProtection="1">
      <alignment vertical="center"/>
    </xf>
    <xf numFmtId="164" fontId="4" fillId="0" borderId="13" xfId="0" applyNumberFormat="1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vertical="center"/>
    </xf>
    <xf numFmtId="0" fontId="4" fillId="41" borderId="12" xfId="0" applyFont="1" applyFill="1" applyBorder="1" applyAlignment="1" applyProtection="1">
      <alignment horizontal="right" vertical="center"/>
    </xf>
    <xf numFmtId="164" fontId="4" fillId="41" borderId="13" xfId="0" applyNumberFormat="1" applyFont="1" applyFill="1" applyBorder="1" applyAlignment="1" applyProtection="1">
      <alignment horizontal="left" vertical="center"/>
    </xf>
    <xf numFmtId="164" fontId="4" fillId="41" borderId="0" xfId="0" applyNumberFormat="1" applyFont="1" applyFill="1" applyBorder="1" applyAlignment="1" applyProtection="1">
      <alignment horizontal="center" vertical="center"/>
    </xf>
    <xf numFmtId="10" fontId="4" fillId="41" borderId="0" xfId="0" applyNumberFormat="1" applyFont="1" applyFill="1" applyBorder="1" applyAlignment="1" applyProtection="1">
      <alignment horizontal="center" vertical="center"/>
    </xf>
    <xf numFmtId="164" fontId="4" fillId="41" borderId="0" xfId="0" applyNumberFormat="1" applyFont="1" applyFill="1" applyBorder="1" applyAlignment="1" applyProtection="1">
      <alignment horizontal="left" vertical="center"/>
    </xf>
    <xf numFmtId="10" fontId="4" fillId="41" borderId="0" xfId="0" applyNumberFormat="1" applyFont="1" applyFill="1" applyBorder="1" applyAlignment="1">
      <alignment horizontal="left"/>
    </xf>
    <xf numFmtId="0" fontId="4" fillId="41" borderId="0" xfId="0" applyFont="1" applyFill="1" applyBorder="1" applyAlignment="1" applyProtection="1">
      <alignment horizontal="left" vertical="center"/>
    </xf>
    <xf numFmtId="0" fontId="4" fillId="41" borderId="13" xfId="0" applyFont="1" applyFill="1" applyBorder="1" applyAlignment="1" applyProtection="1">
      <alignment horizontal="left" vertical="center"/>
    </xf>
    <xf numFmtId="164" fontId="4" fillId="41" borderId="0" xfId="0" applyNumberFormat="1" applyFont="1" applyFill="1" applyBorder="1" applyAlignment="1" applyProtection="1">
      <alignment horizontal="right" vertical="center"/>
    </xf>
    <xf numFmtId="164" fontId="4" fillId="41" borderId="13" xfId="0" applyNumberFormat="1" applyFont="1" applyFill="1" applyBorder="1" applyAlignment="1" applyProtection="1">
      <alignment horizontal="right" vertical="center"/>
    </xf>
    <xf numFmtId="10" fontId="4" fillId="41" borderId="0" xfId="0" applyNumberFormat="1" applyFont="1" applyFill="1" applyBorder="1" applyAlignment="1" applyProtection="1">
      <alignment horizontal="right" vertical="center"/>
    </xf>
    <xf numFmtId="10" fontId="4" fillId="41" borderId="13" xfId="0" applyNumberFormat="1" applyFont="1" applyFill="1" applyBorder="1" applyAlignment="1" applyProtection="1">
      <alignment horizontal="right" vertical="center"/>
    </xf>
    <xf numFmtId="3" fontId="4" fillId="41" borderId="0" xfId="0" applyNumberFormat="1" applyFont="1" applyFill="1" applyBorder="1" applyAlignment="1" applyProtection="1">
      <alignment horizontal="right" vertical="center"/>
    </xf>
    <xf numFmtId="0" fontId="90" fillId="41" borderId="0" xfId="0" applyFont="1" applyFill="1" applyBorder="1" applyAlignment="1" applyProtection="1">
      <alignment horizontal="right" vertical="center"/>
    </xf>
    <xf numFmtId="0" fontId="6" fillId="41" borderId="0" xfId="0" applyFont="1" applyFill="1" applyBorder="1" applyAlignment="1" applyProtection="1">
      <alignment horizontal="right" vertical="center"/>
    </xf>
    <xf numFmtId="0" fontId="6" fillId="41" borderId="0" xfId="0" applyFont="1" applyFill="1" applyBorder="1"/>
    <xf numFmtId="10" fontId="4" fillId="17" borderId="0" xfId="0" applyNumberFormat="1" applyFont="1" applyFill="1" applyBorder="1" applyAlignment="1" applyProtection="1">
      <alignment horizontal="right" vertical="center"/>
    </xf>
    <xf numFmtId="10" fontId="4" fillId="17" borderId="13" xfId="0" applyNumberFormat="1" applyFont="1" applyFill="1" applyBorder="1" applyAlignment="1" applyProtection="1">
      <alignment horizontal="right" vertical="center"/>
    </xf>
    <xf numFmtId="0" fontId="137" fillId="23" borderId="0" xfId="6" applyFont="1" applyFill="1" applyAlignment="1">
      <alignment horizontal="left" vertical="center" indent="1"/>
    </xf>
    <xf numFmtId="0" fontId="99" fillId="23" borderId="0" xfId="6" applyFont="1" applyFill="1" applyAlignment="1">
      <alignment horizontal="right" vertical="center" indent="1"/>
    </xf>
    <xf numFmtId="0" fontId="134" fillId="0" borderId="0" xfId="6" applyFont="1" applyAlignment="1">
      <alignment horizontal="center" vertical="center"/>
    </xf>
    <xf numFmtId="0" fontId="132" fillId="0" borderId="0" xfId="6" applyFont="1" applyAlignment="1">
      <alignment horizontal="center" vertical="top"/>
    </xf>
    <xf numFmtId="0" fontId="139" fillId="34" borderId="0" xfId="6" applyFont="1" applyFill="1" applyAlignment="1">
      <alignment horizontal="center" vertical="center"/>
    </xf>
    <xf numFmtId="0" fontId="99" fillId="21" borderId="0" xfId="6" applyFont="1" applyFill="1" applyBorder="1" applyAlignment="1">
      <alignment horizontal="center" vertical="center"/>
    </xf>
    <xf numFmtId="0" fontId="18" fillId="28" borderId="0" xfId="0" applyFont="1" applyFill="1" applyBorder="1" applyAlignment="1">
      <alignment horizontal="right" vertical="top"/>
    </xf>
    <xf numFmtId="0" fontId="18" fillId="28" borderId="56" xfId="0" applyFont="1" applyFill="1" applyBorder="1" applyAlignment="1">
      <alignment horizontal="right" vertical="top"/>
    </xf>
    <xf numFmtId="0" fontId="102" fillId="0" borderId="11" xfId="0" applyFont="1" applyFill="1" applyBorder="1" applyAlignment="1">
      <alignment horizontal="center" vertical="center"/>
    </xf>
    <xf numFmtId="0" fontId="45" fillId="0" borderId="11" xfId="0" applyFont="1" applyFill="1" applyBorder="1" applyAlignment="1">
      <alignment horizontal="center" vertical="center"/>
    </xf>
    <xf numFmtId="0" fontId="107" fillId="27" borderId="99" xfId="0" applyFont="1" applyFill="1" applyBorder="1" applyAlignment="1">
      <alignment horizontal="center" vertical="center" wrapText="1"/>
    </xf>
    <xf numFmtId="0" fontId="107" fillId="27" borderId="100" xfId="0" applyFont="1" applyFill="1" applyBorder="1" applyAlignment="1">
      <alignment horizontal="center" vertical="center" wrapText="1"/>
    </xf>
    <xf numFmtId="0" fontId="116" fillId="0" borderId="3" xfId="0" applyFont="1" applyFill="1" applyBorder="1" applyAlignment="1">
      <alignment horizontal="center" vertical="top" wrapText="1"/>
    </xf>
    <xf numFmtId="0" fontId="116" fillId="0" borderId="3" xfId="0" applyFont="1" applyFill="1" applyBorder="1" applyAlignment="1">
      <alignment horizontal="center" vertical="top"/>
    </xf>
    <xf numFmtId="0" fontId="67" fillId="0" borderId="53" xfId="0" applyFont="1" applyFill="1" applyBorder="1" applyAlignment="1" applyProtection="1">
      <alignment horizontal="left" vertical="center" indent="1"/>
      <protection locked="0"/>
    </xf>
    <xf numFmtId="0" fontId="67" fillId="0" borderId="54" xfId="0" applyFont="1" applyFill="1" applyBorder="1" applyAlignment="1" applyProtection="1">
      <alignment horizontal="left" vertical="center" indent="1"/>
      <protection locked="0"/>
    </xf>
    <xf numFmtId="0" fontId="67" fillId="0" borderId="55" xfId="0" applyFont="1" applyFill="1" applyBorder="1" applyAlignment="1" applyProtection="1">
      <alignment horizontal="left" vertical="center" indent="1"/>
      <protection locked="0"/>
    </xf>
    <xf numFmtId="0" fontId="38" fillId="12" borderId="96" xfId="0" applyFont="1" applyFill="1" applyBorder="1" applyAlignment="1" applyProtection="1">
      <alignment horizontal="center" vertical="center" shrinkToFit="1"/>
    </xf>
    <xf numFmtId="0" fontId="38" fillId="12" borderId="97" xfId="0" applyFont="1" applyFill="1" applyBorder="1" applyAlignment="1" applyProtection="1">
      <alignment horizontal="center" vertical="center" shrinkToFit="1"/>
    </xf>
    <xf numFmtId="0" fontId="38" fillId="12" borderId="98" xfId="0" applyFont="1" applyFill="1" applyBorder="1" applyAlignment="1" applyProtection="1">
      <alignment horizontal="center" vertical="center" shrinkToFit="1"/>
    </xf>
    <xf numFmtId="0" fontId="116" fillId="0" borderId="15" xfId="0" applyFont="1" applyFill="1" applyBorder="1" applyAlignment="1">
      <alignment horizontal="center" vertical="top"/>
    </xf>
    <xf numFmtId="9" fontId="74" fillId="0" borderId="0" xfId="0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center" vertical="center"/>
    </xf>
    <xf numFmtId="0" fontId="127" fillId="28" borderId="17" xfId="0" applyFont="1" applyFill="1" applyBorder="1" applyAlignment="1">
      <alignment horizontal="left" vertical="center"/>
    </xf>
    <xf numFmtId="0" fontId="120" fillId="21" borderId="0" xfId="0" applyFont="1" applyFill="1" applyBorder="1" applyAlignment="1" applyProtection="1">
      <alignment horizontal="center" vertical="center"/>
    </xf>
    <xf numFmtId="0" fontId="92" fillId="21" borderId="0" xfId="0" applyFont="1" applyFill="1" applyBorder="1" applyAlignment="1" applyProtection="1">
      <alignment horizontal="center" vertical="top"/>
    </xf>
    <xf numFmtId="0" fontId="42" fillId="23" borderId="95" xfId="0" applyFont="1" applyFill="1" applyBorder="1" applyAlignment="1">
      <alignment horizontal="center" vertical="center" wrapText="1"/>
    </xf>
    <xf numFmtId="0" fontId="67" fillId="0" borderId="63" xfId="0" applyFont="1" applyFill="1" applyBorder="1" applyAlignment="1" applyProtection="1">
      <alignment horizontal="left" vertical="center" indent="1"/>
      <protection locked="0"/>
    </xf>
    <xf numFmtId="0" fontId="67" fillId="0" borderId="64" xfId="0" applyFont="1" applyFill="1" applyBorder="1" applyAlignment="1" applyProtection="1">
      <alignment horizontal="left" vertical="center" indent="1"/>
      <protection locked="0"/>
    </xf>
    <xf numFmtId="0" fontId="122" fillId="0" borderId="2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center" vertical="center"/>
    </xf>
    <xf numFmtId="0" fontId="59" fillId="0" borderId="18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59" fillId="0" borderId="13" xfId="0" applyFont="1" applyBorder="1" applyAlignment="1">
      <alignment horizontal="center" vertical="center" wrapText="1"/>
    </xf>
    <xf numFmtId="0" fontId="36" fillId="0" borderId="52" xfId="0" applyFont="1" applyFill="1" applyBorder="1" applyAlignment="1">
      <alignment horizontal="center" wrapText="1"/>
    </xf>
    <xf numFmtId="0" fontId="36" fillId="0" borderId="11" xfId="0" applyFont="1" applyFill="1" applyBorder="1" applyAlignment="1">
      <alignment horizontal="center" wrapText="1"/>
    </xf>
    <xf numFmtId="0" fontId="45" fillId="0" borderId="4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 wrapText="1"/>
    </xf>
    <xf numFmtId="0" fontId="45" fillId="0" borderId="5" xfId="0" applyFont="1" applyFill="1" applyBorder="1" applyAlignment="1">
      <alignment horizontal="center" vertical="center" wrapText="1"/>
    </xf>
    <xf numFmtId="0" fontId="96" fillId="22" borderId="4" xfId="0" applyFont="1" applyFill="1" applyBorder="1" applyAlignment="1">
      <alignment horizontal="center" vertical="center" textRotation="90" wrapText="1"/>
    </xf>
    <xf numFmtId="0" fontId="96" fillId="22" borderId="11" xfId="0" applyFont="1" applyFill="1" applyBorder="1" applyAlignment="1">
      <alignment horizontal="center" vertical="center" textRotation="90" wrapText="1"/>
    </xf>
    <xf numFmtId="0" fontId="96" fillId="22" borderId="5" xfId="0" applyFont="1" applyFill="1" applyBorder="1" applyAlignment="1">
      <alignment horizontal="center" vertical="center" textRotation="90" wrapText="1"/>
    </xf>
    <xf numFmtId="0" fontId="96" fillId="22" borderId="14" xfId="0" applyFont="1" applyFill="1" applyBorder="1" applyAlignment="1">
      <alignment horizontal="center" vertical="center" textRotation="90" wrapText="1"/>
    </xf>
    <xf numFmtId="0" fontId="96" fillId="22" borderId="3" xfId="0" applyFont="1" applyFill="1" applyBorder="1" applyAlignment="1">
      <alignment horizontal="center" vertical="center" textRotation="90" wrapText="1"/>
    </xf>
    <xf numFmtId="0" fontId="96" fillId="22" borderId="15" xfId="0" applyFont="1" applyFill="1" applyBorder="1" applyAlignment="1">
      <alignment horizontal="center" vertical="center" textRotation="90" wrapText="1"/>
    </xf>
    <xf numFmtId="0" fontId="42" fillId="21" borderId="101" xfId="0" applyFont="1" applyFill="1" applyBorder="1" applyAlignment="1">
      <alignment horizontal="center" vertical="center" wrapText="1"/>
    </xf>
    <xf numFmtId="0" fontId="42" fillId="21" borderId="102" xfId="0" applyFont="1" applyFill="1" applyBorder="1" applyAlignment="1">
      <alignment horizontal="center" vertical="center" wrapText="1"/>
    </xf>
    <xf numFmtId="0" fontId="42" fillId="21" borderId="103" xfId="0" applyFont="1" applyFill="1" applyBorder="1" applyAlignment="1">
      <alignment horizontal="center" vertical="center" wrapText="1"/>
    </xf>
    <xf numFmtId="0" fontId="45" fillId="0" borderId="5" xfId="0" applyFont="1" applyFill="1" applyBorder="1" applyAlignment="1">
      <alignment horizontal="center" vertical="center"/>
    </xf>
    <xf numFmtId="9" fontId="102" fillId="0" borderId="11" xfId="0" applyNumberFormat="1" applyFont="1" applyFill="1" applyBorder="1" applyAlignment="1">
      <alignment horizontal="center" vertical="center"/>
    </xf>
    <xf numFmtId="0" fontId="97" fillId="0" borderId="66" xfId="0" applyFont="1" applyBorder="1" applyAlignment="1">
      <alignment horizontal="center" vertical="center" wrapText="1"/>
    </xf>
    <xf numFmtId="0" fontId="97" fillId="0" borderId="67" xfId="0" applyFont="1" applyBorder="1" applyAlignment="1">
      <alignment horizontal="center" vertical="center" wrapText="1"/>
    </xf>
    <xf numFmtId="0" fontId="97" fillId="0" borderId="68" xfId="0" applyFont="1" applyBorder="1" applyAlignment="1">
      <alignment horizontal="center" vertical="center" wrapText="1"/>
    </xf>
    <xf numFmtId="0" fontId="97" fillId="0" borderId="69" xfId="0" applyFont="1" applyBorder="1" applyAlignment="1">
      <alignment horizontal="center" vertical="center" wrapText="1"/>
    </xf>
    <xf numFmtId="0" fontId="97" fillId="0" borderId="66" xfId="0" applyFont="1" applyBorder="1" applyAlignment="1">
      <alignment horizontal="center" vertical="center" wrapText="1" shrinkToFit="1"/>
    </xf>
    <xf numFmtId="0" fontId="97" fillId="0" borderId="72" xfId="0" applyFont="1" applyBorder="1" applyAlignment="1">
      <alignment horizontal="center" vertical="center" wrapText="1" shrinkToFit="1"/>
    </xf>
    <xf numFmtId="0" fontId="97" fillId="0" borderId="68" xfId="0" applyFont="1" applyBorder="1" applyAlignment="1">
      <alignment horizontal="center" vertical="center" wrapText="1" shrinkToFit="1"/>
    </xf>
    <xf numFmtId="0" fontId="97" fillId="0" borderId="73" xfId="0" applyFont="1" applyBorder="1" applyAlignment="1">
      <alignment horizontal="center" vertical="center" wrapText="1" shrinkToFit="1"/>
    </xf>
    <xf numFmtId="0" fontId="108" fillId="19" borderId="0" xfId="0" applyFont="1" applyFill="1" applyAlignment="1">
      <alignment horizontal="center"/>
    </xf>
    <xf numFmtId="0" fontId="54" fillId="19" borderId="0" xfId="0" applyFont="1" applyFill="1" applyAlignment="1">
      <alignment horizontal="center"/>
    </xf>
    <xf numFmtId="0" fontId="104" fillId="19" borderId="0" xfId="0" applyFont="1" applyFill="1" applyAlignment="1">
      <alignment horizontal="center"/>
    </xf>
    <xf numFmtId="0" fontId="114" fillId="19" borderId="0" xfId="0" applyFont="1" applyFill="1" applyBorder="1" applyAlignment="1">
      <alignment horizontal="right" wrapText="1"/>
    </xf>
    <xf numFmtId="0" fontId="33" fillId="22" borderId="57" xfId="0" applyFont="1" applyFill="1" applyBorder="1" applyAlignment="1">
      <alignment horizontal="center" vertical="center"/>
    </xf>
    <xf numFmtId="0" fontId="33" fillId="22" borderId="58" xfId="0" applyFont="1" applyFill="1" applyBorder="1" applyAlignment="1">
      <alignment horizontal="center" vertical="center"/>
    </xf>
    <xf numFmtId="0" fontId="83" fillId="0" borderId="5" xfId="4" applyFont="1" applyFill="1" applyBorder="1" applyAlignment="1">
      <alignment horizontal="center" vertical="center"/>
    </xf>
    <xf numFmtId="0" fontId="83" fillId="0" borderId="13" xfId="4" applyFont="1" applyFill="1" applyBorder="1" applyAlignment="1">
      <alignment horizontal="center" vertical="center"/>
    </xf>
    <xf numFmtId="0" fontId="83" fillId="0" borderId="15" xfId="4" applyFont="1" applyFill="1" applyBorder="1" applyAlignment="1">
      <alignment horizontal="center" vertical="center"/>
    </xf>
    <xf numFmtId="0" fontId="99" fillId="21" borderId="36" xfId="4" applyFont="1" applyFill="1" applyBorder="1" applyAlignment="1">
      <alignment horizontal="center" vertical="center"/>
    </xf>
    <xf numFmtId="0" fontId="99" fillId="21" borderId="24" xfId="4" applyFont="1" applyFill="1" applyBorder="1" applyAlignment="1">
      <alignment horizontal="center" vertical="center"/>
    </xf>
    <xf numFmtId="0" fontId="96" fillId="21" borderId="11" xfId="4" applyFont="1" applyFill="1" applyBorder="1" applyAlignment="1">
      <alignment horizontal="center" vertical="center"/>
    </xf>
    <xf numFmtId="0" fontId="96" fillId="21" borderId="5" xfId="4" applyFont="1" applyFill="1" applyBorder="1" applyAlignment="1">
      <alignment horizontal="center" vertical="center"/>
    </xf>
    <xf numFmtId="0" fontId="50" fillId="19" borderId="4" xfId="4" applyFont="1" applyFill="1" applyBorder="1" applyAlignment="1">
      <alignment horizontal="left" vertical="center"/>
    </xf>
    <xf numFmtId="0" fontId="50" fillId="19" borderId="11" xfId="4" applyFont="1" applyFill="1" applyBorder="1" applyAlignment="1">
      <alignment horizontal="left" vertical="center"/>
    </xf>
    <xf numFmtId="0" fontId="83" fillId="0" borderId="12" xfId="4" applyFont="1" applyBorder="1" applyAlignment="1">
      <alignment horizontal="left" vertical="center" wrapText="1"/>
    </xf>
    <xf numFmtId="0" fontId="83" fillId="0" borderId="0" xfId="4" applyFont="1" applyBorder="1" applyAlignment="1">
      <alignment horizontal="left" vertical="center" wrapText="1"/>
    </xf>
    <xf numFmtId="0" fontId="83" fillId="0" borderId="13" xfId="4" applyFont="1" applyBorder="1" applyAlignment="1">
      <alignment horizontal="left" vertical="center" wrapText="1"/>
    </xf>
    <xf numFmtId="0" fontId="83" fillId="0" borderId="14" xfId="4" applyFont="1" applyBorder="1" applyAlignment="1">
      <alignment horizontal="left" vertical="center" wrapText="1"/>
    </xf>
    <xf numFmtId="0" fontId="83" fillId="0" borderId="3" xfId="4" applyFont="1" applyBorder="1" applyAlignment="1">
      <alignment horizontal="left" vertical="center" wrapText="1"/>
    </xf>
    <xf numFmtId="0" fontId="83" fillId="0" borderId="15" xfId="4" applyFont="1" applyBorder="1" applyAlignment="1">
      <alignment horizontal="left" vertical="center" wrapText="1"/>
    </xf>
    <xf numFmtId="0" fontId="50" fillId="19" borderId="14" xfId="4" applyFont="1" applyFill="1" applyBorder="1" applyAlignment="1">
      <alignment horizontal="left" vertical="center" wrapText="1"/>
    </xf>
    <xf numFmtId="0" fontId="50" fillId="19" borderId="3" xfId="4" applyFont="1" applyFill="1" applyBorder="1" applyAlignment="1">
      <alignment horizontal="left" vertical="center" wrapText="1"/>
    </xf>
    <xf numFmtId="0" fontId="99" fillId="23" borderId="36" xfId="4" applyFont="1" applyFill="1" applyBorder="1" applyAlignment="1">
      <alignment horizontal="center" vertical="center"/>
    </xf>
    <xf numFmtId="0" fontId="99" fillId="23" borderId="37" xfId="4" applyFont="1" applyFill="1" applyBorder="1" applyAlignment="1">
      <alignment horizontal="center" vertical="center"/>
    </xf>
    <xf numFmtId="0" fontId="52" fillId="22" borderId="75" xfId="0" applyFont="1" applyFill="1" applyBorder="1" applyAlignment="1">
      <alignment horizontal="center" vertical="center" wrapText="1"/>
    </xf>
    <xf numFmtId="0" fontId="52" fillId="22" borderId="76" xfId="0" applyFont="1" applyFill="1" applyBorder="1" applyAlignment="1">
      <alignment horizontal="center" vertical="center" wrapText="1"/>
    </xf>
    <xf numFmtId="0" fontId="52" fillId="22" borderId="77" xfId="0" applyFont="1" applyFill="1" applyBorder="1" applyAlignment="1">
      <alignment horizontal="center" vertical="center"/>
    </xf>
    <xf numFmtId="0" fontId="42" fillId="21" borderId="82" xfId="0" applyFont="1" applyFill="1" applyBorder="1" applyAlignment="1">
      <alignment horizontal="center" vertical="center" wrapText="1"/>
    </xf>
    <xf numFmtId="0" fontId="42" fillId="21" borderId="83" xfId="0" applyFont="1" applyFill="1" applyBorder="1" applyAlignment="1">
      <alignment horizontal="center" vertical="center" wrapText="1"/>
    </xf>
    <xf numFmtId="0" fontId="42" fillId="21" borderId="84" xfId="0" applyFont="1" applyFill="1" applyBorder="1" applyAlignment="1">
      <alignment horizontal="center" vertical="center" wrapText="1"/>
    </xf>
    <xf numFmtId="0" fontId="42" fillId="23" borderId="86" xfId="0" applyFont="1" applyFill="1" applyBorder="1" applyAlignment="1">
      <alignment horizontal="center" vertical="center" wrapText="1"/>
    </xf>
    <xf numFmtId="0" fontId="42" fillId="23" borderId="87" xfId="0" applyFont="1" applyFill="1" applyBorder="1" applyAlignment="1">
      <alignment horizontal="center" vertical="center" wrapText="1"/>
    </xf>
    <xf numFmtId="0" fontId="42" fillId="23" borderId="88" xfId="0" applyFont="1" applyFill="1" applyBorder="1" applyAlignment="1">
      <alignment horizontal="center" vertical="center" wrapText="1"/>
    </xf>
    <xf numFmtId="0" fontId="107" fillId="27" borderId="91" xfId="0" applyFont="1" applyFill="1" applyBorder="1" applyAlignment="1">
      <alignment horizontal="center" vertical="center" wrapText="1"/>
    </xf>
    <xf numFmtId="0" fontId="107" fillId="27" borderId="92" xfId="0" applyFont="1" applyFill="1" applyBorder="1" applyAlignment="1">
      <alignment horizontal="center" vertical="center" wrapText="1"/>
    </xf>
    <xf numFmtId="0" fontId="107" fillId="27" borderId="93" xfId="0" applyFont="1" applyFill="1" applyBorder="1" applyAlignment="1">
      <alignment horizontal="center" vertical="center" wrapText="1"/>
    </xf>
    <xf numFmtId="0" fontId="94" fillId="19" borderId="0" xfId="0" applyFont="1" applyFill="1" applyAlignment="1">
      <alignment horizontal="center"/>
    </xf>
    <xf numFmtId="0" fontId="115" fillId="19" borderId="0" xfId="0" applyFont="1" applyFill="1" applyBorder="1" applyAlignment="1">
      <alignment horizontal="right" wrapText="1"/>
    </xf>
    <xf numFmtId="0" fontId="96" fillId="22" borderId="78" xfId="0" applyFont="1" applyFill="1" applyBorder="1" applyAlignment="1">
      <alignment horizontal="center" vertical="center"/>
    </xf>
    <xf numFmtId="0" fontId="95" fillId="22" borderId="79" xfId="0" applyFont="1" applyFill="1" applyBorder="1" applyAlignment="1">
      <alignment horizontal="center" vertical="center"/>
    </xf>
    <xf numFmtId="0" fontId="97" fillId="0" borderId="72" xfId="0" applyFont="1" applyBorder="1" applyAlignment="1">
      <alignment horizontal="center" vertical="center" wrapText="1"/>
    </xf>
    <xf numFmtId="0" fontId="97" fillId="0" borderId="73" xfId="0" applyFont="1" applyBorder="1" applyAlignment="1">
      <alignment horizontal="center" vertical="center" wrapText="1"/>
    </xf>
    <xf numFmtId="0" fontId="97" fillId="0" borderId="67" xfId="0" applyFont="1" applyBorder="1" applyAlignment="1">
      <alignment horizontal="center" vertical="center" wrapText="1" shrinkToFit="1"/>
    </xf>
    <xf numFmtId="0" fontId="97" fillId="0" borderId="69" xfId="0" applyFont="1" applyBorder="1" applyAlignment="1">
      <alignment horizontal="center" vertical="center" wrapText="1" shrinkToFit="1"/>
    </xf>
    <xf numFmtId="0" fontId="33" fillId="22" borderId="78" xfId="0" applyFont="1" applyFill="1" applyBorder="1" applyAlignment="1">
      <alignment horizontal="center" vertical="center"/>
    </xf>
    <xf numFmtId="0" fontId="33" fillId="22" borderId="79" xfId="0" applyFont="1" applyFill="1" applyBorder="1" applyAlignment="1">
      <alignment horizontal="center" vertical="center"/>
    </xf>
    <xf numFmtId="0" fontId="12" fillId="21" borderId="0" xfId="0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0" fontId="11" fillId="0" borderId="0" xfId="0" applyFont="1" applyAlignment="1">
      <alignment horizontal="right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36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164" fontId="4" fillId="13" borderId="23" xfId="0" applyNumberFormat="1" applyFont="1" applyFill="1" applyBorder="1" applyAlignment="1">
      <alignment horizontal="center"/>
    </xf>
    <xf numFmtId="164" fontId="4" fillId="13" borderId="47" xfId="0" applyNumberFormat="1" applyFont="1" applyFill="1" applyBorder="1" applyAlignment="1">
      <alignment horizontal="center"/>
    </xf>
    <xf numFmtId="164" fontId="4" fillId="13" borderId="0" xfId="0" applyNumberFormat="1" applyFont="1" applyFill="1" applyBorder="1" applyAlignment="1">
      <alignment horizontal="center"/>
    </xf>
    <xf numFmtId="164" fontId="4" fillId="13" borderId="13" xfId="0" applyNumberFormat="1" applyFont="1" applyFill="1" applyBorder="1" applyAlignment="1">
      <alignment horizontal="center"/>
    </xf>
    <xf numFmtId="164" fontId="4" fillId="13" borderId="3" xfId="0" applyNumberFormat="1" applyFont="1" applyFill="1" applyBorder="1" applyAlignment="1">
      <alignment horizontal="center"/>
    </xf>
    <xf numFmtId="164" fontId="4" fillId="13" borderId="15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52" fillId="0" borderId="122" xfId="158" applyFont="1" applyBorder="1" applyAlignment="1">
      <alignment horizontal="center" vertical="center"/>
    </xf>
    <xf numFmtId="0" fontId="76" fillId="0" borderId="121" xfId="158" applyBorder="1" applyAlignment="1">
      <alignment horizontal="center"/>
    </xf>
    <xf numFmtId="0" fontId="76" fillId="0" borderId="122" xfId="158" applyBorder="1" applyAlignment="1">
      <alignment horizontal="center"/>
    </xf>
    <xf numFmtId="0" fontId="76" fillId="0" borderId="120" xfId="158" applyBorder="1" applyAlignment="1">
      <alignment horizontal="center"/>
    </xf>
    <xf numFmtId="0" fontId="76" fillId="0" borderId="116" xfId="158" applyBorder="1" applyAlignment="1">
      <alignment horizontal="center" vertical="center"/>
    </xf>
    <xf numFmtId="0" fontId="76" fillId="0" borderId="6" xfId="158" applyBorder="1" applyAlignment="1">
      <alignment horizontal="center" vertical="center"/>
    </xf>
    <xf numFmtId="0" fontId="4" fillId="0" borderId="11" xfId="0" applyFont="1" applyBorder="1" applyAlignment="1">
      <alignment horizontal="center"/>
    </xf>
  </cellXfs>
  <cellStyles count="168">
    <cellStyle name="čárky 2" xfId="8"/>
    <cellStyle name="čárky 2 2" xfId="9"/>
    <cellStyle name="Hypertextový odkaz" xfId="1" builtinId="8"/>
    <cellStyle name="Hypertextový odkaz 2" xfId="7"/>
    <cellStyle name="Hypertextový odkaz 2 2" xfId="10"/>
    <cellStyle name="Hypertextový odkaz 2 3" xfId="11"/>
    <cellStyle name="Hypertextový odkaz 3" xfId="12"/>
    <cellStyle name="Hypertextový odkaz 4" xfId="13"/>
    <cellStyle name="Hypertextový odkaz 5" xfId="14"/>
    <cellStyle name="Chybně 2" xfId="15"/>
    <cellStyle name="Normal_Sheet2" xfId="16"/>
    <cellStyle name="Normální" xfId="0" builtinId="0"/>
    <cellStyle name="normální 10" xfId="17"/>
    <cellStyle name="normální 10 2" xfId="18"/>
    <cellStyle name="normální 11" xfId="19"/>
    <cellStyle name="normální 11 2" xfId="20"/>
    <cellStyle name="normální 12" xfId="21"/>
    <cellStyle name="normální 13" xfId="22"/>
    <cellStyle name="normální 14" xfId="23"/>
    <cellStyle name="Normální 15" xfId="24"/>
    <cellStyle name="Normální 16" xfId="25"/>
    <cellStyle name="Normální 17" xfId="26"/>
    <cellStyle name="Normální 18" xfId="27"/>
    <cellStyle name="Normální 19" xfId="28"/>
    <cellStyle name="normální 2" xfId="2"/>
    <cellStyle name="Normální 2 2" xfId="29"/>
    <cellStyle name="Normální 2 2 10" xfId="30"/>
    <cellStyle name="normální 2 2 2" xfId="31"/>
    <cellStyle name="normální 2 2 2 2" xfId="32"/>
    <cellStyle name="Normální 2 2 3" xfId="33"/>
    <cellStyle name="Normální 2 2 4" xfId="34"/>
    <cellStyle name="Normální 2 2 5" xfId="35"/>
    <cellStyle name="Normální 2 2 6" xfId="36"/>
    <cellStyle name="Normální 2 2 7" xfId="37"/>
    <cellStyle name="Normální 2 2 8" xfId="38"/>
    <cellStyle name="Normální 2 2 9" xfId="39"/>
    <cellStyle name="Normální 2 3" xfId="40"/>
    <cellStyle name="Normální 20" xfId="41"/>
    <cellStyle name="Normální 21" xfId="42"/>
    <cellStyle name="Normální 22" xfId="43"/>
    <cellStyle name="Normální 23" xfId="44"/>
    <cellStyle name="Normální 24" xfId="45"/>
    <cellStyle name="Normální 25" xfId="46"/>
    <cellStyle name="Normální 26" xfId="47"/>
    <cellStyle name="Normální 27" xfId="48"/>
    <cellStyle name="Normální 28" xfId="49"/>
    <cellStyle name="Normální 29" xfId="50"/>
    <cellStyle name="normální 3" xfId="3"/>
    <cellStyle name="Normální 3 10" xfId="51"/>
    <cellStyle name="Normální 3 11" xfId="52"/>
    <cellStyle name="normální 3 12" xfId="53"/>
    <cellStyle name="normální 3 13" xfId="54"/>
    <cellStyle name="normální 3 14" xfId="55"/>
    <cellStyle name="normální 3 15" xfId="56"/>
    <cellStyle name="normální 3 16" xfId="57"/>
    <cellStyle name="normální 3 17" xfId="58"/>
    <cellStyle name="normální 3 18" xfId="59"/>
    <cellStyle name="normální 3 19" xfId="60"/>
    <cellStyle name="normální 3 2" xfId="61"/>
    <cellStyle name="normální 3 2 2" xfId="62"/>
    <cellStyle name="normální 3 2 2 2" xfId="63"/>
    <cellStyle name="normální 3 20" xfId="64"/>
    <cellStyle name="normální 3 21" xfId="65"/>
    <cellStyle name="normální 3 22" xfId="66"/>
    <cellStyle name="normální 3 23" xfId="67"/>
    <cellStyle name="normální 3 24" xfId="68"/>
    <cellStyle name="normální 3 25" xfId="69"/>
    <cellStyle name="normální 3 26" xfId="70"/>
    <cellStyle name="Normální 3 3" xfId="71"/>
    <cellStyle name="Normální 3 4" xfId="72"/>
    <cellStyle name="Normální 3 5" xfId="73"/>
    <cellStyle name="Normální 3 6" xfId="74"/>
    <cellStyle name="Normální 3 7" xfId="75"/>
    <cellStyle name="Normální 3 8" xfId="76"/>
    <cellStyle name="Normální 3 9" xfId="77"/>
    <cellStyle name="Normální 30" xfId="78"/>
    <cellStyle name="Normální 31" xfId="79"/>
    <cellStyle name="Normální 32" xfId="80"/>
    <cellStyle name="Normální 33" xfId="81"/>
    <cellStyle name="Normální 34" xfId="82"/>
    <cellStyle name="Normální 35" xfId="83"/>
    <cellStyle name="Normální 36" xfId="84"/>
    <cellStyle name="Normální 37" xfId="85"/>
    <cellStyle name="Normální 38" xfId="86"/>
    <cellStyle name="Normální 39" xfId="87"/>
    <cellStyle name="Normální 4" xfId="6"/>
    <cellStyle name="Normální 4 2" xfId="88"/>
    <cellStyle name="Normální 4 3" xfId="89"/>
    <cellStyle name="Normální 4 4" xfId="90"/>
    <cellStyle name="Normální 40" xfId="91"/>
    <cellStyle name="Normální 41" xfId="92"/>
    <cellStyle name="Normální 42" xfId="93"/>
    <cellStyle name="Normální 43" xfId="94"/>
    <cellStyle name="Normální 44" xfId="95"/>
    <cellStyle name="Normální 45" xfId="96"/>
    <cellStyle name="Normální 46" xfId="97"/>
    <cellStyle name="Normální 47" xfId="98"/>
    <cellStyle name="Normální 48" xfId="99"/>
    <cellStyle name="Normální 49" xfId="100"/>
    <cellStyle name="normální 5" xfId="101"/>
    <cellStyle name="Normální 5 10" xfId="102"/>
    <cellStyle name="normální 5 11" xfId="103"/>
    <cellStyle name="normální 5 12" xfId="104"/>
    <cellStyle name="normální 5 13" xfId="105"/>
    <cellStyle name="normální 5 14" xfId="106"/>
    <cellStyle name="normální 5 15" xfId="107"/>
    <cellStyle name="normální 5 16" xfId="108"/>
    <cellStyle name="normální 5 17" xfId="109"/>
    <cellStyle name="normální 5 18" xfId="110"/>
    <cellStyle name="normální 5 19" xfId="111"/>
    <cellStyle name="normální 5 2" xfId="112"/>
    <cellStyle name="normální 5 2 2" xfId="113"/>
    <cellStyle name="normální 5 2 3" xfId="114"/>
    <cellStyle name="normální 5 20" xfId="115"/>
    <cellStyle name="normální 5 21" xfId="116"/>
    <cellStyle name="normální 5 22" xfId="117"/>
    <cellStyle name="normální 5 23" xfId="118"/>
    <cellStyle name="normální 5 24" xfId="119"/>
    <cellStyle name="normální 5 25" xfId="120"/>
    <cellStyle name="normální 5 26" xfId="121"/>
    <cellStyle name="normální 5 27" xfId="122"/>
    <cellStyle name="normální 5 28" xfId="123"/>
    <cellStyle name="normální 5 29" xfId="124"/>
    <cellStyle name="Normální 5 3" xfId="125"/>
    <cellStyle name="normální 5 30" xfId="126"/>
    <cellStyle name="normální 5 31" xfId="127"/>
    <cellStyle name="normální 5 32" xfId="128"/>
    <cellStyle name="normální 5 33" xfId="129"/>
    <cellStyle name="normální 5 34" xfId="130"/>
    <cellStyle name="Normální 5 4" xfId="131"/>
    <cellStyle name="Normální 5 5" xfId="132"/>
    <cellStyle name="Normální 5 6" xfId="133"/>
    <cellStyle name="Normální 5 7" xfId="134"/>
    <cellStyle name="Normální 5 8" xfId="135"/>
    <cellStyle name="Normální 5 9" xfId="136"/>
    <cellStyle name="Normální 50" xfId="137"/>
    <cellStyle name="Normální 51" xfId="138"/>
    <cellStyle name="Normální 52" xfId="139"/>
    <cellStyle name="Normální 53" xfId="140"/>
    <cellStyle name="Normální 54" xfId="141"/>
    <cellStyle name="Normální 55" xfId="142"/>
    <cellStyle name="Normální 56" xfId="143"/>
    <cellStyle name="Normální 57" xfId="144"/>
    <cellStyle name="Normální 58" xfId="145"/>
    <cellStyle name="Normální 59" xfId="146"/>
    <cellStyle name="normální 6" xfId="147"/>
    <cellStyle name="normální 6 10" xfId="148"/>
    <cellStyle name="Normální 6 2" xfId="149"/>
    <cellStyle name="normální 6 3" xfId="150"/>
    <cellStyle name="normální 6 4" xfId="151"/>
    <cellStyle name="normální 6 5" xfId="152"/>
    <cellStyle name="normální 6 6" xfId="153"/>
    <cellStyle name="normální 6 7" xfId="154"/>
    <cellStyle name="normální 6 8" xfId="155"/>
    <cellStyle name="normální 6 9" xfId="156"/>
    <cellStyle name="Normální 60" xfId="157"/>
    <cellStyle name="Normální 61" xfId="158"/>
    <cellStyle name="Normální 62" xfId="4"/>
    <cellStyle name="normální 7" xfId="159"/>
    <cellStyle name="Normální 7 2" xfId="160"/>
    <cellStyle name="Normální 7 3" xfId="161"/>
    <cellStyle name="normální 8" xfId="162"/>
    <cellStyle name="Normální 8 2" xfId="163"/>
    <cellStyle name="Normální 8 3" xfId="164"/>
    <cellStyle name="normální 9" xfId="165"/>
    <cellStyle name="Normální 9 2" xfId="166"/>
    <cellStyle name="Poznámka 2" xfId="167"/>
    <cellStyle name="Procenta 2" xfId="5"/>
  </cellStyles>
  <dxfs count="56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solid">
          <fgColor indexed="64"/>
          <bgColor indexed="42"/>
        </patternFill>
      </fill>
      <alignment horizontal="left" vertical="top" textRotation="90" wrapText="1" indent="0" justifyLastLine="0" shrinkToFit="0" readingOrder="0"/>
    </dxf>
    <dxf>
      <font>
        <strike val="0"/>
        <color auto="1"/>
      </font>
      <fill>
        <patternFill>
          <bgColor indexed="22"/>
        </patternFill>
      </fill>
    </dxf>
    <dxf>
      <font>
        <b val="0"/>
        <i val="0"/>
        <color auto="1"/>
      </font>
      <fill>
        <patternFill patternType="none">
          <bgColor indexed="65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3D00"/>
      <rgbColor rgb="00FFFFFF"/>
      <rgbColor rgb="0000BA00"/>
      <rgbColor rgb="00F55470"/>
      <rgbColor rgb="000063D1"/>
      <rgbColor rgb="00FFFF4F"/>
      <rgbColor rgb="0000C477"/>
      <rgbColor rgb="00E8C7FF"/>
      <rgbColor rgb="00007000"/>
      <rgbColor rgb="00A80F00"/>
      <rgbColor rgb="00000A73"/>
      <rgbColor rgb="00FFA817"/>
      <rgbColor rgb="004F9EFF"/>
      <rgbColor rgb="00CC3399"/>
      <rgbColor rgb="00E5E5E5"/>
      <rgbColor rgb="004C4C4C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0F253F"/>
      <rgbColor rgb="007F7F7F"/>
      <rgbColor rgb="00E5E5E5"/>
      <rgbColor rgb="00BFBFBF"/>
      <rgbColor rgb="00800000"/>
      <rgbColor rgb="00008080"/>
      <rgbColor rgb="000000FF"/>
      <rgbColor rgb="0087C2ED"/>
      <rgbColor rgb="00FFF2FA"/>
      <rgbColor rgb="00FFD1D1"/>
      <rgbColor rgb="00FFFFBA"/>
      <rgbColor rgb="00D4F2FF"/>
      <rgbColor rgb="009EFFA8"/>
      <rgbColor rgb="00E5EDF7"/>
      <rgbColor rgb="00D9FFF0"/>
      <rgbColor rgb="0021C4FF"/>
      <rgbColor rgb="00FFBAE3"/>
      <rgbColor rgb="00FFD90F"/>
      <rgbColor rgb="0021E3BD"/>
      <rgbColor rgb="00B2FF66"/>
      <rgbColor rgb="00759100"/>
      <rgbColor rgb="001747BA"/>
      <rgbColor rgb="00999999"/>
      <rgbColor rgb="00663399"/>
      <rgbColor rgb="00FF2E38"/>
      <rgbColor rgb="00690000"/>
      <rgbColor rgb="00FF6B08"/>
      <rgbColor rgb="004F4F00"/>
      <rgbColor rgb="005288B8"/>
      <rgbColor rgb="00003687"/>
      <rgbColor rgb="00000000"/>
    </indexedColors>
    <mruColors>
      <color rgb="FF00ADD0"/>
      <color rgb="FF003C69"/>
      <color rgb="FFF45E5E"/>
      <color rgb="FF00C0E6"/>
      <color rgb="FF0CD0EA"/>
      <color rgb="FF00233E"/>
      <color rgb="FF007D96"/>
      <color rgb="FF9BEEFF"/>
      <color rgb="FF008FAC"/>
      <color rgb="FF00C6E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2.3775093190703409E-2"/>
          <c:w val="0.96816447944008066"/>
          <c:h val="0.955758746266282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Org_nast!$AG$9</c:f>
              <c:strCache>
                <c:ptCount val="1"/>
                <c:pt idx="0">
                  <c:v>Black</c:v>
                </c:pt>
              </c:strCache>
            </c:strRef>
          </c:tx>
          <c:spPr>
            <a:solidFill>
              <a:srgbClr val="999999"/>
            </a:solidFill>
            <a:ln w="25400">
              <a:noFill/>
            </a:ln>
          </c:spPr>
          <c:invertIfNegative val="0"/>
          <c:cat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Org_nast!$AG$10:$AG$34</c:f>
              <c:numCache>
                <c:formatCode>0.00%</c:formatCode>
                <c:ptCount val="25"/>
                <c:pt idx="0">
                  <c:v>0.32735981861897862</c:v>
                </c:pt>
                <c:pt idx="1">
                  <c:v>0.19920114744209988</c:v>
                </c:pt>
                <c:pt idx="2">
                  <c:v>0.28915164019907896</c:v>
                </c:pt>
                <c:pt idx="3">
                  <c:v>0.18075668898690447</c:v>
                </c:pt>
                <c:pt idx="4">
                  <c:v>0.39559352870537973</c:v>
                </c:pt>
                <c:pt idx="5">
                  <c:v>0.2719449823414305</c:v>
                </c:pt>
                <c:pt idx="6">
                  <c:v>0.15998646253677609</c:v>
                </c:pt>
                <c:pt idx="7">
                  <c:v>0.22448890928661117</c:v>
                </c:pt>
                <c:pt idx="8">
                  <c:v>0.19371924566633025</c:v>
                </c:pt>
                <c:pt idx="9">
                  <c:v>0.4319880016689755</c:v>
                </c:pt>
                <c:pt idx="10">
                  <c:v>0.19128340611651398</c:v>
                </c:pt>
                <c:pt idx="11">
                  <c:v>0.18676819547614082</c:v>
                </c:pt>
                <c:pt idx="12">
                  <c:v>#N/A</c:v>
                </c:pt>
                <c:pt idx="13">
                  <c:v>0.36480261558052496</c:v>
                </c:pt>
                <c:pt idx="14">
                  <c:v>0.21169410290782206</c:v>
                </c:pt>
                <c:pt idx="15">
                  <c:v>0.23994260354456687</c:v>
                </c:pt>
                <c:pt idx="16">
                  <c:v>0.31026176109574649</c:v>
                </c:pt>
                <c:pt idx="17">
                  <c:v>0.43349513734951156</c:v>
                </c:pt>
                <c:pt idx="18">
                  <c:v>0.30347119355664243</c:v>
                </c:pt>
                <c:pt idx="19">
                  <c:v>0.36579806587741692</c:v>
                </c:pt>
                <c:pt idx="20">
                  <c:v>0.2414875067801808</c:v>
                </c:pt>
                <c:pt idx="21">
                  <c:v>0.2521915824275745</c:v>
                </c:pt>
                <c:pt idx="22">
                  <c:v>0.230964350894065</c:v>
                </c:pt>
                <c:pt idx="23">
                  <c:v>0.21231140847613134</c:v>
                </c:pt>
                <c:pt idx="24">
                  <c:v>0.41064340400471144</c:v>
                </c:pt>
              </c:numCache>
            </c:numRef>
          </c:val>
        </c:ser>
        <c:ser>
          <c:idx val="1"/>
          <c:order val="1"/>
          <c:tx>
            <c:strRef>
              <c:f>Org_nast!$AH$9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rgbClr val="4C4C4C"/>
            </a:solidFill>
            <a:ln w="25400">
              <a:noFill/>
            </a:ln>
          </c:spPr>
          <c:invertIfNegative val="0"/>
          <c:cat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Org_nast!$AH$10:$AH$34</c:f>
              <c:numCache>
                <c:formatCode>0.00%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6.4374650066205075E-2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8162176"/>
        <c:axId val="83759104"/>
      </c:barChart>
      <c:scatterChart>
        <c:scatterStyle val="lineMarker"/>
        <c:varyColors val="0"/>
        <c:ser>
          <c:idx val="6"/>
          <c:order val="2"/>
          <c:tx>
            <c:v>MinXY</c:v>
          </c:tx>
          <c:spPr>
            <a:ln w="28575">
              <a:noFill/>
            </a:ln>
          </c:spPr>
          <c:marker>
            <c:symbol val="none"/>
          </c:marker>
          <c:xVal>
            <c:numRef>
              <c:f>Org_nast!$AI$10:$AI$34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xVal>
          <c:yVal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yVal>
          <c:smooth val="0"/>
        </c:ser>
        <c:ser>
          <c:idx val="3"/>
          <c:order val="3"/>
          <c:tx>
            <c:v>MaxXY</c:v>
          </c:tx>
          <c:spPr>
            <a:ln w="28575">
              <a:noFill/>
            </a:ln>
          </c:spPr>
          <c:marker>
            <c:symbol val="none"/>
          </c:marker>
          <c:xVal>
            <c:numRef>
              <c:f>Org_nast!$AJ$10:$AJ$34</c:f>
              <c:numCache>
                <c:formatCode>0.00%</c:formatCode>
                <c:ptCount val="25"/>
                <c:pt idx="0">
                  <c:v>0.87606844638229608</c:v>
                </c:pt>
                <c:pt idx="1">
                  <c:v>0.87606844638229608</c:v>
                </c:pt>
                <c:pt idx="2">
                  <c:v>0.87606844638229608</c:v>
                </c:pt>
                <c:pt idx="3">
                  <c:v>0.87606844638229608</c:v>
                </c:pt>
                <c:pt idx="4">
                  <c:v>0.87606844638229608</c:v>
                </c:pt>
                <c:pt idx="5">
                  <c:v>0.87606844638229608</c:v>
                </c:pt>
                <c:pt idx="6">
                  <c:v>0.87606844638229608</c:v>
                </c:pt>
                <c:pt idx="7">
                  <c:v>0.87606844638229608</c:v>
                </c:pt>
                <c:pt idx="8">
                  <c:v>0.87606844638229608</c:v>
                </c:pt>
                <c:pt idx="9">
                  <c:v>0.87606844638229608</c:v>
                </c:pt>
                <c:pt idx="10">
                  <c:v>0.87606844638229608</c:v>
                </c:pt>
                <c:pt idx="11">
                  <c:v>0.87606844638229608</c:v>
                </c:pt>
                <c:pt idx="12">
                  <c:v>0.87606844638229608</c:v>
                </c:pt>
                <c:pt idx="13">
                  <c:v>0.87606844638229608</c:v>
                </c:pt>
                <c:pt idx="14">
                  <c:v>0.87606844638229608</c:v>
                </c:pt>
                <c:pt idx="15">
                  <c:v>0.87606844638229608</c:v>
                </c:pt>
                <c:pt idx="16">
                  <c:v>0.87606844638229608</c:v>
                </c:pt>
                <c:pt idx="17">
                  <c:v>0.87606844638229608</c:v>
                </c:pt>
                <c:pt idx="18">
                  <c:v>0.87606844638229608</c:v>
                </c:pt>
                <c:pt idx="19">
                  <c:v>0.87606844638229608</c:v>
                </c:pt>
                <c:pt idx="20">
                  <c:v>0.87606844638229608</c:v>
                </c:pt>
                <c:pt idx="21">
                  <c:v>0.87606844638229608</c:v>
                </c:pt>
                <c:pt idx="22">
                  <c:v>0.87606844638229608</c:v>
                </c:pt>
                <c:pt idx="23">
                  <c:v>0.87606844638229608</c:v>
                </c:pt>
                <c:pt idx="24">
                  <c:v>0.87606844638229608</c:v>
                </c:pt>
              </c:numCache>
            </c:numRef>
          </c:xVal>
          <c:yVal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60640"/>
        <c:axId val="83762176"/>
      </c:scatterChart>
      <c:catAx>
        <c:axId val="781621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83759104"/>
        <c:crosses val="autoZero"/>
        <c:auto val="1"/>
        <c:lblAlgn val="ctr"/>
        <c:lblOffset val="100"/>
        <c:noMultiLvlLbl val="0"/>
      </c:catAx>
      <c:valAx>
        <c:axId val="83759104"/>
        <c:scaling>
          <c:orientation val="minMax"/>
          <c:max val="1"/>
        </c:scaling>
        <c:delete val="1"/>
        <c:axPos val="t"/>
        <c:numFmt formatCode="0.00%" sourceLinked="1"/>
        <c:majorTickMark val="out"/>
        <c:minorTickMark val="none"/>
        <c:tickLblPos val="nextTo"/>
        <c:crossAx val="78162176"/>
        <c:crosses val="autoZero"/>
        <c:crossBetween val="between"/>
      </c:valAx>
      <c:valAx>
        <c:axId val="83760640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83762176"/>
        <c:crossesAt val="10"/>
        <c:crossBetween val="midCat"/>
        <c:majorUnit val="100"/>
      </c:valAx>
      <c:valAx>
        <c:axId val="83762176"/>
        <c:scaling>
          <c:orientation val="minMax"/>
          <c:max val="10"/>
          <c:min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83760640"/>
        <c:crosses val="max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3D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98425196899999967" l="0.78740157499999996" r="0.78740157499999996" t="0.98425196899999967" header="0.49212598450000017" footer="0.4921259845000001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480039497813513E-2"/>
          <c:y val="3.2958793722305292E-2"/>
          <c:w val="0.95451996050218668"/>
          <c:h val="0.94679504504504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Org_nast!$AB$9</c:f>
              <c:strCache>
                <c:ptCount val="1"/>
                <c:pt idx="0">
                  <c:v>Black</c:v>
                </c:pt>
              </c:strCache>
            </c:strRef>
          </c:tx>
          <c:spPr>
            <a:solidFill>
              <a:srgbClr val="999999"/>
            </a:solidFill>
            <a:ln>
              <a:noFill/>
            </a:ln>
          </c:spPr>
          <c:invertIfNegative val="0"/>
          <c:val>
            <c:numRef>
              <c:f>Org_nast!$AB$10:$AB$34</c:f>
              <c:numCache>
                <c:formatCode>0.00%</c:formatCode>
                <c:ptCount val="25"/>
                <c:pt idx="0">
                  <c:v>1.5475174638625226</c:v>
                </c:pt>
                <c:pt idx="1">
                  <c:v>1.2782166167326572</c:v>
                </c:pt>
                <c:pt idx="2">
                  <c:v>1.2112774924624132</c:v>
                </c:pt>
                <c:pt idx="3">
                  <c:v>1.1110218428044687</c:v>
                </c:pt>
                <c:pt idx="4">
                  <c:v>1.1389835134337243</c:v>
                </c:pt>
                <c:pt idx="5">
                  <c:v>#N/A</c:v>
                </c:pt>
                <c:pt idx="6">
                  <c:v>1.0546669100816202</c:v>
                </c:pt>
                <c:pt idx="7">
                  <c:v>1.1558831163826655</c:v>
                </c:pt>
                <c:pt idx="8">
                  <c:v>1.347161575240174</c:v>
                </c:pt>
                <c:pt idx="9">
                  <c:v>1.1260163548148623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1.1618877200269224</c:v>
                </c:pt>
                <c:pt idx="15">
                  <c:v>#N/A</c:v>
                </c:pt>
                <c:pt idx="16">
                  <c:v>#N/A</c:v>
                </c:pt>
                <c:pt idx="17">
                  <c:v>1.0747019441625956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1.0000889807922233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Org_nast!$AC$9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val>
            <c:numRef>
              <c:f>Org_nast!$AC$10:$AC$34</c:f>
              <c:numCache>
                <c:formatCode>0.00%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0.9915820156888262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0.9157511476783341</c:v>
                </c:pt>
                <c:pt idx="11">
                  <c:v>0.99203988872427185</c:v>
                </c:pt>
                <c:pt idx="12">
                  <c:v>0.87226002748380138</c:v>
                </c:pt>
                <c:pt idx="13">
                  <c:v>0.86508096830314807</c:v>
                </c:pt>
                <c:pt idx="14">
                  <c:v>#N/A</c:v>
                </c:pt>
                <c:pt idx="15">
                  <c:v>0.87684215411516708</c:v>
                </c:pt>
                <c:pt idx="16">
                  <c:v>0.81177282872796908</c:v>
                </c:pt>
                <c:pt idx="17">
                  <c:v>#N/A</c:v>
                </c:pt>
                <c:pt idx="18">
                  <c:v>0.88750030307700212</c:v>
                </c:pt>
                <c:pt idx="19">
                  <c:v>0.80377911695578275</c:v>
                </c:pt>
                <c:pt idx="20">
                  <c:v>0.74993666120642577</c:v>
                </c:pt>
                <c:pt idx="21">
                  <c:v>0.84133072844134993</c:v>
                </c:pt>
                <c:pt idx="22">
                  <c:v>#N/A</c:v>
                </c:pt>
                <c:pt idx="23">
                  <c:v>0.7395949442300892</c:v>
                </c:pt>
                <c:pt idx="24">
                  <c:v>0.99130168539483965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83778560"/>
        <c:axId val="83800832"/>
      </c:barChart>
      <c:catAx>
        <c:axId val="83778560"/>
        <c:scaling>
          <c:orientation val="maxMin"/>
        </c:scaling>
        <c:delete val="0"/>
        <c:axPos val="l"/>
        <c:majorTickMark val="none"/>
        <c:minorTickMark val="none"/>
        <c:tickLblPos val="none"/>
        <c:spPr>
          <a:noFill/>
          <a:ln>
            <a:noFill/>
          </a:ln>
        </c:spPr>
        <c:crossAx val="83800832"/>
        <c:crossesAt val="0"/>
        <c:auto val="1"/>
        <c:lblAlgn val="ctr"/>
        <c:lblOffset val="100"/>
        <c:tickLblSkip val="1"/>
        <c:noMultiLvlLbl val="0"/>
      </c:catAx>
      <c:valAx>
        <c:axId val="83800832"/>
        <c:scaling>
          <c:orientation val="minMax"/>
        </c:scaling>
        <c:delete val="0"/>
        <c:axPos val="t"/>
        <c:numFmt formatCode="0.00%" sourceLinked="1"/>
        <c:majorTickMark val="none"/>
        <c:minorTickMark val="none"/>
        <c:tickLblPos val="none"/>
        <c:crossAx val="83778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5480039497813513E-2"/>
          <c:y val="3.2958793722305292E-2"/>
          <c:w val="0.95452029914529912"/>
          <c:h val="0.94679504504504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Org_nast!$W$9</c:f>
              <c:strCache>
                <c:ptCount val="1"/>
                <c:pt idx="0">
                  <c:v>Black</c:v>
                </c:pt>
              </c:strCache>
            </c:strRef>
          </c:tx>
          <c:spPr>
            <a:solidFill>
              <a:srgbClr val="999999"/>
            </a:solidFill>
            <a:ln>
              <a:noFill/>
            </a:ln>
          </c:spPr>
          <c:invertIfNegative val="0"/>
          <c:val>
            <c:numRef>
              <c:f>Org_nast!$W$10:$W$34</c:f>
              <c:numCache>
                <c:formatCode>0.00%</c:formatCode>
                <c:ptCount val="25"/>
                <c:pt idx="0">
                  <c:v>1.1797372454866928</c:v>
                </c:pt>
                <c:pt idx="1">
                  <c:v>0.80617335984095428</c:v>
                </c:pt>
                <c:pt idx="2">
                  <c:v>0.93106895890244634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0.93305857877777154</c:v>
                </c:pt>
                <c:pt idx="11">
                  <c:v>#N/A</c:v>
                </c:pt>
                <c:pt idx="12">
                  <c:v>0.84471534763929079</c:v>
                </c:pt>
                <c:pt idx="13">
                  <c:v>0.84317049572296132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1.0877444256688795</c:v>
                </c:pt>
                <c:pt idx="21">
                  <c:v>#N/A</c:v>
                </c:pt>
                <c:pt idx="22">
                  <c:v>#N/A</c:v>
                </c:pt>
                <c:pt idx="23">
                  <c:v>1.0440514580403188</c:v>
                </c:pt>
                <c:pt idx="24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Org_nast!$X$9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val>
            <c:numRef>
              <c:f>Org_nast!$X$10:$X$34</c:f>
              <c:numCache>
                <c:formatCode>0.00%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0.76548613658943054</c:v>
                </c:pt>
                <c:pt idx="4">
                  <c:v>0.74733032415360456</c:v>
                </c:pt>
                <c:pt idx="5">
                  <c:v>0.75069006796081417</c:v>
                </c:pt>
                <c:pt idx="6">
                  <c:v>0.71352648671671193</c:v>
                </c:pt>
                <c:pt idx="7">
                  <c:v>0.70993507197007644</c:v>
                </c:pt>
                <c:pt idx="8">
                  <c:v>0.70761833119134798</c:v>
                </c:pt>
                <c:pt idx="9">
                  <c:v>0.70217979740061165</c:v>
                </c:pt>
                <c:pt idx="10">
                  <c:v>#N/A</c:v>
                </c:pt>
                <c:pt idx="11">
                  <c:v>0.67402211906761733</c:v>
                </c:pt>
                <c:pt idx="12">
                  <c:v>#N/A</c:v>
                </c:pt>
                <c:pt idx="13">
                  <c:v>#N/A</c:v>
                </c:pt>
                <c:pt idx="14">
                  <c:v>0.59978382723968349</c:v>
                </c:pt>
                <c:pt idx="15">
                  <c:v>0.72520667924211935</c:v>
                </c:pt>
                <c:pt idx="16">
                  <c:v>0.79469126499115605</c:v>
                </c:pt>
                <c:pt idx="17">
                  <c:v>0.51744099394711685</c:v>
                </c:pt>
                <c:pt idx="18">
                  <c:v>0.64906976729850507</c:v>
                </c:pt>
                <c:pt idx="19">
                  <c:v>0.74243002903359601</c:v>
                </c:pt>
                <c:pt idx="20">
                  <c:v>#N/A</c:v>
                </c:pt>
                <c:pt idx="21">
                  <c:v>0.6862480092732568</c:v>
                </c:pt>
                <c:pt idx="22">
                  <c:v>0.4902738201277404</c:v>
                </c:pt>
                <c:pt idx="23">
                  <c:v>#N/A</c:v>
                </c:pt>
                <c:pt idx="24">
                  <c:v>0.47102082023486896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83850368"/>
        <c:axId val="83851904"/>
      </c:barChart>
      <c:catAx>
        <c:axId val="83850368"/>
        <c:scaling>
          <c:orientation val="maxMin"/>
        </c:scaling>
        <c:delete val="0"/>
        <c:axPos val="l"/>
        <c:majorTickMark val="none"/>
        <c:minorTickMark val="none"/>
        <c:tickLblPos val="none"/>
        <c:spPr>
          <a:noFill/>
          <a:ln>
            <a:noFill/>
          </a:ln>
        </c:spPr>
        <c:crossAx val="83851904"/>
        <c:crossesAt val="0"/>
        <c:auto val="1"/>
        <c:lblAlgn val="ctr"/>
        <c:lblOffset val="100"/>
        <c:tickLblSkip val="1"/>
        <c:noMultiLvlLbl val="0"/>
      </c:catAx>
      <c:valAx>
        <c:axId val="83851904"/>
        <c:scaling>
          <c:orientation val="minMax"/>
        </c:scaling>
        <c:delete val="0"/>
        <c:axPos val="t"/>
        <c:numFmt formatCode="0.00%" sourceLinked="1"/>
        <c:majorTickMark val="none"/>
        <c:minorTickMark val="none"/>
        <c:tickLblPos val="none"/>
        <c:crossAx val="83850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cs-CZ">
                <a:solidFill>
                  <a:srgbClr val="00233E"/>
                </a:solidFill>
              </a:rPr>
              <a:t>Počty organizací dle úrovně ratingu</a:t>
            </a:r>
          </a:p>
        </c:rich>
      </c:tx>
      <c:layout>
        <c:manualLayout>
          <c:xMode val="edge"/>
          <c:yMode val="edge"/>
          <c:x val="0.34478023388120616"/>
          <c:y val="1.7528539980398324E-2"/>
        </c:manualLayout>
      </c:layout>
      <c:overlay val="0"/>
      <c:spPr>
        <a:solidFill>
          <a:sysClr val="window" lastClr="FFFFFF"/>
        </a:solidFill>
        <a:ln w="127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909297178006223E-2"/>
          <c:y val="1.0495356320732572E-2"/>
          <c:w val="0.91027438936263738"/>
          <c:h val="0.91464281566154815"/>
        </c:manualLayout>
      </c:layout>
      <c:lineChart>
        <c:grouping val="standard"/>
        <c:varyColors val="0"/>
        <c:ser>
          <c:idx val="1"/>
          <c:order val="0"/>
          <c:tx>
            <c:strRef>
              <c:f>data!$BG$26</c:f>
              <c:strCache>
                <c:ptCount val="1"/>
                <c:pt idx="0">
                  <c:v>A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ymbol val="circle"/>
            <c:size val="15"/>
            <c:spPr>
              <a:solidFill>
                <a:srgbClr val="00B050"/>
              </a:solidFill>
            </c:spPr>
          </c:marker>
          <c:dLbls>
            <c:dLbl>
              <c:idx val="2"/>
              <c:layout>
                <c:manualLayout>
                  <c:x val="-8.6575563978932976E-5"/>
                  <c:y val="-1.63077875792131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1786605479530085E-3"/>
                  <c:y val="-8.473765021621292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2007544701561858E-2"/>
                  <c:y val="3.258324694516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2007544701561858E-2"/>
                  <c:y val="2.574044180454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44701561858E-2"/>
                  <c:y val="3.486418199203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007505745422467E-2"/>
                  <c:y val="3.5155501427739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4.6179723095101256E-3"/>
                  <c:y val="2.1178575514499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3166814060091242E-2"/>
                  <c:y val="3.2583252797154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1912935397863573E-2"/>
                  <c:y val="3.4864188253685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0848197430753692E-2"/>
                  <c:y val="-2.900200452918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-3.356386941413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0848197430753692E-2"/>
                  <c:y val="-3.3564055043462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5.883535339003659E-3"/>
                  <c:y val="-2.4440133616121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C477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data!$BF$27:$BF$42</c:f>
              <c:strCache>
                <c:ptCount val="1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I.</c:v>
                </c:pt>
                <c:pt idx="5">
                  <c:v>I. - II.</c:v>
                </c:pt>
                <c:pt idx="6">
                  <c:v>I. - III.</c:v>
                </c:pt>
                <c:pt idx="7">
                  <c:v>I. - IV.</c:v>
                </c:pt>
                <c:pt idx="8">
                  <c:v>I. - V.</c:v>
                </c:pt>
                <c:pt idx="9">
                  <c:v>I. - VI.</c:v>
                </c:pt>
                <c:pt idx="10">
                  <c:v>I. - VII.</c:v>
                </c:pt>
                <c:pt idx="11">
                  <c:v>I. - VIII.</c:v>
                </c:pt>
                <c:pt idx="12">
                  <c:v>I. - IX.</c:v>
                </c:pt>
                <c:pt idx="13">
                  <c:v>I. - X.</c:v>
                </c:pt>
                <c:pt idx="14">
                  <c:v>I. - XI.</c:v>
                </c:pt>
                <c:pt idx="15">
                  <c:v>I. - XII.</c:v>
                </c:pt>
              </c:strCache>
            </c:strRef>
          </c:cat>
          <c:val>
            <c:numRef>
              <c:f>data!$BG$27:$BG$42</c:f>
              <c:numCache>
                <c:formatCode>@</c:formatCode>
                <c:ptCount val="16"/>
                <c:pt idx="0">
                  <c:v>37</c:v>
                </c:pt>
                <c:pt idx="1">
                  <c:v>58</c:v>
                </c:pt>
                <c:pt idx="2" formatCode="General">
                  <c:v>62</c:v>
                </c:pt>
                <c:pt idx="3">
                  <c:v>48</c:v>
                </c:pt>
                <c:pt idx="4">
                  <c:v>32</c:v>
                </c:pt>
                <c:pt idx="5">
                  <c:v>26</c:v>
                </c:pt>
                <c:pt idx="6">
                  <c:v>32</c:v>
                </c:pt>
                <c:pt idx="7" formatCode="General">
                  <c:v>33</c:v>
                </c:pt>
                <c:pt idx="8" formatCode="General">
                  <c:v>37</c:v>
                </c:pt>
                <c:pt idx="9" formatCode="General">
                  <c:v>38</c:v>
                </c:pt>
                <c:pt idx="10" formatCode="General">
                  <c:v>37</c:v>
                </c:pt>
                <c:pt idx="11" formatCode="General">
                  <c:v>36</c:v>
                </c:pt>
                <c:pt idx="12" formatCode="General">
                  <c:v>34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data!$BH$26</c:f>
              <c:strCache>
                <c:ptCount val="1"/>
                <c:pt idx="0">
                  <c:v>B</c:v>
                </c:pt>
              </c:strCache>
            </c:strRef>
          </c:tx>
          <c:spPr>
            <a:ln w="31750">
              <a:solidFill>
                <a:srgbClr val="F79646"/>
              </a:solidFill>
            </a:ln>
          </c:spPr>
          <c:marker>
            <c:symbol val="circle"/>
            <c:size val="15"/>
            <c:spPr>
              <a:solidFill>
                <a:srgbClr val="F79646"/>
              </a:solidFill>
            </c:spPr>
          </c:marker>
          <c:dLbls>
            <c:dLbl>
              <c:idx val="1"/>
              <c:layout>
                <c:manualLayout>
                  <c:x val="-4.5082249056912285E-2"/>
                  <c:y val="8.473763499723055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007544701561858E-2"/>
                  <c:y val="3.1283113968446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774869466669994E-2"/>
                  <c:y val="1.303563359346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0853857046148137E-2"/>
                  <c:y val="2.900218413040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9700074266026813E-2"/>
                  <c:y val="-3.7144937437723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05745422467E-2"/>
                  <c:y val="-3.258307319593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007544701561858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0848288714872959E-2"/>
                  <c:y val="-3.2583073195937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2007544701561858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200759702954173E-2"/>
                  <c:y val="-3.4864008652468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07521787049344E-2"/>
                  <c:y val="-3.0185568909149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05745422467E-2"/>
                  <c:y val="-2.8021202282875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007544701561858E-2"/>
                  <c:y val="3.1283113968446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515800185635385E-2"/>
                  <c:y val="2.672124867386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FFA817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data!$BF$27:$BF$42</c:f>
              <c:strCache>
                <c:ptCount val="1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I.</c:v>
                </c:pt>
                <c:pt idx="5">
                  <c:v>I. - II.</c:v>
                </c:pt>
                <c:pt idx="6">
                  <c:v>I. - III.</c:v>
                </c:pt>
                <c:pt idx="7">
                  <c:v>I. - IV.</c:v>
                </c:pt>
                <c:pt idx="8">
                  <c:v>I. - V.</c:v>
                </c:pt>
                <c:pt idx="9">
                  <c:v>I. - VI.</c:v>
                </c:pt>
                <c:pt idx="10">
                  <c:v>I. - VII.</c:v>
                </c:pt>
                <c:pt idx="11">
                  <c:v>I. - VIII.</c:v>
                </c:pt>
                <c:pt idx="12">
                  <c:v>I. - IX.</c:v>
                </c:pt>
                <c:pt idx="13">
                  <c:v>I. - X.</c:v>
                </c:pt>
                <c:pt idx="14">
                  <c:v>I. - XI.</c:v>
                </c:pt>
                <c:pt idx="15">
                  <c:v>I. - XII.</c:v>
                </c:pt>
              </c:strCache>
            </c:strRef>
          </c:cat>
          <c:val>
            <c:numRef>
              <c:f>data!$BH$27:$BH$42</c:f>
              <c:numCache>
                <c:formatCode>General</c:formatCode>
                <c:ptCount val="16"/>
                <c:pt idx="0">
                  <c:v>33</c:v>
                </c:pt>
                <c:pt idx="1">
                  <c:v>40</c:v>
                </c:pt>
                <c:pt idx="2">
                  <c:v>32</c:v>
                </c:pt>
                <c:pt idx="3">
                  <c:v>45</c:v>
                </c:pt>
                <c:pt idx="4">
                  <c:v>39</c:v>
                </c:pt>
                <c:pt idx="5">
                  <c:v>46</c:v>
                </c:pt>
                <c:pt idx="6">
                  <c:v>35</c:v>
                </c:pt>
                <c:pt idx="7">
                  <c:v>39</c:v>
                </c:pt>
                <c:pt idx="8">
                  <c:v>39</c:v>
                </c:pt>
                <c:pt idx="9">
                  <c:v>40</c:v>
                </c:pt>
                <c:pt idx="10">
                  <c:v>41</c:v>
                </c:pt>
                <c:pt idx="11">
                  <c:v>39</c:v>
                </c:pt>
                <c:pt idx="12">
                  <c:v>37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data!$BI$26</c:f>
              <c:strCache>
                <c:ptCount val="1"/>
                <c:pt idx="0">
                  <c:v>C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circle"/>
            <c:size val="15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2007544701561858E-2"/>
                  <c:y val="-2.9001999320389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007544701561858E-2"/>
                  <c:y val="-3.356386941413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9700074266026813E-2"/>
                  <c:y val="-3.128293436726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2013165360816912E-2"/>
                  <c:y val="-3.3563875442245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0853765762028874E-2"/>
                  <c:y val="3.030231734062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05745422467E-2"/>
                  <c:y val="3.030231734062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007505745422467E-2"/>
                  <c:y val="-2.8710691355128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0853211530376885E-2"/>
                  <c:y val="3.726168439471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9352233284319664E-5"/>
                  <c:y val="-1.3035456333466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2007505745422467E-2"/>
                  <c:y val="2.8021381884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07544701561858E-2"/>
                  <c:y val="3.486418199203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3.258324694516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007521787049344E-2"/>
                  <c:y val="2.947755214808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1680076912347528E-2"/>
                  <c:y val="3.0302317340623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FF2E38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data!$BF$27:$BF$42</c:f>
              <c:strCache>
                <c:ptCount val="1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I.</c:v>
                </c:pt>
                <c:pt idx="5">
                  <c:v>I. - II.</c:v>
                </c:pt>
                <c:pt idx="6">
                  <c:v>I. - III.</c:v>
                </c:pt>
                <c:pt idx="7">
                  <c:v>I. - IV.</c:v>
                </c:pt>
                <c:pt idx="8">
                  <c:v>I. - V.</c:v>
                </c:pt>
                <c:pt idx="9">
                  <c:v>I. - VI.</c:v>
                </c:pt>
                <c:pt idx="10">
                  <c:v>I. - VII.</c:v>
                </c:pt>
                <c:pt idx="11">
                  <c:v>I. - VIII.</c:v>
                </c:pt>
                <c:pt idx="12">
                  <c:v>I. - IX.</c:v>
                </c:pt>
                <c:pt idx="13">
                  <c:v>I. - X.</c:v>
                </c:pt>
                <c:pt idx="14">
                  <c:v>I. - XI.</c:v>
                </c:pt>
                <c:pt idx="15">
                  <c:v>I. - XII.</c:v>
                </c:pt>
              </c:strCache>
            </c:strRef>
          </c:cat>
          <c:val>
            <c:numRef>
              <c:f>data!$BI$27:$BI$42</c:f>
              <c:numCache>
                <c:formatCode>General</c:formatCode>
                <c:ptCount val="16"/>
                <c:pt idx="0">
                  <c:v>46</c:v>
                </c:pt>
                <c:pt idx="1">
                  <c:v>41</c:v>
                </c:pt>
                <c:pt idx="2">
                  <c:v>33</c:v>
                </c:pt>
                <c:pt idx="3">
                  <c:v>34</c:v>
                </c:pt>
                <c:pt idx="4">
                  <c:v>42</c:v>
                </c:pt>
                <c:pt idx="5">
                  <c:v>44</c:v>
                </c:pt>
                <c:pt idx="6">
                  <c:v>50</c:v>
                </c:pt>
                <c:pt idx="7">
                  <c:v>47</c:v>
                </c:pt>
                <c:pt idx="8">
                  <c:v>45</c:v>
                </c:pt>
                <c:pt idx="9">
                  <c:v>40</c:v>
                </c:pt>
                <c:pt idx="10">
                  <c:v>40</c:v>
                </c:pt>
                <c:pt idx="11">
                  <c:v>44</c:v>
                </c:pt>
                <c:pt idx="12">
                  <c:v>48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data!$BJ$26</c:f>
              <c:strCache>
                <c:ptCount val="1"/>
                <c:pt idx="0">
                  <c:v>D</c:v>
                </c:pt>
              </c:strCache>
            </c:strRef>
          </c:tx>
          <c:spPr>
            <a:ln w="31750">
              <a:solidFill>
                <a:sysClr val="windowText" lastClr="000000"/>
              </a:solidFill>
            </a:ln>
          </c:spPr>
          <c:marker>
            <c:symbol val="circle"/>
            <c:size val="15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0"/>
              <c:layout>
                <c:manualLayout>
                  <c:x val="-2.7776220790399458E-2"/>
                  <c:y val="3.1283113968446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316127991932938E-2"/>
                  <c:y val="3.5844984062190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007544701561858E-2"/>
                  <c:y val="-3.486436159322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0670688084958519E-3"/>
                  <c:y val="6.19264885166594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0853809483794335E-2"/>
                  <c:y val="-3.9425872484595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0853809483794335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21787049344E-2"/>
                  <c:y val="-3.403913984436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0853809483794335E-2"/>
                  <c:y val="-3.258306734397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2007544701561858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2007544701561858E-2"/>
                  <c:y val="-3.258306734397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2007544701561858E-2"/>
                  <c:y val="-3.258306734397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07544701561858E-2"/>
                  <c:y val="-3.25830673439787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-3.0302132297106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007505745422467E-2"/>
                  <c:y val="2.6721248673869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9.3614602830099803E-3"/>
                  <c:y val="-2.1178395913282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data!$BF$27:$BF$42</c:f>
              <c:strCache>
                <c:ptCount val="1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I.</c:v>
                </c:pt>
                <c:pt idx="5">
                  <c:v>I. - II.</c:v>
                </c:pt>
                <c:pt idx="6">
                  <c:v>I. - III.</c:v>
                </c:pt>
                <c:pt idx="7">
                  <c:v>I. - IV.</c:v>
                </c:pt>
                <c:pt idx="8">
                  <c:v>I. - V.</c:v>
                </c:pt>
                <c:pt idx="9">
                  <c:v>I. - VI.</c:v>
                </c:pt>
                <c:pt idx="10">
                  <c:v>I. - VII.</c:v>
                </c:pt>
                <c:pt idx="11">
                  <c:v>I. - VIII.</c:v>
                </c:pt>
                <c:pt idx="12">
                  <c:v>I. - IX.</c:v>
                </c:pt>
                <c:pt idx="13">
                  <c:v>I. - X.</c:v>
                </c:pt>
                <c:pt idx="14">
                  <c:v>I. - XI.</c:v>
                </c:pt>
                <c:pt idx="15">
                  <c:v>I. - XII.</c:v>
                </c:pt>
              </c:strCache>
            </c:strRef>
          </c:cat>
          <c:val>
            <c:numRef>
              <c:f>data!$BJ$27:$BJ$42</c:f>
              <c:numCache>
                <c:formatCode>General</c:formatCode>
                <c:ptCount val="16"/>
                <c:pt idx="0">
                  <c:v>58</c:v>
                </c:pt>
                <c:pt idx="1">
                  <c:v>35</c:v>
                </c:pt>
                <c:pt idx="2">
                  <c:v>47</c:v>
                </c:pt>
                <c:pt idx="3">
                  <c:v>47</c:v>
                </c:pt>
                <c:pt idx="4">
                  <c:v>59</c:v>
                </c:pt>
                <c:pt idx="5">
                  <c:v>56</c:v>
                </c:pt>
                <c:pt idx="6">
                  <c:v>56</c:v>
                </c:pt>
                <c:pt idx="7">
                  <c:v>54</c:v>
                </c:pt>
                <c:pt idx="8">
                  <c:v>52</c:v>
                </c:pt>
                <c:pt idx="9">
                  <c:v>55</c:v>
                </c:pt>
                <c:pt idx="10">
                  <c:v>55</c:v>
                </c:pt>
                <c:pt idx="11">
                  <c:v>54</c:v>
                </c:pt>
                <c:pt idx="12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12352"/>
        <c:axId val="84255104"/>
      </c:lineChart>
      <c:catAx>
        <c:axId val="84212352"/>
        <c:scaling>
          <c:orientation val="minMax"/>
        </c:scaling>
        <c:delete val="0"/>
        <c:axPos val="b"/>
        <c:majorGridlines>
          <c:spPr>
            <a:ln w="3175">
              <a:noFill/>
              <a:prstDash val="sysDot"/>
            </a:ln>
          </c:spPr>
        </c:majorGridlines>
        <c:numFmt formatCode="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4255104"/>
        <c:crosses val="autoZero"/>
        <c:auto val="1"/>
        <c:lblAlgn val="ctr"/>
        <c:lblOffset val="100"/>
        <c:noMultiLvlLbl val="0"/>
      </c:catAx>
      <c:valAx>
        <c:axId val="84255104"/>
        <c:scaling>
          <c:orientation val="minMax"/>
          <c:min val="20"/>
        </c:scaling>
        <c:delete val="0"/>
        <c:axPos val="l"/>
        <c:majorGridlines>
          <c:spPr>
            <a:ln w="6350">
              <a:solidFill>
                <a:srgbClr val="003C69"/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4212352"/>
        <c:crosses val="autoZero"/>
        <c:crossBetween val="between"/>
      </c:valAx>
      <c:spPr>
        <a:solidFill>
          <a:sysClr val="window" lastClr="FFFFFF"/>
        </a:solidFill>
        <a:ln>
          <a:solidFill>
            <a:srgbClr val="00233E"/>
          </a:solidFill>
        </a:ln>
      </c:spPr>
    </c:plotArea>
    <c:legend>
      <c:legendPos val="tr"/>
      <c:layout>
        <c:manualLayout>
          <c:xMode val="edge"/>
          <c:yMode val="edge"/>
          <c:x val="0.74325348789145806"/>
          <c:y val="1.8475577197901324E-2"/>
          <c:w val="0.17021635931872148"/>
          <c:h val="5.3602983837546622E-2"/>
        </c:manualLayout>
      </c:layout>
      <c:overlay val="0"/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rgbClr val="4F81BD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anchor="t" anchorCtr="1"/>
          <a:lstStyle/>
          <a:p>
            <a:pPr>
              <a:defRPr sz="1400" b="1" i="0" u="none" strike="noStrike" baseline="0">
                <a:solidFill>
                  <a:srgbClr val="00233E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cs-CZ">
                <a:solidFill>
                  <a:srgbClr val="00233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Vývoj využívání SSN v průběhu let 2011/2015</a:t>
            </a:r>
            <a:r>
              <a:rPr lang="cs-CZ" baseline="0">
                <a:solidFill>
                  <a:srgbClr val="00233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cs-CZ">
                <a:solidFill>
                  <a:srgbClr val="00233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včetně procentuálního plnění plánu</a:t>
            </a:r>
          </a:p>
        </c:rich>
      </c:tx>
      <c:layout>
        <c:manualLayout>
          <c:xMode val="edge"/>
          <c:yMode val="edge"/>
          <c:x val="0.18447262247838617"/>
          <c:y val="2.8075646550453633E-2"/>
        </c:manualLayout>
      </c:layout>
      <c:overlay val="1"/>
      <c:spPr>
        <a:solidFill>
          <a:sysClr val="window" lastClr="FFFFFF"/>
        </a:solidFill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262782999091645E-2"/>
          <c:y val="1.9953393809780853E-2"/>
          <c:w val="0.89508916873384092"/>
          <c:h val="0.80405546789522486"/>
        </c:manualLayout>
      </c:layout>
      <c:lineChart>
        <c:grouping val="standard"/>
        <c:varyColors val="0"/>
        <c:ser>
          <c:idx val="0"/>
          <c:order val="0"/>
          <c:tx>
            <c:strRef>
              <c:f>data!$AZ$1</c:f>
              <c:strCache>
                <c:ptCount val="1"/>
                <c:pt idx="0">
                  <c:v>Evidované nákupy
(čtvrtletní plán = 973,16 mil.Kč)</c:v>
                </c:pt>
              </c:strCache>
            </c:strRef>
          </c:tx>
          <c:spPr>
            <a:ln w="50800">
              <a:solidFill>
                <a:srgbClr val="00ADD0"/>
              </a:solidFill>
              <a:prstDash val="solid"/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8917470244334194E-2"/>
                  <c:y val="-8.4183807100933136E-3"/>
                </c:manualLayout>
              </c:layout>
              <c:tx>
                <c:strRef>
                  <c:f>data!$BC$12</c:f>
                  <c:strCache>
                    <c:ptCount val="1"/>
                    <c:pt idx="0">
                      <c:v>5,33%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data!$BC$13</c:f>
                  <c:strCache>
                    <c:ptCount val="1"/>
                    <c:pt idx="0">
                      <c:v>6,45%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6575445834719692E-2"/>
                  <c:y val="-2.8900089886106338E-2"/>
                </c:manualLayout>
              </c:layout>
              <c:tx>
                <c:strRef>
                  <c:f>data!$BC$14</c:f>
                  <c:strCache>
                    <c:ptCount val="1"/>
                    <c:pt idx="0">
                      <c:v>11,34%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data!$BC$15</c:f>
                  <c:strCache>
                    <c:ptCount val="1"/>
                    <c:pt idx="0">
                      <c:v>20,46%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5403188237833906E-2"/>
                  <c:y val="-2.4842894282295098E-2"/>
                </c:manualLayout>
              </c:layout>
              <c:tx>
                <c:strRef>
                  <c:f>data!$BC$16</c:f>
                  <c:strCache>
                    <c:ptCount val="1"/>
                    <c:pt idx="0">
                      <c:v>67,17%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5419991667992709E-2"/>
                  <c:y val="-2.6491749062264123E-2"/>
                </c:manualLayout>
              </c:layout>
              <c:tx>
                <c:strRef>
                  <c:f>data!$BC$17</c:f>
                  <c:strCache>
                    <c:ptCount val="1"/>
                    <c:pt idx="0">
                      <c:v>68,25%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7331812500904119E-2"/>
                  <c:y val="3.1308430709948536E-2"/>
                </c:manualLayout>
              </c:layout>
              <c:tx>
                <c:strRef>
                  <c:f>data!$BC$18</c:f>
                  <c:strCache>
                    <c:ptCount val="1"/>
                    <c:pt idx="0">
                      <c:v>67,31%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7793684880299056E-3"/>
                  <c:y val="-2.2915364821288562E-2"/>
                </c:manualLayout>
              </c:layout>
              <c:tx>
                <c:strRef>
                  <c:f>data!$BC$19</c:f>
                  <c:strCache>
                    <c:ptCount val="1"/>
                    <c:pt idx="0">
                      <c:v>80,06%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5396825396825397E-2"/>
                  <c:y val="1.6377460487764617E-2"/>
                </c:manualLayout>
              </c:layout>
              <c:tx>
                <c:strRef>
                  <c:f>data!$BC$20</c:f>
                  <c:strCache>
                    <c:ptCount val="1"/>
                    <c:pt idx="0">
                      <c:v>75,90%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3088023088023088E-2"/>
                  <c:y val="1.6377460487764662E-2"/>
                </c:manualLayout>
              </c:layout>
              <c:tx>
                <c:strRef>
                  <c:f>data!$BC$21</c:f>
                  <c:strCache>
                    <c:ptCount val="1"/>
                    <c:pt idx="0">
                      <c:v>76,96%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5396825396825397E-2"/>
                  <c:y val="2.1056734912840224E-2"/>
                </c:manualLayout>
              </c:layout>
              <c:tx>
                <c:strRef>
                  <c:f>data!$BC$22</c:f>
                  <c:strCache>
                    <c:ptCount val="1"/>
                    <c:pt idx="0">
                      <c:v>79,41%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1933621933621934E-2"/>
                  <c:y val="-1.8717097700302426E-2"/>
                </c:manualLayout>
              </c:layout>
              <c:tx>
                <c:strRef>
                  <c:f>data!$BC$23</c:f>
                  <c:strCache>
                    <c:ptCount val="1"/>
                    <c:pt idx="0">
                      <c:v>86,92%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0779220779220779E-2"/>
                  <c:y val="1.8717097700302422E-2"/>
                </c:manualLayout>
              </c:layout>
              <c:tx>
                <c:strRef>
                  <c:f>data!$BC$24</c:f>
                  <c:strCache>
                    <c:ptCount val="1"/>
                    <c:pt idx="0">
                      <c:v>73,39%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9624819624819625E-2"/>
                  <c:y val="1.6377460487764617E-2"/>
                </c:manualLayout>
              </c:layout>
              <c:tx>
                <c:strRef>
                  <c:f>data!$BC$25</c:f>
                  <c:strCache>
                    <c:ptCount val="1"/>
                    <c:pt idx="0">
                      <c:v>79,44%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2.4242424242424242E-2"/>
                  <c:y val="1.4037823275226794E-2"/>
                </c:manualLayout>
              </c:layout>
              <c:tx>
                <c:strRef>
                  <c:f>data!$BC$26</c:f>
                  <c:strCache>
                    <c:ptCount val="1"/>
                    <c:pt idx="0">
                      <c:v>78,48%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2.3088023088023088E-2"/>
                  <c:y val="-2.3396372125378026E-2"/>
                </c:manualLayout>
              </c:layout>
              <c:tx>
                <c:strRef>
                  <c:f>data!$BC$27</c:f>
                  <c:strCache>
                    <c:ptCount val="1"/>
                    <c:pt idx="0">
                      <c:v>108,57%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4.3867243867243867E-2"/>
                  <c:y val="1.1698186062689013E-2"/>
                </c:manualLayout>
              </c:layout>
              <c:tx>
                <c:strRef>
                  <c:f>data!$BC$28</c:f>
                  <c:strCache>
                    <c:ptCount val="1"/>
                    <c:pt idx="0">
                      <c:v>73,80%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305254337168133E-2"/>
                  <c:y val="-2.533103510551455E-2"/>
                </c:manualLayout>
              </c:layout>
              <c:tx>
                <c:strRef>
                  <c:f>data!$BC$29</c:f>
                  <c:strCache>
                    <c:ptCount val="1"/>
                    <c:pt idx="0">
                      <c:v>76,32%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2.7663052046017596E-2"/>
                  <c:y val="2.0725392359057359E-2"/>
                </c:manualLayout>
              </c:layout>
              <c:tx>
                <c:strRef>
                  <c:f>data!$BC$30</c:f>
                  <c:strCache>
                    <c:ptCount val="1"/>
                    <c:pt idx="0">
                      <c:v>74,80%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2.6449706267128222E-2"/>
                  <c:y val="-1.3816928239371572E-2"/>
                </c:manualLayout>
              </c:layout>
              <c:tx>
                <c:strRef>
                  <c:f>data!$BC$31</c:f>
                  <c:strCache>
                    <c:ptCount val="1"/>
                    <c:pt idx="0">
                      <c:v>89,64%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2.1611373762395081E-2"/>
                  <c:y val="2.3028213732285953E-2"/>
                </c:manualLayout>
              </c:layout>
              <c:tx>
                <c:strRef>
                  <c:f>data!$BC$32</c:f>
                  <c:strCache>
                    <c:ptCount val="1"/>
                    <c:pt idx="0">
                      <c:v>64,26%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2.6161136659741416E-2"/>
                  <c:y val="-2.3028213732285953E-2"/>
                </c:manualLayout>
              </c:layout>
              <c:tx>
                <c:strRef>
                  <c:f>data!$BC$33</c:f>
                  <c:strCache>
                    <c:ptCount val="1"/>
                    <c:pt idx="0">
                      <c:v>68,40%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2.5023695935404832E-2"/>
                  <c:y val="2.0725392359057359E-2"/>
                </c:manualLayout>
              </c:layout>
              <c:tx>
                <c:strRef>
                  <c:f>data!$BC$34</c:f>
                  <c:strCache>
                    <c:ptCount val="1"/>
                    <c:pt idx="0">
                      <c:v>51,10%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00ADD0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data!$AY$12:$AY$34</c:f>
              <c:strCache>
                <c:ptCount val="23"/>
                <c:pt idx="0">
                  <c:v>2011/1Q</c:v>
                </c:pt>
                <c:pt idx="1">
                  <c:v>2011/2Q</c:v>
                </c:pt>
                <c:pt idx="2">
                  <c:v>2011/3Q</c:v>
                </c:pt>
                <c:pt idx="3">
                  <c:v>2011/4Q</c:v>
                </c:pt>
                <c:pt idx="4">
                  <c:v>2012/1Q</c:v>
                </c:pt>
                <c:pt idx="5">
                  <c:v>2012/2Q</c:v>
                </c:pt>
                <c:pt idx="6">
                  <c:v>2012/3Q</c:v>
                </c:pt>
                <c:pt idx="7">
                  <c:v>2012/4Q</c:v>
                </c:pt>
                <c:pt idx="8">
                  <c:v>2013/1Q</c:v>
                </c:pt>
                <c:pt idx="9">
                  <c:v>2013/2Q</c:v>
                </c:pt>
                <c:pt idx="10">
                  <c:v>2013/3Q</c:v>
                </c:pt>
                <c:pt idx="11">
                  <c:v>2013/4Q</c:v>
                </c:pt>
                <c:pt idx="12">
                  <c:v>2014/1Q</c:v>
                </c:pt>
                <c:pt idx="13">
                  <c:v>2014/2Q</c:v>
                </c:pt>
                <c:pt idx="14">
                  <c:v>2014/3Q</c:v>
                </c:pt>
                <c:pt idx="15">
                  <c:v>2014/4Q</c:v>
                </c:pt>
                <c:pt idx="16">
                  <c:v>2015/1Q</c:v>
                </c:pt>
                <c:pt idx="17">
                  <c:v>2015/2Q</c:v>
                </c:pt>
                <c:pt idx="18">
                  <c:v>2015/3Q</c:v>
                </c:pt>
                <c:pt idx="19">
                  <c:v>2015/4Q</c:v>
                </c:pt>
                <c:pt idx="20">
                  <c:v>2016/1Q</c:v>
                </c:pt>
                <c:pt idx="21">
                  <c:v>2016/2Q</c:v>
                </c:pt>
                <c:pt idx="22">
                  <c:v>2016/3Q</c:v>
                </c:pt>
              </c:strCache>
            </c:strRef>
          </c:cat>
          <c:val>
            <c:numRef>
              <c:f>data!$AZ$12:$AZ$34</c:f>
              <c:numCache>
                <c:formatCode>#,##0</c:formatCode>
                <c:ptCount val="23"/>
                <c:pt idx="0">
                  <c:v>51870411.880000003</c:v>
                </c:pt>
                <c:pt idx="1">
                  <c:v>62751340.210000001</c:v>
                </c:pt>
                <c:pt idx="2">
                  <c:v>110363616.52</c:v>
                </c:pt>
                <c:pt idx="3">
                  <c:v>199153726.84</c:v>
                </c:pt>
                <c:pt idx="4">
                  <c:v>653670898.28999996</c:v>
                </c:pt>
                <c:pt idx="5">
                  <c:v>664181379.42999995</c:v>
                </c:pt>
                <c:pt idx="6">
                  <c:v>654998860.82000005</c:v>
                </c:pt>
                <c:pt idx="7">
                  <c:v>779127051.28999996</c:v>
                </c:pt>
                <c:pt idx="8">
                  <c:v>738674343.14999998</c:v>
                </c:pt>
                <c:pt idx="9">
                  <c:v>748931339.27999997</c:v>
                </c:pt>
                <c:pt idx="10">
                  <c:v>772737331.25999999</c:v>
                </c:pt>
                <c:pt idx="11">
                  <c:v>845864165.87</c:v>
                </c:pt>
                <c:pt idx="12">
                  <c:v>702868285.49000001</c:v>
                </c:pt>
                <c:pt idx="13">
                  <c:v>760805453.25999999</c:v>
                </c:pt>
                <c:pt idx="14">
                  <c:v>751638238.72000003</c:v>
                </c:pt>
                <c:pt idx="15">
                  <c:v>1039850438.64</c:v>
                </c:pt>
                <c:pt idx="16">
                  <c:v>688416275.38</c:v>
                </c:pt>
                <c:pt idx="17">
                  <c:v>711971191.53999996</c:v>
                </c:pt>
                <c:pt idx="18">
                  <c:v>697799609.38</c:v>
                </c:pt>
                <c:pt idx="19">
                  <c:v>836186587.54999995</c:v>
                </c:pt>
                <c:pt idx="20">
                  <c:v>599480579.67999995</c:v>
                </c:pt>
                <c:pt idx="21">
                  <c:v>638045485.88</c:v>
                </c:pt>
                <c:pt idx="22">
                  <c:v>476691970.45999998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data!$BA$1</c:f>
              <c:strCache>
                <c:ptCount val="1"/>
                <c:pt idx="0">
                  <c:v>Nákupy zařazené do eVŘ a realizované za dodrženou cenu
(čtvrtletní plán = 249,64 mil.Kč)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</c:spPr>
          </c:marker>
          <c:dLbls>
            <c:dLbl>
              <c:idx val="0"/>
              <c:layout>
                <c:manualLayout>
                  <c:x val="-4.7329560012111915E-2"/>
                  <c:y val="2.0506457982686088E-2"/>
                </c:manualLayout>
              </c:layout>
              <c:tx>
                <c:strRef>
                  <c:f>data!$BD$12</c:f>
                  <c:strCache>
                    <c:ptCount val="1"/>
                    <c:pt idx="0">
                      <c:v>18,05%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6530395516122445E-2"/>
                  <c:y val="2.3199989978246901E-2"/>
                </c:manualLayout>
              </c:layout>
              <c:tx>
                <c:strRef>
                  <c:f>data!$BD$13</c:f>
                  <c:strCache>
                    <c:ptCount val="1"/>
                    <c:pt idx="0">
                      <c:v>20,73%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6530436959914284E-2"/>
                  <c:y val="3.2558474104677548E-2"/>
                </c:manualLayout>
              </c:layout>
              <c:tx>
                <c:strRef>
                  <c:f>data!$BD$14</c:f>
                  <c:strCache>
                    <c:ptCount val="1"/>
                    <c:pt idx="0">
                      <c:v>24,43%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3063916451214694E-2"/>
                  <c:y val="3.4968877329075845E-2"/>
                </c:manualLayout>
              </c:layout>
              <c:tx>
                <c:strRef>
                  <c:f>data!$BD$15</c:f>
                  <c:strCache>
                    <c:ptCount val="1"/>
                    <c:pt idx="0">
                      <c:v>36,67%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8841450632380597E-2"/>
                  <c:y val="4.2200087002270813E-2"/>
                </c:manualLayout>
              </c:layout>
              <c:tx>
                <c:strRef>
                  <c:f>data!$BD$16</c:f>
                  <c:strCache>
                    <c:ptCount val="1"/>
                    <c:pt idx="0">
                      <c:v>48,26%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6530436959914378E-2"/>
                  <c:y val="3.4968877329075845E-2"/>
                </c:manualLayout>
              </c:layout>
              <c:tx>
                <c:strRef>
                  <c:f>data!$BD$17</c:f>
                  <c:strCache>
                    <c:ptCount val="1"/>
                    <c:pt idx="0">
                      <c:v>53,98%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537493012368109E-2"/>
                  <c:y val="3.2558474104677548E-2"/>
                </c:manualLayout>
              </c:layout>
              <c:tx>
                <c:strRef>
                  <c:f>data!$BD$18</c:f>
                  <c:strCache>
                    <c:ptCount val="1"/>
                    <c:pt idx="0">
                      <c:v>52,27%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6549425370807532E-2"/>
                  <c:y val="2.2897252974395734E-2"/>
                </c:manualLayout>
              </c:layout>
              <c:tx>
                <c:strRef>
                  <c:f>data!$BD$19</c:f>
                  <c:strCache>
                    <c:ptCount val="1"/>
                    <c:pt idx="0">
                      <c:v>58,74%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data!$BD$20</c:f>
                  <c:strCache>
                    <c:ptCount val="1"/>
                    <c:pt idx="0">
                      <c:v>54,45%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data!$BD$21</c:f>
                  <c:strCache>
                    <c:ptCount val="1"/>
                    <c:pt idx="0">
                      <c:v>53,12%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data!$BD$22</c:f>
                  <c:strCache>
                    <c:ptCount val="1"/>
                    <c:pt idx="0">
                      <c:v>53,30%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strRef>
                  <c:f>data!$BD$23</c:f>
                  <c:strCache>
                    <c:ptCount val="1"/>
                    <c:pt idx="0">
                      <c:v>63,52%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strRef>
                  <c:f>data!$BD$24</c:f>
                  <c:strCache>
                    <c:ptCount val="1"/>
                    <c:pt idx="0">
                      <c:v>51,18%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tx>
                <c:strRef>
                  <c:f>data!$BD$25</c:f>
                  <c:strCache>
                    <c:ptCount val="1"/>
                    <c:pt idx="0">
                      <c:v>49,37%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strRef>
                  <c:f>data!$BD$26</c:f>
                  <c:strCache>
                    <c:ptCount val="1"/>
                    <c:pt idx="0">
                      <c:v>48,89%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tx>
                <c:strRef>
                  <c:f>data!$BD$27</c:f>
                  <c:strCache>
                    <c:ptCount val="1"/>
                    <c:pt idx="0">
                      <c:v>53,37%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545272655275572E-2"/>
                  <c:y val="-2.3324651363647027E-2"/>
                </c:manualLayout>
              </c:layout>
              <c:tx>
                <c:strRef>
                  <c:f>data!$BD$28</c:f>
                  <c:strCache>
                    <c:ptCount val="1"/>
                    <c:pt idx="0">
                      <c:v>50,46%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9740963834099012E-2"/>
                  <c:y val="-2.808462922943962E-2"/>
                </c:manualLayout>
              </c:layout>
              <c:tx>
                <c:strRef>
                  <c:f>data!$BD$29</c:f>
                  <c:strCache>
                    <c:ptCount val="1"/>
                    <c:pt idx="0">
                      <c:v>51,15%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2.3012882106116666E-2"/>
                  <c:y val="-2.5627500691753034E-2"/>
                </c:manualLayout>
              </c:layout>
              <c:tx>
                <c:strRef>
                  <c:f>data!$BD$30</c:f>
                  <c:strCache>
                    <c:ptCount val="1"/>
                    <c:pt idx="0">
                      <c:v>52,45%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1.7256167094780131E-2"/>
                  <c:y val="-3.0696328536774047E-2"/>
                </c:manualLayout>
              </c:layout>
              <c:tx>
                <c:strRef>
                  <c:f>data!$BD$31</c:f>
                  <c:strCache>
                    <c:ptCount val="1"/>
                    <c:pt idx="0">
                      <c:v>50,75%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1.8649370641508508E-2"/>
                  <c:y val="-2.6090603509644834E-2"/>
                </c:manualLayout>
              </c:layout>
              <c:tx>
                <c:strRef>
                  <c:f>data!$BD$32</c:f>
                  <c:strCache>
                    <c:ptCount val="1"/>
                    <c:pt idx="0">
                      <c:v>44,81%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1"/>
              <c:tx>
                <c:strRef>
                  <c:f>data!$BD$33</c:f>
                  <c:strCache>
                    <c:ptCount val="1"/>
                    <c:pt idx="0">
                      <c:v>50,41%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tx>
                <c:strRef>
                  <c:f>data!$BD$34</c:f>
                  <c:strCache>
                    <c:ptCount val="1"/>
                    <c:pt idx="0">
                      <c:v>45,61%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data!$AY$12:$AY$34</c:f>
              <c:strCache>
                <c:ptCount val="23"/>
                <c:pt idx="0">
                  <c:v>2011/1Q</c:v>
                </c:pt>
                <c:pt idx="1">
                  <c:v>2011/2Q</c:v>
                </c:pt>
                <c:pt idx="2">
                  <c:v>2011/3Q</c:v>
                </c:pt>
                <c:pt idx="3">
                  <c:v>2011/4Q</c:v>
                </c:pt>
                <c:pt idx="4">
                  <c:v>2012/1Q</c:v>
                </c:pt>
                <c:pt idx="5">
                  <c:v>2012/2Q</c:v>
                </c:pt>
                <c:pt idx="6">
                  <c:v>2012/3Q</c:v>
                </c:pt>
                <c:pt idx="7">
                  <c:v>2012/4Q</c:v>
                </c:pt>
                <c:pt idx="8">
                  <c:v>2013/1Q</c:v>
                </c:pt>
                <c:pt idx="9">
                  <c:v>2013/2Q</c:v>
                </c:pt>
                <c:pt idx="10">
                  <c:v>2013/3Q</c:v>
                </c:pt>
                <c:pt idx="11">
                  <c:v>2013/4Q</c:v>
                </c:pt>
                <c:pt idx="12">
                  <c:v>2014/1Q</c:v>
                </c:pt>
                <c:pt idx="13">
                  <c:v>2014/2Q</c:v>
                </c:pt>
                <c:pt idx="14">
                  <c:v>2014/3Q</c:v>
                </c:pt>
                <c:pt idx="15">
                  <c:v>2014/4Q</c:v>
                </c:pt>
                <c:pt idx="16">
                  <c:v>2015/1Q</c:v>
                </c:pt>
                <c:pt idx="17">
                  <c:v>2015/2Q</c:v>
                </c:pt>
                <c:pt idx="18">
                  <c:v>2015/3Q</c:v>
                </c:pt>
                <c:pt idx="19">
                  <c:v>2015/4Q</c:v>
                </c:pt>
                <c:pt idx="20">
                  <c:v>2016/1Q</c:v>
                </c:pt>
                <c:pt idx="21">
                  <c:v>2016/2Q</c:v>
                </c:pt>
                <c:pt idx="22">
                  <c:v>2016/3Q</c:v>
                </c:pt>
              </c:strCache>
            </c:strRef>
          </c:cat>
          <c:val>
            <c:numRef>
              <c:f>data!$BA$12:$BA$34</c:f>
              <c:numCache>
                <c:formatCode>#,##0</c:formatCode>
                <c:ptCount val="23"/>
                <c:pt idx="0">
                  <c:v>46546653.359999999</c:v>
                </c:pt>
                <c:pt idx="1">
                  <c:v>53460675.329999998</c:v>
                </c:pt>
                <c:pt idx="2">
                  <c:v>63008609.990000002</c:v>
                </c:pt>
                <c:pt idx="3">
                  <c:v>94572810.780000001</c:v>
                </c:pt>
                <c:pt idx="4">
                  <c:v>124443973.3</c:v>
                </c:pt>
                <c:pt idx="5">
                  <c:v>139217529.84</c:v>
                </c:pt>
                <c:pt idx="6">
                  <c:v>134789844.06</c:v>
                </c:pt>
                <c:pt idx="7">
                  <c:v>151473394.62</c:v>
                </c:pt>
                <c:pt idx="8">
                  <c:v>140423134.97</c:v>
                </c:pt>
                <c:pt idx="9">
                  <c:v>137001022.65000001</c:v>
                </c:pt>
                <c:pt idx="10">
                  <c:v>137449507.97</c:v>
                </c:pt>
                <c:pt idx="11">
                  <c:v>163808390.37</c:v>
                </c:pt>
                <c:pt idx="12">
                  <c:v>143948890.43000001</c:v>
                </c:pt>
                <c:pt idx="13">
                  <c:v>138851925.16999999</c:v>
                </c:pt>
                <c:pt idx="14">
                  <c:v>137495814.33000001</c:v>
                </c:pt>
                <c:pt idx="15">
                  <c:v>150094847.16</c:v>
                </c:pt>
                <c:pt idx="16">
                  <c:v>136792388.38</c:v>
                </c:pt>
                <c:pt idx="17">
                  <c:v>138659966.03</c:v>
                </c:pt>
                <c:pt idx="18">
                  <c:v>142200449.03999999</c:v>
                </c:pt>
                <c:pt idx="19">
                  <c:v>137591699.21000001</c:v>
                </c:pt>
                <c:pt idx="20">
                  <c:v>121483355.03</c:v>
                </c:pt>
                <c:pt idx="21">
                  <c:v>136673136.94999999</c:v>
                </c:pt>
                <c:pt idx="22">
                  <c:v>123650478.13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09952"/>
        <c:axId val="88043520"/>
      </c:lineChart>
      <c:lineChart>
        <c:grouping val="standard"/>
        <c:varyColors val="0"/>
        <c:ser>
          <c:idx val="2"/>
          <c:order val="2"/>
          <c:tx>
            <c:strRef>
              <c:f>data!$BB$1</c:f>
              <c:strCache>
                <c:ptCount val="1"/>
                <c:pt idx="0">
                  <c:v>Úspora
(čtvrtletní plán = 24,96 mil.Kč)</c:v>
                </c:pt>
              </c:strCache>
            </c:strRef>
          </c:tx>
          <c:spPr>
            <a:ln w="50800">
              <a:solidFill>
                <a:srgbClr val="003C69"/>
              </a:solidFill>
              <a:prstDash val="solid"/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29650996902166E-2"/>
                  <c:y val="-3.5975742612968219E-3"/>
                </c:manualLayout>
              </c:layout>
              <c:tx>
                <c:strRef>
                  <c:f>data!$BE$12</c:f>
                  <c:strCache>
                    <c:ptCount val="1"/>
                    <c:pt idx="0">
                      <c:v>61,44%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data!$BE$13</c:f>
                  <c:strCache>
                    <c:ptCount val="1"/>
                    <c:pt idx="0">
                      <c:v>64,70%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data!$BE$14</c:f>
                  <c:strCache>
                    <c:ptCount val="1"/>
                    <c:pt idx="0">
                      <c:v>64,20%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data!$BE$15</c:f>
                  <c:strCache>
                    <c:ptCount val="1"/>
                    <c:pt idx="0">
                      <c:v>69,61%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0693549669927627E-3"/>
                  <c:y val="2.3862825780665092E-2"/>
                </c:manualLayout>
              </c:layout>
              <c:tx>
                <c:strRef>
                  <c:f>data!$BE$16</c:f>
                  <c:strCache>
                    <c:ptCount val="1"/>
                    <c:pt idx="0">
                      <c:v>74,58%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5373773501323717E-2"/>
                  <c:y val="2.2897252974395734E-2"/>
                </c:manualLayout>
              </c:layout>
              <c:tx>
                <c:strRef>
                  <c:f>data!$BE$17</c:f>
                  <c:strCache>
                    <c:ptCount val="1"/>
                    <c:pt idx="0">
                      <c:v>73,28%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9994523411846247E-2"/>
                  <c:y val="-2.0770635968661345E-2"/>
                </c:manualLayout>
              </c:layout>
              <c:tx>
                <c:strRef>
                  <c:f>data!$BE$18</c:f>
                  <c:strCache>
                    <c:ptCount val="1"/>
                    <c:pt idx="0">
                      <c:v>77,14%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3083062870626708E-2"/>
                  <c:y val="2.5305593798237928E-2"/>
                </c:manualLayout>
              </c:layout>
              <c:tx>
                <c:strRef>
                  <c:f>data!$BE$19</c:f>
                  <c:strCache>
                    <c:ptCount val="1"/>
                    <c:pt idx="0">
                      <c:v>78,34%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0733135630773426E-2"/>
                  <c:y val="-1.7529962094192688E-2"/>
                </c:manualLayout>
              </c:layout>
              <c:tx>
                <c:strRef>
                  <c:f>data!$BE$20</c:f>
                  <c:strCache>
                    <c:ptCount val="1"/>
                    <c:pt idx="0">
                      <c:v>92,31%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5350649350649349E-2"/>
                  <c:y val="-2.6888326720941338E-2"/>
                </c:manualLayout>
              </c:layout>
              <c:tx>
                <c:strRef>
                  <c:f>data!$BE$21</c:f>
                  <c:strCache>
                    <c:ptCount val="1"/>
                    <c:pt idx="0">
                      <c:v>87,86%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4.2666757564395273E-2"/>
                  <c:y val="-1.0510866233176718E-2"/>
                </c:manualLayout>
              </c:layout>
              <c:tx>
                <c:strRef>
                  <c:f>data!$BE$22</c:f>
                  <c:strCache>
                    <c:ptCount val="1"/>
                    <c:pt idx="0">
                      <c:v>92,94%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1445887445887444E-2"/>
                  <c:y val="-1.5190140658252303E-2"/>
                </c:manualLayout>
              </c:layout>
              <c:tx>
                <c:strRef>
                  <c:f>data!$BE$23</c:f>
                  <c:strCache>
                    <c:ptCount val="1"/>
                    <c:pt idx="0">
                      <c:v>113,78%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2652236652236653E-2"/>
                  <c:y val="-2.4548689508403533E-2"/>
                </c:manualLayout>
              </c:layout>
              <c:tx>
                <c:strRef>
                  <c:f>data!$BE$24</c:f>
                  <c:strCache>
                    <c:ptCount val="1"/>
                    <c:pt idx="0">
                      <c:v>99,69%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4216427492018043E-2"/>
                  <c:y val="-1.986959930673049E-2"/>
                </c:manualLayout>
              </c:layout>
              <c:tx>
                <c:strRef>
                  <c:f>data!$BE$25</c:f>
                  <c:strCache>
                    <c:ptCount val="1"/>
                    <c:pt idx="0">
                      <c:v>99,67%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3.343145743145743E-2"/>
                  <c:y val="-2.9228148156881701E-2"/>
                </c:manualLayout>
              </c:layout>
              <c:tx>
                <c:strRef>
                  <c:f>data!$BE$26</c:f>
                  <c:strCache>
                    <c:ptCount val="1"/>
                    <c:pt idx="0">
                      <c:v>94,30%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3.2451195079904953E-2"/>
                  <c:y val="-1.9869415083327929E-2"/>
                </c:manualLayout>
              </c:layout>
              <c:tx>
                <c:strRef>
                  <c:f>data!$BE$27</c:f>
                  <c:strCache>
                    <c:ptCount val="1"/>
                    <c:pt idx="0">
                      <c:v>105,37%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2.8686390532544379E-2"/>
                  <c:y val="-3.8586512783630351E-2"/>
                </c:manualLayout>
              </c:layout>
              <c:tx>
                <c:strRef>
                  <c:f>data!$BE$28</c:f>
                  <c:strCache>
                    <c:ptCount val="1"/>
                    <c:pt idx="0">
                      <c:v>108,62%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tx>
                <c:strRef>
                  <c:f>data!$BE$29</c:f>
                  <c:strCache>
                    <c:ptCount val="1"/>
                    <c:pt idx="0">
                      <c:v>111,22%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3702818409398101E-2"/>
                  <c:y val="2.4196850248070074E-2"/>
                </c:manualLayout>
              </c:layout>
              <c:tx>
                <c:strRef>
                  <c:f>data!$BE$30</c:f>
                  <c:strCache>
                    <c:ptCount val="1"/>
                    <c:pt idx="0">
                      <c:v>102,61%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tx>
                <c:strRef>
                  <c:f>data!$BE$31</c:f>
                  <c:strCache>
                    <c:ptCount val="1"/>
                    <c:pt idx="0">
                      <c:v>117,24%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tx>
                <c:strRef>
                  <c:f>data!$BE$32</c:f>
                  <c:strCache>
                    <c:ptCount val="1"/>
                    <c:pt idx="0">
                      <c:v>126,39%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1"/>
              <c:tx>
                <c:strRef>
                  <c:f>data!$BE$33</c:f>
                  <c:strCache>
                    <c:ptCount val="1"/>
                    <c:pt idx="0">
                      <c:v>126,82%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3.0983885330928527E-2"/>
                  <c:y val="1.7288386128384285E-2"/>
                </c:manualLayout>
              </c:layout>
              <c:tx>
                <c:strRef>
                  <c:f>data!$BE$34</c:f>
                  <c:strCache>
                    <c:ptCount val="1"/>
                    <c:pt idx="0">
                      <c:v>113,24%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233E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data!$AY$12:$AY$30</c:f>
              <c:strCache>
                <c:ptCount val="19"/>
                <c:pt idx="0">
                  <c:v>2011/1Q</c:v>
                </c:pt>
                <c:pt idx="1">
                  <c:v>2011/2Q</c:v>
                </c:pt>
                <c:pt idx="2">
                  <c:v>2011/3Q</c:v>
                </c:pt>
                <c:pt idx="3">
                  <c:v>2011/4Q</c:v>
                </c:pt>
                <c:pt idx="4">
                  <c:v>2012/1Q</c:v>
                </c:pt>
                <c:pt idx="5">
                  <c:v>2012/2Q</c:v>
                </c:pt>
                <c:pt idx="6">
                  <c:v>2012/3Q</c:v>
                </c:pt>
                <c:pt idx="7">
                  <c:v>2012/4Q</c:v>
                </c:pt>
                <c:pt idx="8">
                  <c:v>2013/1Q</c:v>
                </c:pt>
                <c:pt idx="9">
                  <c:v>2013/2Q</c:v>
                </c:pt>
                <c:pt idx="10">
                  <c:v>2013/3Q</c:v>
                </c:pt>
                <c:pt idx="11">
                  <c:v>2013/4Q</c:v>
                </c:pt>
                <c:pt idx="12">
                  <c:v>2014/1Q</c:v>
                </c:pt>
                <c:pt idx="13">
                  <c:v>2014/2Q</c:v>
                </c:pt>
                <c:pt idx="14">
                  <c:v>2014/3Q</c:v>
                </c:pt>
                <c:pt idx="15">
                  <c:v>2014/4Q</c:v>
                </c:pt>
                <c:pt idx="16">
                  <c:v>2015/1Q</c:v>
                </c:pt>
                <c:pt idx="17">
                  <c:v>2015/2Q</c:v>
                </c:pt>
                <c:pt idx="18">
                  <c:v>2015/3Q</c:v>
                </c:pt>
              </c:strCache>
            </c:strRef>
          </c:cat>
          <c:val>
            <c:numRef>
              <c:f>data!$BB$12:$BB$34</c:f>
              <c:numCache>
                <c:formatCode>#,##0</c:formatCode>
                <c:ptCount val="23"/>
                <c:pt idx="0">
                  <c:v>15845751.140000001</c:v>
                </c:pt>
                <c:pt idx="1">
                  <c:v>16684996.08</c:v>
                </c:pt>
                <c:pt idx="2">
                  <c:v>16556777.029999999</c:v>
                </c:pt>
                <c:pt idx="3">
                  <c:v>17951337.539999999</c:v>
                </c:pt>
                <c:pt idx="4">
                  <c:v>19234197.670000002</c:v>
                </c:pt>
                <c:pt idx="5">
                  <c:v>18899105.640000001</c:v>
                </c:pt>
                <c:pt idx="6">
                  <c:v>19892983.010000002</c:v>
                </c:pt>
                <c:pt idx="7">
                  <c:v>20201799.760000002</c:v>
                </c:pt>
                <c:pt idx="8">
                  <c:v>23805614.699999999</c:v>
                </c:pt>
                <c:pt idx="9">
                  <c:v>22657140.149999999</c:v>
                </c:pt>
                <c:pt idx="10">
                  <c:v>23966996.379999999</c:v>
                </c:pt>
                <c:pt idx="11">
                  <c:v>29343642.91</c:v>
                </c:pt>
                <c:pt idx="12">
                  <c:v>23868234.59</c:v>
                </c:pt>
                <c:pt idx="13">
                  <c:v>23863494.949999999</c:v>
                </c:pt>
                <c:pt idx="14">
                  <c:v>22578893.93</c:v>
                </c:pt>
                <c:pt idx="15">
                  <c:v>25228896.969999999</c:v>
                </c:pt>
                <c:pt idx="16">
                  <c:v>29447684.989999998</c:v>
                </c:pt>
                <c:pt idx="17">
                  <c:v>30153393.469999999</c:v>
                </c:pt>
                <c:pt idx="18">
                  <c:v>27818093.48</c:v>
                </c:pt>
                <c:pt idx="19">
                  <c:v>31786018.350000001</c:v>
                </c:pt>
                <c:pt idx="20">
                  <c:v>34265097.340000004</c:v>
                </c:pt>
                <c:pt idx="21">
                  <c:v>34381618.049999997</c:v>
                </c:pt>
                <c:pt idx="22">
                  <c:v>30700204.120000001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45440"/>
        <c:axId val="88046976"/>
      </c:lineChart>
      <c:catAx>
        <c:axId val="87709952"/>
        <c:scaling>
          <c:orientation val="minMax"/>
        </c:scaling>
        <c:delete val="0"/>
        <c:axPos val="b"/>
        <c:majorGridlines>
          <c:spPr>
            <a:ln w="3175">
              <a:noFill/>
              <a:prstDash val="sysDot"/>
            </a:ln>
          </c:spPr>
        </c:majorGridlines>
        <c:numFmt formatCode="[$-405]mmmm;@" sourceLinked="0"/>
        <c:majorTickMark val="in"/>
        <c:minorTickMark val="none"/>
        <c:tickLblPos val="low"/>
        <c:spPr>
          <a:ln w="3175">
            <a:solidFill>
              <a:srgbClr val="003C69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233E"/>
                </a:solidFill>
                <a:latin typeface="+mn-lt"/>
                <a:ea typeface="Arial"/>
                <a:cs typeface="Arial"/>
              </a:defRPr>
            </a:pPr>
            <a:endParaRPr lang="cs-CZ"/>
          </a:p>
        </c:txPr>
        <c:crossAx val="88043520"/>
        <c:crosses val="autoZero"/>
        <c:auto val="1"/>
        <c:lblAlgn val="ctr"/>
        <c:lblOffset val="100"/>
        <c:noMultiLvlLbl val="0"/>
      </c:catAx>
      <c:valAx>
        <c:axId val="88043520"/>
        <c:scaling>
          <c:orientation val="minMax"/>
        </c:scaling>
        <c:delete val="0"/>
        <c:axPos val="l"/>
        <c:majorGridlines>
          <c:spPr>
            <a:ln w="6350">
              <a:solidFill>
                <a:srgbClr val="00233E"/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4C4C4C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7709952"/>
        <c:crossesAt val="1"/>
        <c:crossBetween val="between"/>
        <c:dispUnits>
          <c:builtInUnit val="millions"/>
          <c:dispUnitsLbl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233E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</c:dispUnitsLbl>
        </c:dispUnits>
      </c:valAx>
      <c:catAx>
        <c:axId val="8804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88046976"/>
        <c:crosses val="autoZero"/>
        <c:auto val="1"/>
        <c:lblAlgn val="ctr"/>
        <c:lblOffset val="100"/>
        <c:noMultiLvlLbl val="0"/>
      </c:catAx>
      <c:valAx>
        <c:axId val="88046976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ln>
            <a:solidFill>
              <a:srgbClr val="00233E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233E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88045440"/>
        <c:crosses val="max"/>
        <c:crossBetween val="between"/>
        <c:dispUnits>
          <c:builtInUnit val="millions"/>
          <c:dispUnitsLbl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233E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>
          <a:solidFill>
            <a:srgbClr val="00233E"/>
          </a:solidFill>
        </a:ln>
      </c:spPr>
    </c:plotArea>
    <c:legend>
      <c:legendPos val="r"/>
      <c:legendEntry>
        <c:idx val="0"/>
        <c:txPr>
          <a:bodyPr/>
          <a:lstStyle/>
          <a:p>
            <a:pPr>
              <a:defRPr sz="735" b="0" i="0" u="none" strike="noStrike" baseline="0">
                <a:solidFill>
                  <a:srgbClr val="00ADD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735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 sz="735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</c:legendEntry>
      <c:layout>
        <c:manualLayout>
          <c:xMode val="edge"/>
          <c:yMode val="edge"/>
          <c:x val="3.7683632485420592E-3"/>
          <c:y val="0.89056042969740201"/>
          <c:w val="0.95927209705372618"/>
          <c:h val="0.10476037543607586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3D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78740157499999996" l="0.70000000000000051" r="0.70000000000000051" t="0.78740157499999996" header="0.30000000000000027" footer="0.30000000000000027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Scroll" dx="16" fmlaLink="Org_nast!$E$4" max="154" min="1" page="25"/>
</file>

<file path=xl/ctrlProps/ctrlProp10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Radio" checked="Checked" firstButton="1" fmlaLink="Org_nast!$E$6" lockText="1"/>
</file>

<file path=xl/ctrlProps/ctrlProp3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Radio" lockText="1"/>
</file>

<file path=xl/ctrlProps/ctrlProp5.xml><?xml version="1.0" encoding="utf-8"?>
<formControlPr xmlns="http://schemas.microsoft.com/office/spreadsheetml/2009/9/main" objectType="Radio" lockText="1"/>
</file>

<file path=xl/ctrlProps/ctrlProp6.xml><?xml version="1.0" encoding="utf-8"?>
<formControlPr xmlns="http://schemas.microsoft.com/office/spreadsheetml/2009/9/main" objectType="Radio" lockText="1"/>
</file>

<file path=xl/ctrlProps/ctrlProp7.xml><?xml version="1.0" encoding="utf-8"?>
<formControlPr xmlns="http://schemas.microsoft.com/office/spreadsheetml/2009/9/main" objectType="Radio" lockText="1"/>
</file>

<file path=xl/ctrlProps/ctrlProp8.xml><?xml version="1.0" encoding="utf-8"?>
<formControlPr xmlns="http://schemas.microsoft.com/office/spreadsheetml/2009/9/main" objectType="Radio" lockText="1"/>
</file>

<file path=xl/ctrlProps/ctrlProp9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http://www.npostrava.cz" TargetMode="External"/><Relationship Id="rId6" Type="http://schemas.openxmlformats.org/officeDocument/2006/relationships/hyperlink" Target="http://www.ecentre.cz/statutarni-mesto-ostrava/o-systemu/kolik-jsme-usetrili" TargetMode="External"/><Relationship Id="rId5" Type="http://schemas.openxmlformats.org/officeDocument/2006/relationships/image" Target="../media/image6.png"/><Relationship Id="rId4" Type="http://schemas.openxmlformats.org/officeDocument/2006/relationships/hyperlink" Target="http://www.ecentre.cz/statutarni-mesto-ostrava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57150</xdr:colOff>
      <xdr:row>10</xdr:row>
      <xdr:rowOff>219075</xdr:rowOff>
    </xdr:from>
    <xdr:to>
      <xdr:col>19</xdr:col>
      <xdr:colOff>85725</xdr:colOff>
      <xdr:row>36</xdr:row>
      <xdr:rowOff>104775</xdr:rowOff>
    </xdr:to>
    <xdr:graphicFrame macro="">
      <xdr:nvGraphicFramePr>
        <xdr:cNvPr id="3311111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14</xdr:col>
      <xdr:colOff>523875</xdr:colOff>
      <xdr:row>10</xdr:row>
      <xdr:rowOff>209550</xdr:rowOff>
    </xdr:from>
    <xdr:to>
      <xdr:col>16</xdr:col>
      <xdr:colOff>0</xdr:colOff>
      <xdr:row>36</xdr:row>
      <xdr:rowOff>95250</xdr:rowOff>
    </xdr:to>
    <xdr:graphicFrame macro="">
      <xdr:nvGraphicFramePr>
        <xdr:cNvPr id="331111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1876425</xdr:colOff>
          <xdr:row>10</xdr:row>
          <xdr:rowOff>133350</xdr:rowOff>
        </xdr:from>
        <xdr:to>
          <xdr:col>4</xdr:col>
          <xdr:colOff>0</xdr:colOff>
          <xdr:row>36</xdr:row>
          <xdr:rowOff>9525</xdr:rowOff>
        </xdr:to>
        <xdr:sp macro="" textlink="">
          <xdr:nvSpPr>
            <xdr:cNvPr id="3073" name="ScrollBar Liste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10</xdr:row>
          <xdr:rowOff>9525</xdr:rowOff>
        </xdr:from>
        <xdr:to>
          <xdr:col>5</xdr:col>
          <xdr:colOff>257175</xdr:colOff>
          <xdr:row>10</xdr:row>
          <xdr:rowOff>161925</xdr:rowOff>
        </xdr:to>
        <xdr:sp macro="" textlink="">
          <xdr:nvSpPr>
            <xdr:cNvPr id="3074" name="Option Button 01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323850</xdr:colOff>
          <xdr:row>10</xdr:row>
          <xdr:rowOff>9525</xdr:rowOff>
        </xdr:from>
        <xdr:to>
          <xdr:col>7</xdr:col>
          <xdr:colOff>533400</xdr:colOff>
          <xdr:row>10</xdr:row>
          <xdr:rowOff>161925</xdr:rowOff>
        </xdr:to>
        <xdr:sp macro="" textlink="">
          <xdr:nvSpPr>
            <xdr:cNvPr id="3075" name="Option Button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295275</xdr:colOff>
          <xdr:row>10</xdr:row>
          <xdr:rowOff>9525</xdr:rowOff>
        </xdr:from>
        <xdr:to>
          <xdr:col>8</xdr:col>
          <xdr:colOff>514350</xdr:colOff>
          <xdr:row>10</xdr:row>
          <xdr:rowOff>161925</xdr:rowOff>
        </xdr:to>
        <xdr:sp macro="" textlink="">
          <xdr:nvSpPr>
            <xdr:cNvPr id="3076" name="Option Button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10</xdr:row>
          <xdr:rowOff>9525</xdr:rowOff>
        </xdr:from>
        <xdr:to>
          <xdr:col>10</xdr:col>
          <xdr:colOff>295275</xdr:colOff>
          <xdr:row>10</xdr:row>
          <xdr:rowOff>161925</xdr:rowOff>
        </xdr:to>
        <xdr:sp macro="" textlink="">
          <xdr:nvSpPr>
            <xdr:cNvPr id="3078" name="Option Button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10</xdr:row>
          <xdr:rowOff>9525</xdr:rowOff>
        </xdr:from>
        <xdr:to>
          <xdr:col>11</xdr:col>
          <xdr:colOff>400050</xdr:colOff>
          <xdr:row>10</xdr:row>
          <xdr:rowOff>161925</xdr:rowOff>
        </xdr:to>
        <xdr:sp macro="" textlink="">
          <xdr:nvSpPr>
            <xdr:cNvPr id="3079" name="Option Button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10</xdr:row>
          <xdr:rowOff>9525</xdr:rowOff>
        </xdr:from>
        <xdr:to>
          <xdr:col>12</xdr:col>
          <xdr:colOff>514350</xdr:colOff>
          <xdr:row>10</xdr:row>
          <xdr:rowOff>161925</xdr:rowOff>
        </xdr:to>
        <xdr:sp macro="" textlink="">
          <xdr:nvSpPr>
            <xdr:cNvPr id="3096" name="Option Button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171450</xdr:colOff>
          <xdr:row>10</xdr:row>
          <xdr:rowOff>9525</xdr:rowOff>
        </xdr:from>
        <xdr:to>
          <xdr:col>13</xdr:col>
          <xdr:colOff>390525</xdr:colOff>
          <xdr:row>10</xdr:row>
          <xdr:rowOff>161925</xdr:rowOff>
        </xdr:to>
        <xdr:sp macro="" textlink="">
          <xdr:nvSpPr>
            <xdr:cNvPr id="3098" name="Option Button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10</xdr:row>
          <xdr:rowOff>9525</xdr:rowOff>
        </xdr:from>
        <xdr:to>
          <xdr:col>15</xdr:col>
          <xdr:colOff>295275</xdr:colOff>
          <xdr:row>10</xdr:row>
          <xdr:rowOff>161925</xdr:rowOff>
        </xdr:to>
        <xdr:sp macro="" textlink="">
          <xdr:nvSpPr>
            <xdr:cNvPr id="4076" name="Option Button 1004" hidden="1">
              <a:extLst>
                <a:ext uri="{63B3BB69-23CF-44E3-9099-C40C66FF867C}">
                  <a14:compatExt spid="_x0000_s4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285750</xdr:colOff>
          <xdr:row>10</xdr:row>
          <xdr:rowOff>9525</xdr:rowOff>
        </xdr:from>
        <xdr:to>
          <xdr:col>16</xdr:col>
          <xdr:colOff>504825</xdr:colOff>
          <xdr:row>10</xdr:row>
          <xdr:rowOff>161925</xdr:rowOff>
        </xdr:to>
        <xdr:sp macro="" textlink="">
          <xdr:nvSpPr>
            <xdr:cNvPr id="2398344" name="Option Button 1160" hidden="1">
              <a:extLst>
                <a:ext uri="{63B3BB69-23CF-44E3-9099-C40C66FF867C}">
                  <a14:compatExt spid="_x0000_s2398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47624</xdr:colOff>
          <xdr:row>6</xdr:row>
          <xdr:rowOff>19050</xdr:rowOff>
        </xdr:from>
        <xdr:to>
          <xdr:col>3</xdr:col>
          <xdr:colOff>76200</xdr:colOff>
          <xdr:row>9</xdr:row>
          <xdr:rowOff>19050</xdr:rowOff>
        </xdr:to>
        <xdr:pic>
          <xdr:nvPicPr>
            <xdr:cNvPr id="3311113" name="Obrázek 18"/>
            <xdr:cNvPicPr>
              <a:picLocks noChangeAspect="1"/>
              <a:extLst>
                <a:ext uri="{84589F7E-364E-4C9E-8A38-B11213B215E9}">
                  <a14:cameraTool cellRange="jakaKSobr" spid="_x0000_s3311510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817" t="2817" r="4489" b="13381"/>
            <a:stretch>
              <a:fillRect/>
            </a:stretch>
          </xdr:blipFill>
          <xdr:spPr bwMode="auto">
            <a:xfrm>
              <a:off x="152399" y="1209675"/>
              <a:ext cx="2209801" cy="11334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10</xdr:row>
          <xdr:rowOff>9525</xdr:rowOff>
        </xdr:from>
        <xdr:to>
          <xdr:col>18</xdr:col>
          <xdr:colOff>295275</xdr:colOff>
          <xdr:row>10</xdr:row>
          <xdr:rowOff>161925</xdr:rowOff>
        </xdr:to>
        <xdr:sp macro="" textlink="">
          <xdr:nvSpPr>
            <xdr:cNvPr id="2398856" name="Option Button 1672" hidden="1">
              <a:extLst>
                <a:ext uri="{63B3BB69-23CF-44E3-9099-C40C66FF867C}">
                  <a14:compatExt spid="_x0000_s2398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 editAs="absolute">
    <xdr:from>
      <xdr:col>9</xdr:col>
      <xdr:colOff>514350</xdr:colOff>
      <xdr:row>10</xdr:row>
      <xdr:rowOff>190500</xdr:rowOff>
    </xdr:from>
    <xdr:to>
      <xdr:col>10</xdr:col>
      <xdr:colOff>895350</xdr:colOff>
      <xdr:row>36</xdr:row>
      <xdr:rowOff>76200</xdr:rowOff>
    </xdr:to>
    <xdr:graphicFrame macro="">
      <xdr:nvGraphicFramePr>
        <xdr:cNvPr id="3311114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142875</xdr:rowOff>
    </xdr:from>
    <xdr:to>
      <xdr:col>12</xdr:col>
      <xdr:colOff>0</xdr:colOff>
      <xdr:row>36</xdr:row>
      <xdr:rowOff>133350</xdr:rowOff>
    </xdr:to>
    <xdr:graphicFrame macro="">
      <xdr:nvGraphicFramePr>
        <xdr:cNvPr id="2917584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3952875" y="1333500"/>
    <xdr:ext cx="5581650" cy="2417720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2875" y="1333500"/>
          <a:ext cx="5581650" cy="2417720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14</xdr:col>
      <xdr:colOff>137584</xdr:colOff>
      <xdr:row>44</xdr:row>
      <xdr:rowOff>32808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35</xdr:row>
      <xdr:rowOff>38982</xdr:rowOff>
    </xdr:from>
    <xdr:to>
      <xdr:col>7</xdr:col>
      <xdr:colOff>297798</xdr:colOff>
      <xdr:row>53</xdr:row>
      <xdr:rowOff>66676</xdr:rowOff>
    </xdr:to>
    <xdr:pic>
      <xdr:nvPicPr>
        <xdr:cNvPr id="10" name="Obrázek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6201657"/>
          <a:ext cx="3612498" cy="2656594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41</xdr:row>
      <xdr:rowOff>79375</xdr:rowOff>
    </xdr:from>
    <xdr:to>
      <xdr:col>11</xdr:col>
      <xdr:colOff>205017</xdr:colOff>
      <xdr:row>56</xdr:row>
      <xdr:rowOff>136525</xdr:rowOff>
    </xdr:to>
    <xdr:pic>
      <xdr:nvPicPr>
        <xdr:cNvPr id="3" name="Obrázek 2" descr="Přehled nákupů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24125" y="7099300"/>
          <a:ext cx="3548292" cy="2257425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228600</xdr:colOff>
      <xdr:row>1</xdr:row>
      <xdr:rowOff>19050</xdr:rowOff>
    </xdr:from>
    <xdr:to>
      <xdr:col>8</xdr:col>
      <xdr:colOff>523875</xdr:colOff>
      <xdr:row>21</xdr:row>
      <xdr:rowOff>58361</xdr:rowOff>
    </xdr:to>
    <xdr:pic>
      <xdr:nvPicPr>
        <xdr:cNvPr id="7" name="Obrázek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733425"/>
          <a:ext cx="4562475" cy="3011111"/>
        </a:xfrm>
        <a:prstGeom prst="rect">
          <a:avLst/>
        </a:prstGeom>
      </xdr:spPr>
    </xdr:pic>
    <xdr:clientData/>
  </xdr:twoCellAnchor>
  <xdr:twoCellAnchor editAs="oneCell">
    <xdr:from>
      <xdr:col>4</xdr:col>
      <xdr:colOff>69577</xdr:colOff>
      <xdr:row>13</xdr:row>
      <xdr:rowOff>47625</xdr:rowOff>
    </xdr:from>
    <xdr:to>
      <xdr:col>11</xdr:col>
      <xdr:colOff>37607</xdr:colOff>
      <xdr:row>29</xdr:row>
      <xdr:rowOff>38100</xdr:rowOff>
    </xdr:to>
    <xdr:pic>
      <xdr:nvPicPr>
        <xdr:cNvPr id="8" name="Obrázek 7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3177" y="2314575"/>
          <a:ext cx="3701830" cy="2562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2</xdr:col>
      <xdr:colOff>9525</xdr:colOff>
      <xdr:row>1</xdr:row>
      <xdr:rowOff>1238250</xdr:rowOff>
    </xdr:to>
    <xdr:pic>
      <xdr:nvPicPr>
        <xdr:cNvPr id="2921061" name="Obrázek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42875"/>
          <a:ext cx="2343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9525</xdr:colOff>
      <xdr:row>1</xdr:row>
      <xdr:rowOff>1238250</xdr:rowOff>
    </xdr:to>
    <xdr:pic>
      <xdr:nvPicPr>
        <xdr:cNvPr id="2921062" name="Obrázek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142875"/>
          <a:ext cx="2343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6</xdr:col>
      <xdr:colOff>9525</xdr:colOff>
      <xdr:row>1</xdr:row>
      <xdr:rowOff>1238250</xdr:rowOff>
    </xdr:to>
    <xdr:pic>
      <xdr:nvPicPr>
        <xdr:cNvPr id="2921063" name="Obrázek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142875"/>
          <a:ext cx="2343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9" name="T_vyber" displayName="T_vyber" ref="N2:BH180" insertRowShift="1" totalsRowShown="0" headerRowDxfId="48" dataDxfId="47">
  <autoFilter ref="N2:BH180"/>
  <tableColumns count="47">
    <tableColumn id="25" name="Id" dataDxfId="46"/>
    <tableColumn id="26" name="všechny organizace" dataDxfId="45"/>
    <tableColumn id="1" name="všechny obvody" dataDxfId="44"/>
    <tableColumn id="2" name="Hošťálkovice" dataDxfId="43"/>
    <tableColumn id="3" name="Hrabová" dataDxfId="42"/>
    <tableColumn id="4" name="Krásné Pole" dataDxfId="41"/>
    <tableColumn id="5" name="Lhotka" dataDxfId="40"/>
    <tableColumn id="6" name="Mariánské Hory a Hulváky" dataDxfId="39"/>
    <tableColumn id="7" name="Martinov" dataDxfId="38"/>
    <tableColumn id="8" name="Michálkovice" dataDxfId="37"/>
    <tableColumn id="9" name="Moravská Ostrava a Přívoz" dataDxfId="36"/>
    <tableColumn id="10" name="Nová Bělá" dataDxfId="35"/>
    <tableColumn id="11" name="Nová Ves" dataDxfId="34"/>
    <tableColumn id="12" name="Ostrava Jih" dataDxfId="33"/>
    <tableColumn id="13" name="Petřkovice" dataDxfId="32"/>
    <tableColumn id="14" name="Plesná" dataDxfId="31"/>
    <tableColumn id="15" name="Polanka" dataDxfId="30"/>
    <tableColumn id="16" name="Poruba" dataDxfId="29"/>
    <tableColumn id="17" name="Proskovice" dataDxfId="28"/>
    <tableColumn id="18" name="Pustkovec" dataDxfId="27"/>
    <tableColumn id="19" name="Radvanice a Bartovice" dataDxfId="26"/>
    <tableColumn id="20" name="Slezská Ostrava" dataDxfId="25"/>
    <tableColumn id="21" name="Stará Bělá" dataDxfId="24"/>
    <tableColumn id="22" name="Svinov" dataDxfId="23"/>
    <tableColumn id="23" name="Třebovice" dataDxfId="22"/>
    <tableColumn id="24" name="Vítkovice" dataDxfId="21"/>
    <tableColumn id="27" name="všechny resorty" dataDxfId="20"/>
    <tableColumn id="28" name="Kancelář primátora" dataDxfId="19"/>
    <tableColumn id="29" name="Resort dopravy" dataDxfId="18"/>
    <tableColumn id="30" name="Resort ŽP a IT" dataDxfId="17"/>
    <tableColumn id="31" name="Resort kultury a VLČ" dataDxfId="16"/>
    <tableColumn id="32" name="Resort školství a sportu" dataDxfId="15"/>
    <tableColumn id="33" name="Magistrát města" dataDxfId="14"/>
    <tableColumn id="34" name="Resort soc.věcí a zdravotnictví" dataDxfId="13"/>
    <tableColumn id="35" name="Sloupec1" dataDxfId="12"/>
    <tableColumn id="47" name="Sloupec2" dataDxfId="11"/>
    <tableColumn id="36" name="Referenční zadavatelé" dataDxfId="10"/>
    <tableColumn id="37" name="TOP 23 zadavatelů" dataDxfId="9"/>
    <tableColumn id="38" name="Magistrát a ÚMOby" dataDxfId="8"/>
    <tableColumn id="39" name="Obchodní organizace SMO" dataDxfId="7"/>
    <tableColumn id="40" name="Příspěvkové organizace SMO" dataDxfId="6"/>
    <tableColumn id="41" name="Příspěvkové organizace ÚMObů" dataDxfId="5"/>
    <tableColumn id="42" name="Městské obvody" dataDxfId="4"/>
    <tableColumn id="43" name="     Základní školy" dataDxfId="3"/>
    <tableColumn id="44" name="     Mateřské školy" dataDxfId="2"/>
    <tableColumn id="45" name="     Základní a mateřské školy" dataDxfId="1"/>
    <tableColumn id="46" name="     Ostatní PO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omments" Target="../comments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B12"/>
  <sheetViews>
    <sheetView showGridLines="0" showRowColHeaders="0" zoomScale="90" zoomScaleNormal="90" workbookViewId="0">
      <selection activeCell="B10" sqref="B10"/>
    </sheetView>
  </sheetViews>
  <sheetFormatPr defaultColWidth="0" defaultRowHeight="11.25" zeroHeight="1" x14ac:dyDescent="0.2"/>
  <cols>
    <col min="1" max="1" width="7.6640625" style="176" customWidth="1"/>
    <col min="2" max="2" width="104.33203125" style="176" customWidth="1"/>
    <col min="3" max="16384" width="9.33203125" style="176" hidden="1"/>
  </cols>
  <sheetData>
    <row r="1" spans="1:2" ht="32.25" customHeight="1" x14ac:dyDescent="0.2">
      <c r="A1" s="635"/>
      <c r="B1" s="635"/>
    </row>
    <row r="2" spans="1:2" ht="50.25" x14ac:dyDescent="0.2">
      <c r="A2" s="635"/>
      <c r="B2" s="632" t="s">
        <v>529</v>
      </c>
    </row>
    <row r="3" spans="1:2" ht="50.25" x14ac:dyDescent="0.2">
      <c r="A3" s="635"/>
      <c r="B3" s="632" t="s">
        <v>530</v>
      </c>
    </row>
    <row r="4" spans="1:2" ht="50.25" x14ac:dyDescent="0.2">
      <c r="A4" s="635"/>
      <c r="B4" s="632" t="s">
        <v>531</v>
      </c>
    </row>
    <row r="5" spans="1:2" ht="75" customHeight="1" x14ac:dyDescent="0.2">
      <c r="A5" s="635"/>
      <c r="B5" s="636" t="s">
        <v>536</v>
      </c>
    </row>
    <row r="6" spans="1:2" ht="35.25" x14ac:dyDescent="0.2">
      <c r="A6" s="635"/>
      <c r="B6" s="633" t="s">
        <v>532</v>
      </c>
    </row>
    <row r="7" spans="1:2" ht="35.25" x14ac:dyDescent="0.2">
      <c r="A7" s="635"/>
      <c r="B7" s="633" t="s">
        <v>533</v>
      </c>
    </row>
    <row r="8" spans="1:2" ht="35.25" x14ac:dyDescent="0.2">
      <c r="A8" s="635"/>
      <c r="B8" s="633" t="s">
        <v>534</v>
      </c>
    </row>
    <row r="9" spans="1:2" ht="104.25" customHeight="1" x14ac:dyDescent="0.2">
      <c r="A9" s="635"/>
      <c r="B9" s="634" t="s">
        <v>539</v>
      </c>
    </row>
    <row r="10" spans="1:2" ht="67.5" x14ac:dyDescent="0.2">
      <c r="A10" s="635"/>
      <c r="B10" s="637">
        <f>'III. Souhrn SMO'!N26</f>
        <v>585549095.38999999</v>
      </c>
    </row>
    <row r="11" spans="1:2" ht="36" x14ac:dyDescent="0.2">
      <c r="A11" s="635"/>
      <c r="B11" s="634" t="s">
        <v>535</v>
      </c>
    </row>
    <row r="12" spans="1:2" ht="29.25" customHeight="1" x14ac:dyDescent="0.2">
      <c r="A12" s="635"/>
      <c r="B12" s="635"/>
    </row>
  </sheetData>
  <sheetProtection sheet="1" objects="1" scenarios="1" selectLockedCells="1" selectUnlockedCells="1"/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"/>
  <sheetViews>
    <sheetView workbookViewId="0">
      <selection activeCell="J4" sqref="J4:M26"/>
    </sheetView>
  </sheetViews>
  <sheetFormatPr defaultRowHeight="11.25" x14ac:dyDescent="0.2"/>
  <cols>
    <col min="1" max="2" width="3.1640625" style="557" bestFit="1" customWidth="1"/>
    <col min="3" max="3" width="22.1640625" style="557" bestFit="1" customWidth="1"/>
    <col min="4" max="4" width="5.83203125" style="557" bestFit="1" customWidth="1"/>
    <col min="5" max="6" width="13.6640625" style="557" bestFit="1" customWidth="1"/>
    <col min="7" max="8" width="12.1640625" style="557" bestFit="1" customWidth="1"/>
    <col min="9" max="9" width="1.5" style="557" customWidth="1"/>
    <col min="10" max="11" width="13.6640625" style="557" bestFit="1" customWidth="1"/>
    <col min="12" max="12" width="13.6640625" style="557" customWidth="1"/>
    <col min="13" max="13" width="12.1640625" style="557" bestFit="1" customWidth="1"/>
    <col min="14" max="14" width="2.33203125" style="557" customWidth="1"/>
    <col min="15" max="16" width="5.83203125" style="557" customWidth="1"/>
    <col min="17" max="17" width="7.5" style="557" customWidth="1"/>
    <col min="18" max="19" width="5.83203125" style="557" customWidth="1"/>
    <col min="20" max="20" width="8.33203125" style="557" customWidth="1"/>
    <col min="21" max="21" width="7.33203125" style="557" customWidth="1"/>
    <col min="22" max="23" width="9.33203125" style="557"/>
    <col min="24" max="24" width="6.6640625" style="557" customWidth="1"/>
    <col min="25" max="25" width="4" style="557" customWidth="1"/>
    <col min="26" max="16384" width="9.33203125" style="557"/>
  </cols>
  <sheetData>
    <row r="1" spans="1:25" ht="15" x14ac:dyDescent="0.2">
      <c r="D1" s="631"/>
      <c r="E1" s="824" t="s">
        <v>599</v>
      </c>
      <c r="F1" s="824"/>
      <c r="G1" s="824"/>
      <c r="H1" s="824"/>
      <c r="I1" s="630"/>
      <c r="J1" s="824" t="s">
        <v>604</v>
      </c>
      <c r="K1" s="824"/>
      <c r="L1" s="824"/>
      <c r="M1" s="824"/>
      <c r="O1" s="825" t="s">
        <v>528</v>
      </c>
      <c r="P1" s="826"/>
      <c r="Q1" s="827"/>
      <c r="R1" s="825" t="s">
        <v>527</v>
      </c>
      <c r="S1" s="826"/>
      <c r="T1" s="827"/>
      <c r="U1" s="828" t="s">
        <v>526</v>
      </c>
      <c r="W1" s="629" t="s">
        <v>245</v>
      </c>
      <c r="X1" s="628">
        <v>0.8</v>
      </c>
    </row>
    <row r="2" spans="1:25" ht="12" x14ac:dyDescent="0.2">
      <c r="C2" s="595" t="s">
        <v>525</v>
      </c>
      <c r="D2" s="627" t="s">
        <v>497</v>
      </c>
      <c r="E2" s="625" t="s">
        <v>496</v>
      </c>
      <c r="F2" s="625" t="s">
        <v>495</v>
      </c>
      <c r="G2" s="625" t="s">
        <v>494</v>
      </c>
      <c r="H2" s="625" t="s">
        <v>493</v>
      </c>
      <c r="I2" s="626"/>
      <c r="J2" s="625" t="s">
        <v>496</v>
      </c>
      <c r="K2" s="625" t="s">
        <v>495</v>
      </c>
      <c r="L2" s="625" t="s">
        <v>494</v>
      </c>
      <c r="M2" s="625" t="s">
        <v>493</v>
      </c>
      <c r="O2" s="622" t="s">
        <v>524</v>
      </c>
      <c r="P2" s="624" t="s">
        <v>523</v>
      </c>
      <c r="Q2" s="621" t="s">
        <v>522</v>
      </c>
      <c r="R2" s="623" t="s">
        <v>524</v>
      </c>
      <c r="S2" s="622" t="s">
        <v>523</v>
      </c>
      <c r="T2" s="621" t="s">
        <v>522</v>
      </c>
      <c r="U2" s="829"/>
      <c r="W2" s="612" t="s">
        <v>249</v>
      </c>
      <c r="X2" s="611" t="s">
        <v>251</v>
      </c>
    </row>
    <row r="3" spans="1:25" ht="12" x14ac:dyDescent="0.2">
      <c r="A3" s="557">
        <v>1</v>
      </c>
      <c r="B3" s="573">
        <v>51</v>
      </c>
      <c r="C3" s="620" t="s">
        <v>0</v>
      </c>
      <c r="D3" s="620" t="s">
        <v>521</v>
      </c>
      <c r="E3" s="619">
        <v>0</v>
      </c>
      <c r="F3" s="619">
        <v>0</v>
      </c>
      <c r="G3" s="619">
        <v>0</v>
      </c>
      <c r="H3" s="619">
        <v>0</v>
      </c>
      <c r="I3" s="599"/>
      <c r="J3" s="619">
        <v>0</v>
      </c>
      <c r="K3" s="619">
        <v>0</v>
      </c>
      <c r="L3" s="619">
        <v>0</v>
      </c>
      <c r="M3" s="619">
        <v>0</v>
      </c>
      <c r="Q3" s="618"/>
      <c r="T3" s="618"/>
      <c r="W3" s="617" t="s">
        <v>245</v>
      </c>
      <c r="X3" s="616">
        <v>40</v>
      </c>
    </row>
    <row r="4" spans="1:25" ht="12" x14ac:dyDescent="0.2">
      <c r="A4" s="557">
        <v>2</v>
      </c>
      <c r="B4" s="557">
        <v>52</v>
      </c>
      <c r="C4" s="586" t="s">
        <v>9</v>
      </c>
      <c r="D4" s="586" t="s">
        <v>520</v>
      </c>
      <c r="E4" s="589">
        <v>267810444.66666666</v>
      </c>
      <c r="F4" s="589">
        <v>23363926.300000004</v>
      </c>
      <c r="G4" s="589">
        <v>61455639.273743547</v>
      </c>
      <c r="H4" s="589">
        <v>43306670.660000004</v>
      </c>
      <c r="I4" s="599"/>
      <c r="J4" s="589">
        <v>301286745</v>
      </c>
      <c r="K4" s="589">
        <v>25273947.220000003</v>
      </c>
      <c r="L4" s="589">
        <v>69137590.224029988</v>
      </c>
      <c r="M4" s="589">
        <v>48145535.88000001</v>
      </c>
      <c r="O4" s="560">
        <f t="shared" ref="O4:O27" si="0">IF((F4/(E4*$X$1)*$X$3)&gt;$X$3,$X$3,F4/(E4*$X$1)*$X$3)</f>
        <v>4.3620267180169501</v>
      </c>
      <c r="P4" s="560">
        <f t="shared" ref="P4:P27" si="1">IF((H4/G4*$X$4)&gt;$X$4,$X$4,H4/G4*$X$4)</f>
        <v>42.280908152722553</v>
      </c>
      <c r="Q4" s="583">
        <f t="shared" ref="Q4:Q27" si="2">IF((F4/(E4*$X$1)*$X$3)&gt;$X$3,$X$3,F4/(E4*$X$1)*$X$3)+IF((H4/G4*$X$4)&gt;$X$4,$X$4,H4/G4*$X$4)</f>
        <v>46.642934870739502</v>
      </c>
      <c r="R4" s="560">
        <f t="shared" ref="R4:R27" si="3">IF((K4/(J4*$X$1)*$X$3)&gt;$X$3,$X$3,K4/(J4*$X$1)*$X$3)</f>
        <v>4.1943344072438373</v>
      </c>
      <c r="S4" s="560">
        <f t="shared" ref="S4:S27" si="4">IF((M4/L4*$X$4)&gt;$X$4,$X$4,M4/L4*$X$4)</f>
        <v>41.782366776734584</v>
      </c>
      <c r="T4" s="583">
        <f t="shared" ref="T4:T27" si="5">IF((K4/(J4*$X$1)*$X$3)&gt;$X$3,$X$3,K4/(J4*$X$1)*$X$3)+IF((M4/L4*$X$4)&gt;$X$4,$X$4,M4/L4*$X$4)</f>
        <v>45.97670118397842</v>
      </c>
      <c r="U4" s="577">
        <f t="shared" ref="U4:U27" si="6">T4-Q4</f>
        <v>-0.66623368676108186</v>
      </c>
      <c r="W4" s="615" t="s">
        <v>250</v>
      </c>
      <c r="X4" s="614">
        <v>60</v>
      </c>
    </row>
    <row r="5" spans="1:25" ht="12" x14ac:dyDescent="0.2">
      <c r="A5" s="557">
        <v>3</v>
      </c>
      <c r="B5" s="557">
        <v>53</v>
      </c>
      <c r="C5" s="586" t="s">
        <v>10</v>
      </c>
      <c r="D5" s="586" t="s">
        <v>519</v>
      </c>
      <c r="E5" s="584">
        <v>127311393.13333334</v>
      </c>
      <c r="F5" s="584">
        <v>47422755.569999978</v>
      </c>
      <c r="G5" s="584">
        <v>26319583.154711861</v>
      </c>
      <c r="H5" s="584">
        <v>36507908.300000012</v>
      </c>
      <c r="I5" s="599"/>
      <c r="J5" s="584">
        <v>143225289</v>
      </c>
      <c r="K5" s="584">
        <v>51862618.860000014</v>
      </c>
      <c r="L5" s="584">
        <v>29609527.029890843</v>
      </c>
      <c r="M5" s="584">
        <v>41282189.449999996</v>
      </c>
      <c r="O5" s="560">
        <f t="shared" si="0"/>
        <v>18.624710013319106</v>
      </c>
      <c r="P5" s="560">
        <f t="shared" si="1"/>
        <v>60</v>
      </c>
      <c r="Q5" s="583">
        <f t="shared" si="2"/>
        <v>78.624710013319103</v>
      </c>
      <c r="R5" s="560">
        <f t="shared" si="3"/>
        <v>18.105258932310484</v>
      </c>
      <c r="S5" s="560">
        <f t="shared" si="4"/>
        <v>60</v>
      </c>
      <c r="T5" s="583">
        <f t="shared" si="5"/>
        <v>78.105258932310477</v>
      </c>
      <c r="U5" s="577">
        <f t="shared" si="6"/>
        <v>-0.51945108100862569</v>
      </c>
      <c r="W5" s="613"/>
      <c r="X5" s="613"/>
    </row>
    <row r="6" spans="1:25" ht="12" x14ac:dyDescent="0.2">
      <c r="A6" s="557">
        <v>4</v>
      </c>
      <c r="B6" s="557">
        <v>54</v>
      </c>
      <c r="C6" s="586" t="s">
        <v>12</v>
      </c>
      <c r="D6" s="586" t="s">
        <v>518</v>
      </c>
      <c r="E6" s="584">
        <v>64807333.333333336</v>
      </c>
      <c r="F6" s="584">
        <v>40685434.590000004</v>
      </c>
      <c r="G6" s="584">
        <v>14173997.202414736</v>
      </c>
      <c r="H6" s="584">
        <v>6358591.9800000004</v>
      </c>
      <c r="I6" s="599"/>
      <c r="J6" s="584">
        <v>72908235</v>
      </c>
      <c r="K6" s="584">
        <v>42851060.119999997</v>
      </c>
      <c r="L6" s="584">
        <v>15945744.112041695</v>
      </c>
      <c r="M6" s="584">
        <v>7125648.7299999995</v>
      </c>
      <c r="O6" s="560">
        <f t="shared" si="0"/>
        <v>31.389529932312186</v>
      </c>
      <c r="P6" s="560">
        <f t="shared" si="1"/>
        <v>26.916579236731021</v>
      </c>
      <c r="Q6" s="583">
        <f t="shared" si="2"/>
        <v>58.306109169043211</v>
      </c>
      <c r="R6" s="560">
        <f t="shared" si="3"/>
        <v>29.386982224984596</v>
      </c>
      <c r="S6" s="560">
        <f t="shared" si="4"/>
        <v>26.812102388946325</v>
      </c>
      <c r="T6" s="583">
        <f t="shared" si="5"/>
        <v>56.199084613930921</v>
      </c>
      <c r="U6" s="577">
        <f t="shared" si="6"/>
        <v>-2.1070245551122895</v>
      </c>
      <c r="W6" s="612" t="s">
        <v>253</v>
      </c>
      <c r="X6" s="611" t="s">
        <v>263</v>
      </c>
    </row>
    <row r="7" spans="1:25" ht="12" x14ac:dyDescent="0.2">
      <c r="B7" s="557">
        <v>55</v>
      </c>
      <c r="C7" s="586" t="s">
        <v>7</v>
      </c>
      <c r="D7" s="586" t="s">
        <v>517</v>
      </c>
      <c r="E7" s="584">
        <v>55282719.033333331</v>
      </c>
      <c r="F7" s="584">
        <v>32700081.91</v>
      </c>
      <c r="G7" s="584">
        <v>10148636.308191719</v>
      </c>
      <c r="H7" s="584">
        <v>1834456.5399999998</v>
      </c>
      <c r="I7" s="599"/>
      <c r="J7" s="584">
        <v>62193024</v>
      </c>
      <c r="K7" s="584">
        <v>38803718.900000006</v>
      </c>
      <c r="L7" s="584">
        <v>11417208.258569075</v>
      </c>
      <c r="M7" s="584">
        <v>2058409.1700000004</v>
      </c>
      <c r="O7" s="560">
        <f t="shared" si="0"/>
        <v>29.575319812221178</v>
      </c>
      <c r="P7" s="560">
        <f t="shared" si="1"/>
        <v>10.845535208622699</v>
      </c>
      <c r="Q7" s="583">
        <f t="shared" si="2"/>
        <v>40.420855020843874</v>
      </c>
      <c r="R7" s="560">
        <f t="shared" si="3"/>
        <v>31.196198869506656</v>
      </c>
      <c r="S7" s="560">
        <f t="shared" si="4"/>
        <v>10.817403642199912</v>
      </c>
      <c r="T7" s="583">
        <f t="shared" si="5"/>
        <v>42.013602511706566</v>
      </c>
      <c r="U7" s="577">
        <f t="shared" si="6"/>
        <v>1.592747490862692</v>
      </c>
      <c r="W7" s="610">
        <v>0</v>
      </c>
      <c r="X7" s="609" t="s">
        <v>254</v>
      </c>
      <c r="Y7" s="608">
        <v>1</v>
      </c>
    </row>
    <row r="8" spans="1:25" ht="12" x14ac:dyDescent="0.2">
      <c r="B8" s="557">
        <v>56</v>
      </c>
      <c r="C8" s="586" t="s">
        <v>8</v>
      </c>
      <c r="D8" s="586" t="s">
        <v>516</v>
      </c>
      <c r="E8" s="584">
        <v>101331278.22</v>
      </c>
      <c r="F8" s="584">
        <v>39287532.479999997</v>
      </c>
      <c r="G8" s="584">
        <v>19977879.260023557</v>
      </c>
      <c r="H8" s="584">
        <v>12657354.020000001</v>
      </c>
      <c r="I8" s="599"/>
      <c r="J8" s="584">
        <v>113997600</v>
      </c>
      <c r="K8" s="584">
        <v>41960715.759999998</v>
      </c>
      <c r="L8" s="584">
        <v>22475105.049445614</v>
      </c>
      <c r="M8" s="584">
        <v>14861321.149999999</v>
      </c>
      <c r="O8" s="560">
        <f t="shared" si="0"/>
        <v>19.385688787376669</v>
      </c>
      <c r="P8" s="560">
        <f t="shared" si="1"/>
        <v>38.014107068895392</v>
      </c>
      <c r="Q8" s="583">
        <f t="shared" si="2"/>
        <v>57.399795856272064</v>
      </c>
      <c r="R8" s="560">
        <f t="shared" si="3"/>
        <v>18.404210158810358</v>
      </c>
      <c r="S8" s="560">
        <f t="shared" si="4"/>
        <v>39.674086819095635</v>
      </c>
      <c r="T8" s="583">
        <f t="shared" si="5"/>
        <v>58.078296977905993</v>
      </c>
      <c r="U8" s="577">
        <f t="shared" si="6"/>
        <v>0.67850112163392851</v>
      </c>
      <c r="W8" s="607">
        <v>29</v>
      </c>
      <c r="X8" s="606" t="s">
        <v>255</v>
      </c>
      <c r="Y8" s="605">
        <v>2</v>
      </c>
    </row>
    <row r="9" spans="1:25" ht="12" x14ac:dyDescent="0.2">
      <c r="B9" s="557">
        <v>57</v>
      </c>
      <c r="C9" s="586" t="s">
        <v>49</v>
      </c>
      <c r="D9" s="586" t="s">
        <v>515</v>
      </c>
      <c r="E9" s="584">
        <v>24344000</v>
      </c>
      <c r="F9" s="584">
        <v>14573086.220000001</v>
      </c>
      <c r="G9" s="584">
        <v>4297852.437896722</v>
      </c>
      <c r="H9" s="584">
        <v>2716562.64</v>
      </c>
      <c r="I9" s="599"/>
      <c r="J9" s="584">
        <v>27387009</v>
      </c>
      <c r="K9" s="584">
        <v>16579094.879999999</v>
      </c>
      <c r="L9" s="584">
        <v>4835086.2222338123</v>
      </c>
      <c r="M9" s="584">
        <v>3054241.1199999996</v>
      </c>
      <c r="O9" s="560">
        <f t="shared" si="0"/>
        <v>29.931577021031877</v>
      </c>
      <c r="P9" s="560">
        <f t="shared" si="1"/>
        <v>37.924465940893427</v>
      </c>
      <c r="Q9" s="583">
        <f t="shared" si="2"/>
        <v>67.856042961925311</v>
      </c>
      <c r="R9" s="560">
        <f t="shared" si="3"/>
        <v>30.268173643934606</v>
      </c>
      <c r="S9" s="560">
        <f t="shared" si="4"/>
        <v>37.900971932479067</v>
      </c>
      <c r="T9" s="583">
        <f t="shared" si="5"/>
        <v>68.169145576413669</v>
      </c>
      <c r="U9" s="577">
        <f t="shared" si="6"/>
        <v>0.31310261448835774</v>
      </c>
      <c r="W9" s="607">
        <v>37</v>
      </c>
      <c r="X9" s="606" t="s">
        <v>256</v>
      </c>
      <c r="Y9" s="605">
        <v>3</v>
      </c>
    </row>
    <row r="10" spans="1:25" ht="12" x14ac:dyDescent="0.2">
      <c r="A10" s="601">
        <v>10</v>
      </c>
      <c r="B10" s="557">
        <v>58</v>
      </c>
      <c r="C10" s="586" t="s">
        <v>11</v>
      </c>
      <c r="D10" s="586" t="s">
        <v>514</v>
      </c>
      <c r="E10" s="584">
        <v>12231800</v>
      </c>
      <c r="F10" s="584">
        <v>500000.51</v>
      </c>
      <c r="G10" s="584">
        <v>3069353.919052463</v>
      </c>
      <c r="H10" s="584">
        <v>1720676.3599999999</v>
      </c>
      <c r="I10" s="599"/>
      <c r="J10" s="584">
        <v>13760784</v>
      </c>
      <c r="K10" s="584">
        <v>586810.64</v>
      </c>
      <c r="L10" s="584">
        <v>3453025.5214340207</v>
      </c>
      <c r="M10" s="584">
        <v>1965049.51</v>
      </c>
      <c r="O10" s="560">
        <f t="shared" si="0"/>
        <v>2.0438549927238836</v>
      </c>
      <c r="P10" s="560">
        <f t="shared" si="1"/>
        <v>33.635932617334426</v>
      </c>
      <c r="Q10" s="583">
        <f t="shared" si="2"/>
        <v>35.679787610058312</v>
      </c>
      <c r="R10" s="560">
        <f t="shared" si="3"/>
        <v>2.1321846197135277</v>
      </c>
      <c r="S10" s="560">
        <f t="shared" si="4"/>
        <v>34.144830343169779</v>
      </c>
      <c r="T10" s="583">
        <f t="shared" si="5"/>
        <v>36.277014962883307</v>
      </c>
      <c r="U10" s="577">
        <f t="shared" si="6"/>
        <v>0.59722735282499428</v>
      </c>
      <c r="W10" s="607">
        <v>45</v>
      </c>
      <c r="X10" s="606" t="s">
        <v>257</v>
      </c>
      <c r="Y10" s="605">
        <v>4</v>
      </c>
    </row>
    <row r="11" spans="1:25" ht="12" x14ac:dyDescent="0.2">
      <c r="A11" s="601">
        <v>11</v>
      </c>
      <c r="B11" s="557">
        <v>59</v>
      </c>
      <c r="C11" s="586" t="s">
        <v>47</v>
      </c>
      <c r="D11" s="586" t="s">
        <v>513</v>
      </c>
      <c r="E11" s="584">
        <v>13327257.333333334</v>
      </c>
      <c r="F11" s="584">
        <v>7374928.5199999996</v>
      </c>
      <c r="G11" s="584">
        <v>3066413.3863521954</v>
      </c>
      <c r="H11" s="584">
        <v>1929318.7299999997</v>
      </c>
      <c r="I11" s="599"/>
      <c r="J11" s="584">
        <v>14993163</v>
      </c>
      <c r="K11" s="584">
        <v>7839556.1299999999</v>
      </c>
      <c r="L11" s="584">
        <v>3449715.8518356942</v>
      </c>
      <c r="M11" s="584">
        <v>2180670.5</v>
      </c>
      <c r="O11" s="560">
        <f t="shared" si="0"/>
        <v>27.668590526703017</v>
      </c>
      <c r="P11" s="560">
        <f t="shared" si="1"/>
        <v>37.750658249541175</v>
      </c>
      <c r="Q11" s="583">
        <f t="shared" si="2"/>
        <v>65.419248776244189</v>
      </c>
      <c r="R11" s="560">
        <f t="shared" si="3"/>
        <v>26.143770097076914</v>
      </c>
      <c r="S11" s="560">
        <f t="shared" si="4"/>
        <v>37.927828151520394</v>
      </c>
      <c r="T11" s="583">
        <f t="shared" si="5"/>
        <v>64.071598248597311</v>
      </c>
      <c r="U11" s="577">
        <f t="shared" si="6"/>
        <v>-1.3476505276468771</v>
      </c>
      <c r="W11" s="607">
        <v>53</v>
      </c>
      <c r="X11" s="606" t="s">
        <v>258</v>
      </c>
      <c r="Y11" s="605">
        <v>5</v>
      </c>
    </row>
    <row r="12" spans="1:25" ht="12" x14ac:dyDescent="0.2">
      <c r="A12" s="601">
        <v>12</v>
      </c>
      <c r="B12" s="557">
        <v>60</v>
      </c>
      <c r="C12" s="586" t="s">
        <v>38</v>
      </c>
      <c r="D12" s="586" t="s">
        <v>512</v>
      </c>
      <c r="E12" s="584">
        <v>6632866.666666666</v>
      </c>
      <c r="F12" s="584">
        <v>38792.99</v>
      </c>
      <c r="G12" s="584">
        <v>1715947.6306528607</v>
      </c>
      <c r="H12" s="584">
        <v>773750.73</v>
      </c>
      <c r="I12" s="599"/>
      <c r="J12" s="584">
        <v>7461972</v>
      </c>
      <c r="K12" s="584">
        <v>53204.88</v>
      </c>
      <c r="L12" s="584">
        <v>1930440.2933844686</v>
      </c>
      <c r="M12" s="584">
        <v>878518.65999999992</v>
      </c>
      <c r="O12" s="560">
        <f t="shared" si="0"/>
        <v>0.2924300453298222</v>
      </c>
      <c r="P12" s="560">
        <f t="shared" si="1"/>
        <v>27.05504700183468</v>
      </c>
      <c r="Q12" s="583">
        <f t="shared" si="2"/>
        <v>27.347477047164503</v>
      </c>
      <c r="R12" s="560">
        <f t="shared" si="3"/>
        <v>0.35650683224220081</v>
      </c>
      <c r="S12" s="560">
        <f t="shared" si="4"/>
        <v>27.305231754972485</v>
      </c>
      <c r="T12" s="583">
        <f t="shared" si="5"/>
        <v>27.661738587214685</v>
      </c>
      <c r="U12" s="577">
        <f t="shared" si="6"/>
        <v>0.31426154005018248</v>
      </c>
      <c r="W12" s="607">
        <v>61</v>
      </c>
      <c r="X12" s="606" t="s">
        <v>259</v>
      </c>
      <c r="Y12" s="605">
        <v>6</v>
      </c>
    </row>
    <row r="13" spans="1:25" ht="12" x14ac:dyDescent="0.2">
      <c r="A13" s="601">
        <v>13</v>
      </c>
      <c r="B13" s="557">
        <v>61</v>
      </c>
      <c r="C13" s="586" t="s">
        <v>46</v>
      </c>
      <c r="D13" s="586" t="s">
        <v>511</v>
      </c>
      <c r="E13" s="584">
        <v>6909666.666666666</v>
      </c>
      <c r="F13" s="584">
        <v>2746157.98</v>
      </c>
      <c r="G13" s="584">
        <v>1713923.9040539255</v>
      </c>
      <c r="H13" s="584">
        <v>1109849</v>
      </c>
      <c r="I13" s="599"/>
      <c r="J13" s="584">
        <v>7773363</v>
      </c>
      <c r="K13" s="584">
        <v>3174521.1100000003</v>
      </c>
      <c r="L13" s="584">
        <v>1928162.7753552487</v>
      </c>
      <c r="M13" s="584">
        <v>1319600.81</v>
      </c>
      <c r="O13" s="560">
        <f t="shared" si="0"/>
        <v>19.871855709392637</v>
      </c>
      <c r="P13" s="560">
        <f t="shared" si="1"/>
        <v>38.852915139635527</v>
      </c>
      <c r="Q13" s="583">
        <f t="shared" si="2"/>
        <v>58.724770849028161</v>
      </c>
      <c r="R13" s="560">
        <f t="shared" si="3"/>
        <v>20.419225951496152</v>
      </c>
      <c r="S13" s="560">
        <f t="shared" si="4"/>
        <v>41.062948425302132</v>
      </c>
      <c r="T13" s="583">
        <f t="shared" si="5"/>
        <v>61.482174376798284</v>
      </c>
      <c r="U13" s="577">
        <f t="shared" si="6"/>
        <v>2.7574035277701228</v>
      </c>
      <c r="W13" s="607">
        <v>69</v>
      </c>
      <c r="X13" s="606" t="s">
        <v>260</v>
      </c>
      <c r="Y13" s="605">
        <v>7</v>
      </c>
    </row>
    <row r="14" spans="1:25" ht="12" x14ac:dyDescent="0.2">
      <c r="A14" s="601">
        <v>14</v>
      </c>
      <c r="B14" s="557">
        <v>62</v>
      </c>
      <c r="C14" s="586" t="s">
        <v>43</v>
      </c>
      <c r="D14" s="586" t="s">
        <v>510</v>
      </c>
      <c r="E14" s="584">
        <v>8738554</v>
      </c>
      <c r="F14" s="584">
        <v>3187984.7399999998</v>
      </c>
      <c r="G14" s="584">
        <v>1579201.1143708308</v>
      </c>
      <c r="H14" s="584">
        <v>216185.96000000002</v>
      </c>
      <c r="I14" s="599"/>
      <c r="J14" s="584">
        <v>9830880</v>
      </c>
      <c r="K14" s="584">
        <v>3427634.63</v>
      </c>
      <c r="L14" s="584">
        <v>1776603.5470326052</v>
      </c>
      <c r="M14" s="584">
        <v>242965.81</v>
      </c>
      <c r="O14" s="560">
        <f t="shared" si="0"/>
        <v>18.240916861073352</v>
      </c>
      <c r="P14" s="560">
        <f t="shared" si="1"/>
        <v>8.2137464835616196</v>
      </c>
      <c r="Q14" s="583">
        <f t="shared" si="2"/>
        <v>26.454663344634973</v>
      </c>
      <c r="R14" s="560">
        <f t="shared" si="3"/>
        <v>17.433000046791335</v>
      </c>
      <c r="S14" s="560">
        <f t="shared" si="4"/>
        <v>8.2055158700707356</v>
      </c>
      <c r="T14" s="583">
        <f t="shared" si="5"/>
        <v>25.638515916862069</v>
      </c>
      <c r="U14" s="577">
        <f t="shared" si="6"/>
        <v>-0.81614742777290417</v>
      </c>
      <c r="W14" s="607">
        <v>77</v>
      </c>
      <c r="X14" s="606" t="s">
        <v>14</v>
      </c>
      <c r="Y14" s="605">
        <v>8</v>
      </c>
    </row>
    <row r="15" spans="1:25" ht="12" x14ac:dyDescent="0.2">
      <c r="A15" s="601">
        <v>15</v>
      </c>
      <c r="B15" s="557">
        <v>63</v>
      </c>
      <c r="C15" s="586" t="s">
        <v>34</v>
      </c>
      <c r="D15" s="586" t="s">
        <v>509</v>
      </c>
      <c r="E15" s="584">
        <v>12651030.666666666</v>
      </c>
      <c r="F15" s="584">
        <v>11476.5</v>
      </c>
      <c r="G15" s="584">
        <v>3154590.1149333334</v>
      </c>
      <c r="H15" s="584">
        <v>499935.69999999995</v>
      </c>
      <c r="I15" s="599"/>
      <c r="J15" s="584">
        <v>14232402</v>
      </c>
      <c r="K15" s="584">
        <v>11476.5</v>
      </c>
      <c r="L15" s="584">
        <v>3548911.9913999997</v>
      </c>
      <c r="M15" s="584">
        <v>560993.1</v>
      </c>
      <c r="O15" s="560">
        <f t="shared" si="0"/>
        <v>4.5357964510506811E-2</v>
      </c>
      <c r="P15" s="560">
        <f t="shared" si="1"/>
        <v>9.5087288386541822</v>
      </c>
      <c r="Q15" s="583">
        <f t="shared" si="2"/>
        <v>9.5540868031646884</v>
      </c>
      <c r="R15" s="560">
        <f t="shared" si="3"/>
        <v>4.0318211922344513E-2</v>
      </c>
      <c r="S15" s="560">
        <f t="shared" si="4"/>
        <v>9.4844803369501776</v>
      </c>
      <c r="T15" s="583">
        <f t="shared" si="5"/>
        <v>9.5247985488725213</v>
      </c>
      <c r="U15" s="577">
        <f t="shared" si="6"/>
        <v>-2.9288254292167082E-2</v>
      </c>
      <c r="W15" s="607">
        <v>85</v>
      </c>
      <c r="X15" s="606" t="s">
        <v>261</v>
      </c>
      <c r="Y15" s="605">
        <v>9</v>
      </c>
    </row>
    <row r="16" spans="1:25" ht="12" x14ac:dyDescent="0.2">
      <c r="B16" s="557">
        <v>64</v>
      </c>
      <c r="C16" s="586" t="s">
        <v>33</v>
      </c>
      <c r="D16" s="586" t="s">
        <v>508</v>
      </c>
      <c r="E16" s="584">
        <v>4706000</v>
      </c>
      <c r="F16" s="584">
        <v>1759172.6</v>
      </c>
      <c r="G16" s="584">
        <v>862711.44438553241</v>
      </c>
      <c r="H16" s="584">
        <v>138341.18</v>
      </c>
      <c r="I16" s="599"/>
      <c r="J16" s="584">
        <v>5294232</v>
      </c>
      <c r="K16" s="584">
        <v>1871528.37</v>
      </c>
      <c r="L16" s="584">
        <v>970546.70044630952</v>
      </c>
      <c r="M16" s="584">
        <v>148526.9</v>
      </c>
      <c r="O16" s="560">
        <f t="shared" si="0"/>
        <v>18.690741606459838</v>
      </c>
      <c r="P16" s="560">
        <f t="shared" si="1"/>
        <v>9.6213755526472973</v>
      </c>
      <c r="Q16" s="583">
        <f t="shared" si="2"/>
        <v>28.312117159107135</v>
      </c>
      <c r="R16" s="560">
        <f t="shared" si="3"/>
        <v>17.67516393312571</v>
      </c>
      <c r="S16" s="560">
        <f t="shared" si="4"/>
        <v>9.1820558412098681</v>
      </c>
      <c r="T16" s="583">
        <f t="shared" si="5"/>
        <v>26.857219774335576</v>
      </c>
      <c r="U16" s="577">
        <f t="shared" si="6"/>
        <v>-1.4548973847715594</v>
      </c>
      <c r="W16" s="604">
        <v>93</v>
      </c>
      <c r="X16" s="603" t="s">
        <v>262</v>
      </c>
      <c r="Y16" s="602">
        <v>10</v>
      </c>
    </row>
    <row r="17" spans="1:23" x14ac:dyDescent="0.2">
      <c r="B17" s="557">
        <v>65</v>
      </c>
      <c r="C17" s="586" t="s">
        <v>45</v>
      </c>
      <c r="D17" s="586" t="s">
        <v>507</v>
      </c>
      <c r="E17" s="584">
        <v>1662000</v>
      </c>
      <c r="F17" s="584">
        <v>4980.2299999999996</v>
      </c>
      <c r="G17" s="584">
        <v>324090</v>
      </c>
      <c r="H17" s="584">
        <v>535659.91</v>
      </c>
      <c r="I17" s="599"/>
      <c r="J17" s="584">
        <v>1869750</v>
      </c>
      <c r="K17" s="584">
        <v>4980.2299999999996</v>
      </c>
      <c r="L17" s="584">
        <v>364601.25</v>
      </c>
      <c r="M17" s="584">
        <v>602064.22000000009</v>
      </c>
      <c r="O17" s="560">
        <f t="shared" si="0"/>
        <v>0.14982641395908544</v>
      </c>
      <c r="P17" s="560">
        <f t="shared" si="1"/>
        <v>60</v>
      </c>
      <c r="Q17" s="583">
        <f t="shared" si="2"/>
        <v>60.149826413959083</v>
      </c>
      <c r="R17" s="560">
        <f t="shared" si="3"/>
        <v>0.13317903463029815</v>
      </c>
      <c r="S17" s="560">
        <f t="shared" si="4"/>
        <v>60</v>
      </c>
      <c r="T17" s="583">
        <f t="shared" si="5"/>
        <v>60.133179034630295</v>
      </c>
      <c r="U17" s="577">
        <f t="shared" si="6"/>
        <v>-1.6647379328787792E-2</v>
      </c>
    </row>
    <row r="18" spans="1:23" x14ac:dyDescent="0.2">
      <c r="B18" s="557">
        <v>66</v>
      </c>
      <c r="C18" s="586" t="s">
        <v>40</v>
      </c>
      <c r="D18" s="586" t="s">
        <v>506</v>
      </c>
      <c r="E18" s="584">
        <v>1909333.3333333333</v>
      </c>
      <c r="F18" s="584">
        <v>1804.59</v>
      </c>
      <c r="G18" s="584">
        <v>466994.15207352419</v>
      </c>
      <c r="H18" s="584">
        <v>158342.82999999999</v>
      </c>
      <c r="I18" s="599"/>
      <c r="J18" s="584">
        <v>2147994</v>
      </c>
      <c r="K18" s="584">
        <v>1804.59</v>
      </c>
      <c r="L18" s="584">
        <v>525366.95357315859</v>
      </c>
      <c r="M18" s="584">
        <v>177910.11</v>
      </c>
      <c r="O18" s="560">
        <f t="shared" si="0"/>
        <v>4.7257070530726253E-2</v>
      </c>
      <c r="P18" s="560">
        <f t="shared" si="1"/>
        <v>20.344087303483445</v>
      </c>
      <c r="Q18" s="583">
        <f t="shared" si="2"/>
        <v>20.391344374014171</v>
      </c>
      <c r="R18" s="560">
        <f t="shared" si="3"/>
        <v>4.2006402252520246E-2</v>
      </c>
      <c r="S18" s="560">
        <f t="shared" si="4"/>
        <v>20.318382280041021</v>
      </c>
      <c r="T18" s="583">
        <f t="shared" si="5"/>
        <v>20.360388682293543</v>
      </c>
      <c r="U18" s="577">
        <f t="shared" si="6"/>
        <v>-3.0955691720627954E-2</v>
      </c>
    </row>
    <row r="19" spans="1:23" x14ac:dyDescent="0.2">
      <c r="A19" s="601">
        <v>21</v>
      </c>
      <c r="B19" s="557">
        <v>67</v>
      </c>
      <c r="C19" s="586" t="s">
        <v>41</v>
      </c>
      <c r="D19" s="586" t="s">
        <v>505</v>
      </c>
      <c r="E19" s="584">
        <v>5381573.333333333</v>
      </c>
      <c r="F19" s="584">
        <v>400221.35000000003</v>
      </c>
      <c r="G19" s="584">
        <v>1483076.0527841463</v>
      </c>
      <c r="H19" s="584">
        <v>1001801.5700000001</v>
      </c>
      <c r="I19" s="599"/>
      <c r="J19" s="584">
        <v>6054282</v>
      </c>
      <c r="K19" s="584">
        <v>441808.98</v>
      </c>
      <c r="L19" s="584">
        <v>1668464.2362308817</v>
      </c>
      <c r="M19" s="584">
        <v>1117810.57</v>
      </c>
      <c r="O19" s="560">
        <f t="shared" si="0"/>
        <v>3.718441849719289</v>
      </c>
      <c r="P19" s="560">
        <f t="shared" si="1"/>
        <v>40.529340411882714</v>
      </c>
      <c r="Q19" s="583">
        <f t="shared" si="2"/>
        <v>44.247782261602005</v>
      </c>
      <c r="R19" s="560">
        <f t="shared" si="3"/>
        <v>3.6487314267819038</v>
      </c>
      <c r="S19" s="560">
        <f t="shared" si="4"/>
        <v>40.197825487413724</v>
      </c>
      <c r="T19" s="583">
        <f t="shared" si="5"/>
        <v>43.846556914195631</v>
      </c>
      <c r="U19" s="577">
        <f t="shared" si="6"/>
        <v>-0.40122534740637406</v>
      </c>
    </row>
    <row r="20" spans="1:23" x14ac:dyDescent="0.2">
      <c r="A20" s="601">
        <v>22</v>
      </c>
      <c r="B20" s="557">
        <v>68</v>
      </c>
      <c r="C20" s="586" t="s">
        <v>48</v>
      </c>
      <c r="D20" s="586" t="s">
        <v>504</v>
      </c>
      <c r="E20" s="584">
        <v>2261333.333333333</v>
      </c>
      <c r="F20" s="584">
        <v>1461095.48</v>
      </c>
      <c r="G20" s="584">
        <v>734232.26910968893</v>
      </c>
      <c r="H20" s="584">
        <v>155600.79</v>
      </c>
      <c r="I20" s="599"/>
      <c r="J20" s="584">
        <v>2544003</v>
      </c>
      <c r="K20" s="584">
        <v>1573740.9300000002</v>
      </c>
      <c r="L20" s="584">
        <v>826012.27681833261</v>
      </c>
      <c r="M20" s="584">
        <v>178006.16999999998</v>
      </c>
      <c r="O20" s="560">
        <f t="shared" si="0"/>
        <v>32.306061615566037</v>
      </c>
      <c r="P20" s="560">
        <f t="shared" si="1"/>
        <v>12.715386932422149</v>
      </c>
      <c r="Q20" s="583">
        <f t="shared" si="2"/>
        <v>45.021448547988186</v>
      </c>
      <c r="R20" s="560">
        <f t="shared" si="3"/>
        <v>30.930406332068006</v>
      </c>
      <c r="S20" s="560">
        <f t="shared" si="4"/>
        <v>12.9300380874956</v>
      </c>
      <c r="T20" s="583">
        <f t="shared" si="5"/>
        <v>43.860444419563606</v>
      </c>
      <c r="U20" s="577">
        <f t="shared" si="6"/>
        <v>-1.1610041284245796</v>
      </c>
    </row>
    <row r="21" spans="1:23" x14ac:dyDescent="0.2">
      <c r="B21" s="557">
        <v>69</v>
      </c>
      <c r="C21" s="586" t="s">
        <v>35</v>
      </c>
      <c r="D21" s="586" t="s">
        <v>503</v>
      </c>
      <c r="E21" s="584">
        <v>4905333.333333333</v>
      </c>
      <c r="F21" s="584">
        <v>2574005.87</v>
      </c>
      <c r="G21" s="584">
        <v>1393688.900309081</v>
      </c>
      <c r="H21" s="584">
        <v>1107674.1000000001</v>
      </c>
      <c r="I21" s="599"/>
      <c r="J21" s="584">
        <v>5518521</v>
      </c>
      <c r="K21" s="584">
        <v>3075486.35</v>
      </c>
      <c r="L21" s="584">
        <v>1567905.4756104881</v>
      </c>
      <c r="M21" s="584">
        <v>1263845.3399999999</v>
      </c>
      <c r="O21" s="560">
        <f t="shared" si="0"/>
        <v>26.236808949442786</v>
      </c>
      <c r="P21" s="560">
        <f t="shared" si="1"/>
        <v>47.686715439335821</v>
      </c>
      <c r="Q21" s="583">
        <f t="shared" si="2"/>
        <v>73.923524388778603</v>
      </c>
      <c r="R21" s="560">
        <f t="shared" si="3"/>
        <v>27.8651322519204</v>
      </c>
      <c r="S21" s="560">
        <f t="shared" si="4"/>
        <v>48.364344394214285</v>
      </c>
      <c r="T21" s="583">
        <f t="shared" si="5"/>
        <v>76.229476646134685</v>
      </c>
      <c r="U21" s="577">
        <f t="shared" si="6"/>
        <v>2.3059522573560827</v>
      </c>
      <c r="W21" s="560"/>
    </row>
    <row r="22" spans="1:23" ht="10.5" customHeight="1" x14ac:dyDescent="0.2">
      <c r="B22" s="557">
        <v>70</v>
      </c>
      <c r="C22" s="586" t="s">
        <v>44</v>
      </c>
      <c r="D22" s="586" t="s">
        <v>502</v>
      </c>
      <c r="E22" s="584">
        <v>3793933.3333333335</v>
      </c>
      <c r="F22" s="584">
        <v>1038938.15</v>
      </c>
      <c r="G22" s="584">
        <v>1106868.8780617937</v>
      </c>
      <c r="H22" s="584">
        <v>321206.52999999997</v>
      </c>
      <c r="I22" s="599"/>
      <c r="J22" s="584">
        <v>4268187</v>
      </c>
      <c r="K22" s="584">
        <v>1087858.06</v>
      </c>
      <c r="L22" s="584">
        <v>1245231.1787935356</v>
      </c>
      <c r="M22" s="584">
        <v>364829.85</v>
      </c>
      <c r="O22" s="560">
        <f t="shared" si="0"/>
        <v>13.692098130348448</v>
      </c>
      <c r="P22" s="560">
        <f t="shared" si="1"/>
        <v>17.411630394511885</v>
      </c>
      <c r="Q22" s="583">
        <f t="shared" si="2"/>
        <v>31.103728524860333</v>
      </c>
      <c r="R22" s="560">
        <f t="shared" si="3"/>
        <v>12.743795667809305</v>
      </c>
      <c r="S22" s="560">
        <f t="shared" si="4"/>
        <v>17.57889729456366</v>
      </c>
      <c r="T22" s="583">
        <f t="shared" si="5"/>
        <v>30.322692962372965</v>
      </c>
      <c r="U22" s="577">
        <f t="shared" si="6"/>
        <v>-0.78103556248736794</v>
      </c>
    </row>
    <row r="23" spans="1:23" x14ac:dyDescent="0.2">
      <c r="B23" s="557">
        <v>71</v>
      </c>
      <c r="C23" s="586" t="s">
        <v>39</v>
      </c>
      <c r="D23" s="586" t="s">
        <v>501</v>
      </c>
      <c r="E23" s="584">
        <v>3429430.4533333336</v>
      </c>
      <c r="F23" s="584">
        <v>904953.8600000001</v>
      </c>
      <c r="G23" s="584">
        <v>930011.45239930996</v>
      </c>
      <c r="H23" s="584">
        <v>325554.16000000003</v>
      </c>
      <c r="I23" s="599"/>
      <c r="J23" s="584">
        <v>3858102</v>
      </c>
      <c r="K23" s="584">
        <v>905465.31</v>
      </c>
      <c r="L23" s="584">
        <v>1046261.365307315</v>
      </c>
      <c r="M23" s="584">
        <v>364057.97</v>
      </c>
      <c r="O23" s="560">
        <f t="shared" si="0"/>
        <v>13.193938065144375</v>
      </c>
      <c r="P23" s="560">
        <f t="shared" si="1"/>
        <v>21.003235551139429</v>
      </c>
      <c r="Q23" s="583">
        <f t="shared" si="2"/>
        <v>34.197173616283806</v>
      </c>
      <c r="R23" s="560">
        <f t="shared" si="3"/>
        <v>11.73459527508604</v>
      </c>
      <c r="S23" s="560">
        <f t="shared" si="4"/>
        <v>20.877649623986628</v>
      </c>
      <c r="T23" s="583">
        <f t="shared" si="5"/>
        <v>32.612244899072664</v>
      </c>
      <c r="U23" s="577">
        <f t="shared" si="6"/>
        <v>-1.5849287172111417</v>
      </c>
    </row>
    <row r="24" spans="1:23" x14ac:dyDescent="0.2">
      <c r="B24" s="557">
        <v>72</v>
      </c>
      <c r="C24" s="586" t="s">
        <v>42</v>
      </c>
      <c r="D24" s="586" t="s">
        <v>500</v>
      </c>
      <c r="E24" s="584">
        <v>1637333.333333333</v>
      </c>
      <c r="F24" s="584">
        <v>1004132.7200000001</v>
      </c>
      <c r="G24" s="584">
        <v>277719.93333333329</v>
      </c>
      <c r="H24" s="584">
        <v>117835.66</v>
      </c>
      <c r="I24" s="599"/>
      <c r="J24" s="584">
        <v>1841976</v>
      </c>
      <c r="K24" s="584">
        <v>1043868.88</v>
      </c>
      <c r="L24" s="584">
        <v>312430.05180000002</v>
      </c>
      <c r="M24" s="584">
        <v>131689.78999999998</v>
      </c>
      <c r="O24" s="560">
        <f t="shared" si="0"/>
        <v>30.663662052117271</v>
      </c>
      <c r="P24" s="560">
        <f t="shared" si="1"/>
        <v>25.457803893082698</v>
      </c>
      <c r="Q24" s="583">
        <f t="shared" si="2"/>
        <v>56.121465945199972</v>
      </c>
      <c r="R24" s="560">
        <f t="shared" si="3"/>
        <v>28.335572233297285</v>
      </c>
      <c r="S24" s="560">
        <f t="shared" si="4"/>
        <v>25.290100470418313</v>
      </c>
      <c r="T24" s="583">
        <f t="shared" si="5"/>
        <v>53.625672703715594</v>
      </c>
      <c r="U24" s="577">
        <f t="shared" si="6"/>
        <v>-2.4957932414843782</v>
      </c>
    </row>
    <row r="25" spans="1:23" x14ac:dyDescent="0.2">
      <c r="A25" s="596">
        <v>31</v>
      </c>
      <c r="B25" s="557">
        <v>73</v>
      </c>
      <c r="C25" s="586" t="s">
        <v>37</v>
      </c>
      <c r="D25" s="586" t="s">
        <v>499</v>
      </c>
      <c r="E25" s="584">
        <v>2291406.6666666665</v>
      </c>
      <c r="F25" s="584">
        <v>24975.68</v>
      </c>
      <c r="G25" s="584">
        <v>377579.19222590566</v>
      </c>
      <c r="H25" s="584">
        <v>150374.72999999998</v>
      </c>
      <c r="I25" s="599"/>
      <c r="J25" s="584">
        <v>2577834</v>
      </c>
      <c r="K25" s="584">
        <v>24975.68</v>
      </c>
      <c r="L25" s="584">
        <v>424776.65275414387</v>
      </c>
      <c r="M25" s="584">
        <v>166226.12</v>
      </c>
      <c r="O25" s="560">
        <f t="shared" si="0"/>
        <v>0.54498575838422403</v>
      </c>
      <c r="P25" s="560">
        <f t="shared" si="1"/>
        <v>23.895606499952056</v>
      </c>
      <c r="Q25" s="583">
        <f t="shared" si="2"/>
        <v>24.440592258336281</v>
      </c>
      <c r="R25" s="560">
        <f t="shared" si="3"/>
        <v>0.48443150334738388</v>
      </c>
      <c r="S25" s="560">
        <f t="shared" si="4"/>
        <v>23.479555986266959</v>
      </c>
      <c r="T25" s="583">
        <f t="shared" si="5"/>
        <v>23.963987489614343</v>
      </c>
      <c r="U25" s="577">
        <f t="shared" si="6"/>
        <v>-0.47660476872193769</v>
      </c>
    </row>
    <row r="26" spans="1:23" x14ac:dyDescent="0.2">
      <c r="A26" s="596">
        <v>32</v>
      </c>
      <c r="B26" s="557">
        <v>74</v>
      </c>
      <c r="C26" s="600" t="s">
        <v>36</v>
      </c>
      <c r="D26" s="600" t="s">
        <v>498</v>
      </c>
      <c r="E26" s="598">
        <v>2105333.333333333</v>
      </c>
      <c r="F26" s="598">
        <v>0</v>
      </c>
      <c r="G26" s="598">
        <v>364759.769252703</v>
      </c>
      <c r="H26" s="598">
        <v>209738.15999999997</v>
      </c>
      <c r="I26" s="599"/>
      <c r="J26" s="598">
        <v>2368494</v>
      </c>
      <c r="K26" s="598">
        <v>0</v>
      </c>
      <c r="L26" s="598">
        <v>410353.95228053565</v>
      </c>
      <c r="M26" s="598">
        <v>235955.43</v>
      </c>
      <c r="O26" s="560">
        <f t="shared" si="0"/>
        <v>0</v>
      </c>
      <c r="P26" s="560">
        <f t="shared" si="1"/>
        <v>34.50021263524183</v>
      </c>
      <c r="Q26" s="583">
        <f t="shared" si="2"/>
        <v>34.50021263524183</v>
      </c>
      <c r="R26" s="560">
        <f t="shared" si="3"/>
        <v>0</v>
      </c>
      <c r="S26" s="560">
        <f t="shared" si="4"/>
        <v>34.500278896598616</v>
      </c>
      <c r="T26" s="583">
        <f t="shared" si="5"/>
        <v>34.500278896598616</v>
      </c>
      <c r="U26" s="577">
        <f t="shared" si="6"/>
        <v>6.6261356785446424E-5</v>
      </c>
    </row>
    <row r="27" spans="1:23" x14ac:dyDescent="0.2">
      <c r="A27" s="596">
        <v>33</v>
      </c>
      <c r="C27" s="569" t="s">
        <v>461</v>
      </c>
      <c r="E27" s="567">
        <f>SUM(E3:E26)</f>
        <v>735461354.17333353</v>
      </c>
      <c r="F27" s="567">
        <f>SUM(F3:F26)</f>
        <v>221066438.83999997</v>
      </c>
      <c r="G27" s="567">
        <f>SUM(G3:G26)</f>
        <v>158994749.7503328</v>
      </c>
      <c r="H27" s="567">
        <f>SUM(H3:H26)</f>
        <v>113853390.24000001</v>
      </c>
      <c r="I27" s="568"/>
      <c r="J27" s="567">
        <f>SUM(J3:J26)</f>
        <v>827393841</v>
      </c>
      <c r="K27" s="567">
        <f>SUM(K3:K26)</f>
        <v>242455877.00999999</v>
      </c>
      <c r="L27" s="567">
        <f>SUM(L3:L26)</f>
        <v>178869070.97026774</v>
      </c>
      <c r="M27" s="567">
        <f>SUM(M3:M26)</f>
        <v>128426066.36000004</v>
      </c>
      <c r="O27" s="566">
        <f t="shared" si="0"/>
        <v>15.029099597522769</v>
      </c>
      <c r="P27" s="566">
        <f t="shared" si="1"/>
        <v>42.964962208670052</v>
      </c>
      <c r="Q27" s="597">
        <f t="shared" si="2"/>
        <v>57.994061806192818</v>
      </c>
      <c r="R27" s="566">
        <f t="shared" si="3"/>
        <v>14.651781593936228</v>
      </c>
      <c r="S27" s="566">
        <f t="shared" si="4"/>
        <v>43.079353740708193</v>
      </c>
      <c r="T27" s="597">
        <f t="shared" si="5"/>
        <v>57.731135334644421</v>
      </c>
      <c r="U27" s="577">
        <f t="shared" si="6"/>
        <v>-0.26292647154839699</v>
      </c>
    </row>
    <row r="28" spans="1:23" x14ac:dyDescent="0.2">
      <c r="A28" s="596">
        <v>34</v>
      </c>
      <c r="I28" s="559"/>
      <c r="U28" s="577"/>
    </row>
    <row r="29" spans="1:23" x14ac:dyDescent="0.2">
      <c r="A29" s="596">
        <v>35</v>
      </c>
      <c r="I29" s="559"/>
      <c r="U29" s="577"/>
    </row>
    <row r="30" spans="1:23" x14ac:dyDescent="0.2">
      <c r="A30" s="596">
        <v>36</v>
      </c>
      <c r="C30" s="595" t="s">
        <v>364</v>
      </c>
      <c r="D30" s="594" t="s">
        <v>497</v>
      </c>
      <c r="E30" s="591" t="s">
        <v>496</v>
      </c>
      <c r="F30" s="591" t="s">
        <v>495</v>
      </c>
      <c r="G30" s="592" t="s">
        <v>494</v>
      </c>
      <c r="H30" s="591" t="s">
        <v>493</v>
      </c>
      <c r="I30" s="593"/>
      <c r="J30" s="591" t="s">
        <v>496</v>
      </c>
      <c r="K30" s="591" t="s">
        <v>495</v>
      </c>
      <c r="L30" s="592" t="s">
        <v>494</v>
      </c>
      <c r="M30" s="591" t="s">
        <v>493</v>
      </c>
      <c r="U30" s="577"/>
    </row>
    <row r="31" spans="1:23" x14ac:dyDescent="0.2">
      <c r="B31" s="557">
        <v>81</v>
      </c>
      <c r="C31" s="674" t="s">
        <v>5</v>
      </c>
      <c r="D31" s="590" t="s">
        <v>492</v>
      </c>
      <c r="E31" s="589">
        <v>31887118.666666664</v>
      </c>
      <c r="F31" s="589">
        <v>20138144.16</v>
      </c>
      <c r="G31" s="589">
        <v>2450641.617333333</v>
      </c>
      <c r="H31" s="589">
        <v>2767221.62</v>
      </c>
      <c r="I31" s="571"/>
      <c r="J31" s="589">
        <v>35881254</v>
      </c>
      <c r="K31" s="589">
        <v>24962236.18</v>
      </c>
      <c r="L31" s="589">
        <v>2758044.0833999999</v>
      </c>
      <c r="M31" s="589">
        <v>2976148.17</v>
      </c>
      <c r="O31" s="560">
        <f t="shared" ref="O31:O37" si="7">IF((F31/(E31*$X$1)*$X$3)&gt;$X$3,$X$3,F31/(E31*$X$1)*$X$3)</f>
        <v>31.577240280808901</v>
      </c>
      <c r="P31" s="560">
        <f t="shared" ref="P31:P37" si="8">IF((H31/G31*$X$4)&gt;$X$4,$X$4,H31/G31*$X$4)</f>
        <v>60</v>
      </c>
      <c r="Q31" s="588">
        <f t="shared" ref="Q31:Q37" si="9">IF((F31/(E31*$X$1)*$X$3)&gt;$X$3,$X$3,F31/(E31*$X$1)*$X$3)+IF((H31/G31*$X$4)&gt;$X$4,$X$4,H31/G31*$X$4)</f>
        <v>91.577240280808894</v>
      </c>
      <c r="R31" s="560">
        <f t="shared" ref="R31:R37" si="10">IF((K31/(J31*$X$1)*$X$3)&gt;$X$3,$X$3,K31/(J31*$X$1)*$X$3)</f>
        <v>34.784509175738393</v>
      </c>
      <c r="S31" s="560">
        <f t="shared" ref="S31:S37" si="11">IF((M31/L31*$X$4)&gt;$X$4,$X$4,M31/L31*$X$4)</f>
        <v>60</v>
      </c>
      <c r="T31" s="588">
        <f t="shared" ref="T31:T37" si="12">IF((K31/(J31*$X$1)*$X$3)&gt;$X$3,$X$3,K31/(J31*$X$1)*$X$3)+IF((M31/L31*$X$4)&gt;$X$4,$X$4,M31/L31*$X$4)</f>
        <v>94.784509175738393</v>
      </c>
      <c r="U31" s="577">
        <f t="shared" ref="U31:U37" si="13">T31-Q31</f>
        <v>3.2072688949294985</v>
      </c>
    </row>
    <row r="32" spans="1:23" x14ac:dyDescent="0.2">
      <c r="B32" s="557">
        <v>82</v>
      </c>
      <c r="C32" s="675" t="s">
        <v>289</v>
      </c>
      <c r="D32" s="586" t="s">
        <v>491</v>
      </c>
      <c r="E32" s="584">
        <v>420045519.78750336</v>
      </c>
      <c r="F32" s="584">
        <v>260194752.49000001</v>
      </c>
      <c r="G32" s="584">
        <v>138876167.22591794</v>
      </c>
      <c r="H32" s="584">
        <v>92755044.710000008</v>
      </c>
      <c r="I32" s="571"/>
      <c r="J32" s="584">
        <v>472551210</v>
      </c>
      <c r="K32" s="584">
        <v>294115638.29999995</v>
      </c>
      <c r="L32" s="584">
        <v>156235688.55000001</v>
      </c>
      <c r="M32" s="584">
        <v>107836530.64999999</v>
      </c>
      <c r="O32" s="560">
        <f t="shared" si="7"/>
        <v>30.972208990781496</v>
      </c>
      <c r="P32" s="560">
        <f t="shared" si="8"/>
        <v>40.073849918010765</v>
      </c>
      <c r="Q32" s="583">
        <f t="shared" si="9"/>
        <v>71.046058908792261</v>
      </c>
      <c r="R32" s="560">
        <f t="shared" si="10"/>
        <v>31.119975155708516</v>
      </c>
      <c r="S32" s="560">
        <f t="shared" si="11"/>
        <v>41.413020924021133</v>
      </c>
      <c r="T32" s="583">
        <f t="shared" si="12"/>
        <v>72.532996079729656</v>
      </c>
      <c r="U32" s="577">
        <f t="shared" si="13"/>
        <v>1.4869371709373951</v>
      </c>
    </row>
    <row r="33" spans="1:21" x14ac:dyDescent="0.2">
      <c r="B33" s="557">
        <v>83</v>
      </c>
      <c r="C33" s="675" t="s">
        <v>444</v>
      </c>
      <c r="D33" s="586" t="s">
        <v>490</v>
      </c>
      <c r="E33" s="584">
        <v>177387848</v>
      </c>
      <c r="F33" s="584">
        <v>115252395.85000001</v>
      </c>
      <c r="G33" s="584">
        <v>30743483.373333339</v>
      </c>
      <c r="H33" s="584">
        <v>18970435.57</v>
      </c>
      <c r="I33" s="571"/>
      <c r="J33" s="584">
        <v>199561338</v>
      </c>
      <c r="K33" s="584">
        <v>132184707.64999999</v>
      </c>
      <c r="L33" s="584">
        <v>34586423.611199997</v>
      </c>
      <c r="M33" s="584">
        <v>21440200.649999999</v>
      </c>
      <c r="O33" s="560">
        <f t="shared" si="7"/>
        <v>32.485989640620701</v>
      </c>
      <c r="P33" s="560">
        <f t="shared" si="8"/>
        <v>37.023330127492599</v>
      </c>
      <c r="Q33" s="583">
        <f t="shared" si="9"/>
        <v>69.509319768113301</v>
      </c>
      <c r="R33" s="560">
        <f t="shared" si="10"/>
        <v>33.118816744453774</v>
      </c>
      <c r="S33" s="560">
        <f t="shared" si="11"/>
        <v>37.194132977178526</v>
      </c>
      <c r="T33" s="583">
        <f t="shared" si="12"/>
        <v>70.312949721632293</v>
      </c>
      <c r="U33" s="577">
        <f t="shared" si="13"/>
        <v>0.80362995351899258</v>
      </c>
    </row>
    <row r="34" spans="1:21" x14ac:dyDescent="0.2">
      <c r="A34" s="587" t="s">
        <v>489</v>
      </c>
      <c r="B34" s="557">
        <v>84</v>
      </c>
      <c r="C34" s="676" t="s">
        <v>577</v>
      </c>
      <c r="D34" s="586" t="s">
        <v>488</v>
      </c>
      <c r="E34" s="584">
        <v>121968887.33333331</v>
      </c>
      <c r="F34" s="584">
        <v>87763231.49000001</v>
      </c>
      <c r="G34" s="584">
        <v>14048356.537307492</v>
      </c>
      <c r="H34" s="584">
        <v>11298253.120000001</v>
      </c>
      <c r="I34" s="571"/>
      <c r="J34" s="584">
        <v>137214990</v>
      </c>
      <c r="K34" s="584">
        <v>91829795.070000008</v>
      </c>
      <c r="L34" s="584">
        <v>15804398.784734853</v>
      </c>
      <c r="M34" s="584">
        <v>12715451.050000001</v>
      </c>
      <c r="O34" s="560">
        <f t="shared" si="7"/>
        <v>35.977712599012484</v>
      </c>
      <c r="P34" s="560">
        <f t="shared" si="8"/>
        <v>48.254412208271411</v>
      </c>
      <c r="Q34" s="583">
        <f t="shared" si="9"/>
        <v>84.232124807283896</v>
      </c>
      <c r="R34" s="560">
        <f t="shared" si="10"/>
        <v>33.462012812885824</v>
      </c>
      <c r="S34" s="560">
        <f t="shared" si="11"/>
        <v>48.273083550441399</v>
      </c>
      <c r="T34" s="583">
        <f t="shared" si="12"/>
        <v>81.735096363327216</v>
      </c>
      <c r="U34" s="577">
        <f t="shared" si="13"/>
        <v>-2.4970284439566797</v>
      </c>
    </row>
    <row r="35" spans="1:21" x14ac:dyDescent="0.2">
      <c r="B35" s="557">
        <v>85</v>
      </c>
      <c r="C35" s="676" t="s">
        <v>582</v>
      </c>
      <c r="D35" s="586" t="s">
        <v>487</v>
      </c>
      <c r="E35" s="584">
        <v>107747333.33333333</v>
      </c>
      <c r="F35" s="584">
        <v>82063391.430000007</v>
      </c>
      <c r="G35" s="584">
        <v>14783206.666666668</v>
      </c>
      <c r="H35" s="584">
        <v>9764912.9600000028</v>
      </c>
      <c r="I35" s="571"/>
      <c r="J35" s="584">
        <v>121215735</v>
      </c>
      <c r="K35" s="584">
        <v>85405356.25</v>
      </c>
      <c r="L35" s="584">
        <v>16631105.49</v>
      </c>
      <c r="M35" s="584">
        <v>10903427.48</v>
      </c>
      <c r="O35" s="560">
        <f t="shared" si="7"/>
        <v>38.08140252349633</v>
      </c>
      <c r="P35" s="560">
        <f t="shared" si="8"/>
        <v>39.632455313033127</v>
      </c>
      <c r="Q35" s="583">
        <f t="shared" si="9"/>
        <v>77.713857836529456</v>
      </c>
      <c r="R35" s="560">
        <f t="shared" si="10"/>
        <v>35.228659154688124</v>
      </c>
      <c r="S35" s="560">
        <f t="shared" si="11"/>
        <v>39.336269569894966</v>
      </c>
      <c r="T35" s="583">
        <f t="shared" si="12"/>
        <v>74.564928724583098</v>
      </c>
      <c r="U35" s="577">
        <f t="shared" si="13"/>
        <v>-3.1489291119463587</v>
      </c>
    </row>
    <row r="36" spans="1:21" x14ac:dyDescent="0.2">
      <c r="B36" s="557">
        <v>86</v>
      </c>
      <c r="C36" s="676" t="s">
        <v>290</v>
      </c>
      <c r="D36" s="586" t="s">
        <v>486</v>
      </c>
      <c r="E36" s="584">
        <v>463609333.33333337</v>
      </c>
      <c r="F36" s="584">
        <v>377972645.66000003</v>
      </c>
      <c r="G36" s="584">
        <v>32452653.33333334</v>
      </c>
      <c r="H36" s="584">
        <v>17729839.66</v>
      </c>
      <c r="I36" s="571"/>
      <c r="J36" s="584">
        <v>521560494</v>
      </c>
      <c r="K36" s="584">
        <v>434208001.56999999</v>
      </c>
      <c r="L36" s="584">
        <v>36509234.580000006</v>
      </c>
      <c r="M36" s="584">
        <v>20426243.84</v>
      </c>
      <c r="O36" s="560">
        <f t="shared" si="7"/>
        <v>40</v>
      </c>
      <c r="P36" s="560">
        <f t="shared" si="8"/>
        <v>32.779765915390989</v>
      </c>
      <c r="Q36" s="583">
        <f t="shared" si="9"/>
        <v>72.779765915390982</v>
      </c>
      <c r="R36" s="560">
        <f t="shared" si="10"/>
        <v>40</v>
      </c>
      <c r="S36" s="560">
        <f t="shared" si="11"/>
        <v>33.568894130455909</v>
      </c>
      <c r="T36" s="583">
        <f t="shared" si="12"/>
        <v>73.568894130455902</v>
      </c>
      <c r="U36" s="577">
        <f t="shared" si="13"/>
        <v>0.78912821506492037</v>
      </c>
    </row>
    <row r="37" spans="1:21" x14ac:dyDescent="0.2">
      <c r="B37" s="557">
        <v>87</v>
      </c>
      <c r="C37" s="675" t="s">
        <v>575</v>
      </c>
      <c r="D37" s="586" t="s">
        <v>485</v>
      </c>
      <c r="E37" s="585">
        <v>487512147.33333337</v>
      </c>
      <c r="F37" s="585">
        <v>194741100.53999999</v>
      </c>
      <c r="G37" s="585">
        <v>80508877.486203402</v>
      </c>
      <c r="H37" s="585">
        <v>63722675.699999996</v>
      </c>
      <c r="I37" s="571"/>
      <c r="J37" s="584">
        <v>548451162</v>
      </c>
      <c r="K37" s="584">
        <v>207016393.97000003</v>
      </c>
      <c r="L37" s="584">
        <v>90572488.224701136</v>
      </c>
      <c r="M37" s="584">
        <v>71478511.909999982</v>
      </c>
      <c r="O37" s="560">
        <f t="shared" si="7"/>
        <v>19.972948531151879</v>
      </c>
      <c r="P37" s="560">
        <f t="shared" si="8"/>
        <v>47.489924855245917</v>
      </c>
      <c r="Q37" s="583">
        <f t="shared" si="9"/>
        <v>67.462873386397803</v>
      </c>
      <c r="R37" s="560">
        <f t="shared" si="10"/>
        <v>18.872819342299071</v>
      </c>
      <c r="S37" s="560">
        <f t="shared" si="11"/>
        <v>47.351141595670235</v>
      </c>
      <c r="T37" s="583">
        <f t="shared" si="12"/>
        <v>66.223960937969309</v>
      </c>
      <c r="U37" s="577">
        <f t="shared" si="13"/>
        <v>-1.2389124484284935</v>
      </c>
    </row>
    <row r="38" spans="1:21" ht="12" customHeight="1" x14ac:dyDescent="0.2">
      <c r="B38" s="557">
        <v>88</v>
      </c>
      <c r="C38" s="582" t="s">
        <v>484</v>
      </c>
      <c r="D38" s="575" t="s">
        <v>483</v>
      </c>
      <c r="E38" s="581">
        <v>0</v>
      </c>
      <c r="F38" s="581">
        <v>0</v>
      </c>
      <c r="G38" s="581">
        <v>0</v>
      </c>
      <c r="H38" s="581">
        <v>0</v>
      </c>
      <c r="I38" s="571"/>
      <c r="J38" s="581">
        <v>0</v>
      </c>
      <c r="K38" s="581">
        <v>0</v>
      </c>
      <c r="L38" s="581">
        <v>0</v>
      </c>
      <c r="M38" s="581">
        <v>0</v>
      </c>
      <c r="O38" s="560"/>
      <c r="P38" s="560"/>
      <c r="Q38" s="580"/>
      <c r="R38" s="560"/>
      <c r="S38" s="560"/>
      <c r="T38" s="580"/>
      <c r="U38" s="577"/>
    </row>
    <row r="39" spans="1:21" x14ac:dyDescent="0.2">
      <c r="B39" s="557">
        <v>89</v>
      </c>
      <c r="C39" s="579" t="s">
        <v>482</v>
      </c>
      <c r="D39" s="575" t="s">
        <v>481</v>
      </c>
      <c r="E39" s="574">
        <v>0</v>
      </c>
      <c r="F39" s="574">
        <v>0</v>
      </c>
      <c r="G39" s="574">
        <v>0</v>
      </c>
      <c r="H39" s="574">
        <v>0</v>
      </c>
      <c r="I39" s="571"/>
      <c r="J39" s="574">
        <v>0</v>
      </c>
      <c r="K39" s="574">
        <v>0</v>
      </c>
      <c r="L39" s="574">
        <v>0</v>
      </c>
      <c r="M39" s="574">
        <v>0</v>
      </c>
      <c r="O39" s="560"/>
      <c r="P39" s="560"/>
      <c r="Q39" s="578"/>
      <c r="R39" s="560"/>
      <c r="S39" s="560"/>
      <c r="T39" s="578"/>
      <c r="U39" s="577"/>
    </row>
    <row r="40" spans="1:21" x14ac:dyDescent="0.2">
      <c r="B40" s="573">
        <v>91</v>
      </c>
      <c r="C40" s="575" t="s">
        <v>480</v>
      </c>
      <c r="D40" s="575" t="s">
        <v>479</v>
      </c>
      <c r="E40" s="576">
        <v>0</v>
      </c>
      <c r="F40" s="576">
        <v>0</v>
      </c>
      <c r="G40" s="576">
        <v>0</v>
      </c>
      <c r="H40" s="576">
        <v>0</v>
      </c>
      <c r="I40" s="571"/>
      <c r="J40" s="576">
        <v>0</v>
      </c>
      <c r="K40" s="576">
        <v>0</v>
      </c>
      <c r="L40" s="576">
        <v>0</v>
      </c>
      <c r="M40" s="576">
        <v>0</v>
      </c>
    </row>
    <row r="41" spans="1:21" x14ac:dyDescent="0.2">
      <c r="B41" s="573">
        <v>92</v>
      </c>
      <c r="C41" s="575" t="s">
        <v>478</v>
      </c>
      <c r="D41" s="575" t="s">
        <v>477</v>
      </c>
      <c r="E41" s="574">
        <v>0</v>
      </c>
      <c r="F41" s="574">
        <v>0</v>
      </c>
      <c r="G41" s="574">
        <v>0</v>
      </c>
      <c r="H41" s="574">
        <v>0</v>
      </c>
      <c r="I41" s="571"/>
      <c r="J41" s="574">
        <v>0</v>
      </c>
      <c r="K41" s="574">
        <v>0</v>
      </c>
      <c r="L41" s="574">
        <v>0</v>
      </c>
      <c r="M41" s="574">
        <v>0</v>
      </c>
    </row>
    <row r="42" spans="1:21" x14ac:dyDescent="0.2">
      <c r="B42" s="573">
        <v>93</v>
      </c>
      <c r="C42" s="572" t="s">
        <v>476</v>
      </c>
      <c r="D42" s="572" t="s">
        <v>475</v>
      </c>
      <c r="E42" s="570">
        <v>0</v>
      </c>
      <c r="F42" s="570">
        <v>0</v>
      </c>
      <c r="G42" s="570">
        <v>0</v>
      </c>
      <c r="H42" s="570">
        <v>0</v>
      </c>
      <c r="I42" s="571"/>
      <c r="J42" s="570">
        <v>0</v>
      </c>
      <c r="K42" s="570">
        <v>0</v>
      </c>
      <c r="L42" s="570">
        <v>0</v>
      </c>
      <c r="M42" s="570">
        <v>0</v>
      </c>
    </row>
    <row r="43" spans="1:21" x14ac:dyDescent="0.2">
      <c r="C43" s="569" t="s">
        <v>463</v>
      </c>
      <c r="E43" s="567">
        <f>SUM(E31:E42)</f>
        <v>1810158187.7875032</v>
      </c>
      <c r="F43" s="567">
        <f>SUM(F31:F42)</f>
        <v>1138125661.6200001</v>
      </c>
      <c r="G43" s="567">
        <f>SUM(G31:G42)</f>
        <v>313863386.2400955</v>
      </c>
      <c r="H43" s="567">
        <f>SUM(H31:H42)</f>
        <v>217008383.34</v>
      </c>
      <c r="I43" s="568"/>
      <c r="J43" s="567">
        <f>SUM(J31:J42)</f>
        <v>2036436183</v>
      </c>
      <c r="K43" s="567">
        <f>SUM(K31:K42)</f>
        <v>1269722128.99</v>
      </c>
      <c r="L43" s="567">
        <f>SUM(L31:L42)</f>
        <v>353097383.324036</v>
      </c>
      <c r="M43" s="567">
        <f>SUM(M31:M42)</f>
        <v>247776513.75</v>
      </c>
      <c r="O43" s="566">
        <f>IF((F43/(E43*$X$1)*$X$3)&gt;$X$3,$X$3,F43/(E43*$X$1)*$X$3)</f>
        <v>31.437187901547258</v>
      </c>
      <c r="P43" s="566">
        <f>IF((H43/G43*$X$4)&gt;$X$4,$X$4,H43/G43*$X$4)</f>
        <v>41.484619013317243</v>
      </c>
      <c r="Q43" s="565">
        <f>IF((F43/(E43*$X$1)*$X$3)&gt;$X$3,$X$3,F43/(E43*$X$1)*$X$3)+IF((H43/G43*$X$4)&gt;$X$4,$X$4,H43/G43*$X$4)</f>
        <v>72.921806914864504</v>
      </c>
      <c r="R43" s="566">
        <f>IF((K43/(J43*$X$1)*$X$3)&gt;$X$3,$X$3,K43/(J43*$X$1)*$X$3)</f>
        <v>31.17510235747957</v>
      </c>
      <c r="S43" s="566">
        <f>IF((M43/L43*$X$4)&gt;$X$4,$X$4,M43/L43*$X$4)</f>
        <v>42.103372970501432</v>
      </c>
      <c r="T43" s="565">
        <f>IF((K43/(J43*$X$1)*$X$3)&gt;$X$3,$X$3,K43/(J43*$X$1)*$X$3)+IF((M43/L43*$X$4)&gt;$X$4,$X$4,M43/L43*$X$4)</f>
        <v>73.278475327980999</v>
      </c>
      <c r="U43" s="560">
        <f>T43-Q43</f>
        <v>0.35666841311649478</v>
      </c>
    </row>
    <row r="44" spans="1:21" x14ac:dyDescent="0.2">
      <c r="I44" s="559"/>
    </row>
    <row r="45" spans="1:21" x14ac:dyDescent="0.2">
      <c r="I45" s="559"/>
    </row>
    <row r="46" spans="1:21" x14ac:dyDescent="0.2">
      <c r="I46" s="559"/>
    </row>
    <row r="47" spans="1:21" x14ac:dyDescent="0.2">
      <c r="C47" s="563" t="s">
        <v>464</v>
      </c>
      <c r="E47" s="563">
        <f>SUM(E27,E43)</f>
        <v>2545619541.9608369</v>
      </c>
      <c r="F47" s="563">
        <f>SUM(F27,F43)</f>
        <v>1359192100.46</v>
      </c>
      <c r="G47" s="563">
        <f>SUM(G27,G43)</f>
        <v>472858135.99042833</v>
      </c>
      <c r="H47" s="563">
        <f>SUM(H27,H43)</f>
        <v>330861773.58000004</v>
      </c>
      <c r="I47" s="564"/>
      <c r="J47" s="563">
        <f>SUM(J27,J43)</f>
        <v>2863830024</v>
      </c>
      <c r="K47" s="563">
        <f>SUM(K27,K43)</f>
        <v>1512178006</v>
      </c>
      <c r="L47" s="563">
        <f>SUM(L27,L43)</f>
        <v>531966454.29430377</v>
      </c>
      <c r="M47" s="563">
        <f>SUM(M27,M43)</f>
        <v>376202580.11000001</v>
      </c>
      <c r="O47" s="562">
        <f>IF((F47/(E47*$X$1)*$X$3)&gt;$X$3,$X$3,F47/(E47*$X$1)*$X$3)</f>
        <v>26.696685778367396</v>
      </c>
      <c r="P47" s="562">
        <f>IF((H47/G47*$X$4)&gt;$X$4,$X$4,H47/G47*$X$4)</f>
        <v>41.982372521135694</v>
      </c>
      <c r="Q47" s="561">
        <f>IF((F47/(E47*$X$1)*$X$3)&gt;$X$3,$X$3,F47/(E47*$X$1)*$X$3)+IF((H47/G47*$X$4)&gt;$X$4,$X$4,H47/G47*$X$4)</f>
        <v>68.679058299503083</v>
      </c>
      <c r="R47" s="562">
        <f>IF((K47/(J47*$X$1)*$X$3)&gt;$X$3,$X$3,K47/(J47*$X$1)*$X$3)</f>
        <v>26.401322587712347</v>
      </c>
      <c r="S47" s="562">
        <f>IF((M47/L47*$X$4)&gt;$X$4,$X$4,M47/L47*$X$4)</f>
        <v>42.431537974596118</v>
      </c>
      <c r="T47" s="561">
        <f>IF((K47/(J47*$X$1)*$X$3)&gt;$X$3,$X$3,K47/(J47*$X$1)*$X$3)+IF((M47/L47*$X$4)&gt;$X$4,$X$4,M47/L47*$X$4)</f>
        <v>68.832860562308468</v>
      </c>
      <c r="U47" s="560">
        <f>T47-Q47</f>
        <v>0.15380226280538523</v>
      </c>
    </row>
    <row r="48" spans="1:21" x14ac:dyDescent="0.2">
      <c r="I48" s="559"/>
    </row>
    <row r="49" spans="9:9" x14ac:dyDescent="0.2">
      <c r="I49" s="559"/>
    </row>
    <row r="50" spans="9:9" x14ac:dyDescent="0.2">
      <c r="I50" s="558"/>
    </row>
  </sheetData>
  <mergeCells count="5">
    <mergeCell ref="E1:H1"/>
    <mergeCell ref="J1:M1"/>
    <mergeCell ref="O1:Q1"/>
    <mergeCell ref="R1:T1"/>
    <mergeCell ref="U1:U2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EB76B83-8F97-4339-A82C-E66D89693EEF}">
            <x14:iconSet iconSet="5Arrows" custom="1">
              <x14:cfvo type="percent">
                <xm:f>0</xm:f>
              </x14:cfvo>
              <x14:cfvo type="num">
                <xm:f>-100</xm:f>
              </x14:cfvo>
              <x14:cfvo type="num">
                <xm:f>-0.1</xm:f>
              </x14:cfvo>
              <x14:cfvo type="num">
                <xm:f>0.1</xm:f>
              </x14:cfvo>
              <x14:cfvo type="num">
                <xm:f>100</xm:f>
              </x14:cfvo>
              <x14:cfIcon iconSet="3Arrows" iconId="0"/>
              <x14:cfIcon iconSet="4Arrows" iconId="1"/>
              <x14:cfIcon iconSet="3Triangles" iconId="1"/>
              <x14:cfIcon iconSet="4Arrows" iconId="2"/>
              <x14:cfIcon iconSet="3Arrows" iconId="2"/>
            </x14:iconSet>
          </x14:cfRule>
          <xm:sqref>U31:U39 U4:U27 U43 U47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indexed="30"/>
  </sheetPr>
  <dimension ref="B4:AK186"/>
  <sheetViews>
    <sheetView workbookViewId="0">
      <selection activeCell="D10" sqref="D10"/>
    </sheetView>
  </sheetViews>
  <sheetFormatPr defaultRowHeight="11.25" x14ac:dyDescent="0.2"/>
  <cols>
    <col min="1" max="1" width="2.1640625" style="19" customWidth="1"/>
    <col min="2" max="2" width="7.6640625" style="19" customWidth="1"/>
    <col min="3" max="3" width="4.83203125" style="19" customWidth="1"/>
    <col min="4" max="4" width="32.83203125" style="20" bestFit="1" customWidth="1"/>
    <col min="5" max="5" width="10.83203125" style="19" customWidth="1"/>
    <col min="6" max="6" width="11.33203125" style="19" bestFit="1" customWidth="1"/>
    <col min="7" max="7" width="12.1640625" style="19" customWidth="1"/>
    <col min="8" max="8" width="8.83203125" style="19" customWidth="1"/>
    <col min="9" max="9" width="2.83203125" style="19" customWidth="1"/>
    <col min="10" max="10" width="32.83203125" style="19" customWidth="1"/>
    <col min="11" max="11" width="7.5" style="19" customWidth="1"/>
    <col min="12" max="14" width="10.83203125" style="19" customWidth="1"/>
    <col min="15" max="15" width="8.6640625" style="19" customWidth="1"/>
    <col min="16" max="20" width="10.83203125" style="19" customWidth="1"/>
    <col min="21" max="21" width="5.6640625" customWidth="1"/>
    <col min="22" max="22" width="2.83203125" style="19" customWidth="1"/>
    <col min="23" max="24" width="9.83203125" style="19" customWidth="1"/>
    <col min="25" max="26" width="9.33203125" style="19"/>
    <col min="27" max="27" width="2.83203125" style="19" customWidth="1"/>
    <col min="28" max="28" width="12" style="19" customWidth="1"/>
    <col min="29" max="29" width="10.33203125" style="19" customWidth="1"/>
    <col min="30" max="30" width="9.5" style="19" bestFit="1" customWidth="1"/>
    <col min="31" max="31" width="9.83203125" style="19" bestFit="1" customWidth="1"/>
    <col min="32" max="32" width="2.83203125" style="19" customWidth="1"/>
    <col min="33" max="33" width="9.33203125" style="19"/>
    <col min="34" max="34" width="9.1640625" style="19" customWidth="1"/>
    <col min="35" max="36" width="9.33203125" style="19"/>
    <col min="37" max="37" width="3.83203125" style="19" customWidth="1"/>
    <col min="38" max="16384" width="9.33203125" style="19"/>
  </cols>
  <sheetData>
    <row r="4" spans="2:37" x14ac:dyDescent="0.2">
      <c r="D4" s="1" t="s">
        <v>17</v>
      </c>
      <c r="E4" s="2">
        <v>1</v>
      </c>
    </row>
    <row r="5" spans="2:37" x14ac:dyDescent="0.2">
      <c r="D5" s="1" t="s">
        <v>18</v>
      </c>
      <c r="E5" s="3">
        <f>COUNTIF(D10:D185,"&gt;""")-24</f>
        <v>149</v>
      </c>
    </row>
    <row r="6" spans="2:37" x14ac:dyDescent="0.2">
      <c r="D6" s="1" t="s">
        <v>19</v>
      </c>
      <c r="E6" s="2">
        <v>1</v>
      </c>
    </row>
    <row r="7" spans="2:37" x14ac:dyDescent="0.2">
      <c r="D7" s="1" t="s">
        <v>241</v>
      </c>
      <c r="E7" s="2">
        <v>1</v>
      </c>
      <c r="N7" s="38">
        <v>0.8</v>
      </c>
      <c r="O7" s="38"/>
      <c r="R7" s="38">
        <v>0.25600000000000001</v>
      </c>
      <c r="T7" s="38">
        <v>0.1</v>
      </c>
    </row>
    <row r="8" spans="2:37" x14ac:dyDescent="0.2">
      <c r="N8" s="38">
        <v>0.8</v>
      </c>
      <c r="O8" s="38"/>
      <c r="R8" s="38">
        <v>1</v>
      </c>
      <c r="T8" s="38">
        <v>1</v>
      </c>
      <c r="W8" s="21"/>
      <c r="X8" s="830" t="str">
        <f>N9</f>
        <v>SL4</v>
      </c>
      <c r="Y8" s="830"/>
      <c r="Z8" s="22"/>
      <c r="AB8" s="21"/>
      <c r="AC8" s="830" t="str">
        <f>R9</f>
        <v>SL8</v>
      </c>
      <c r="AD8" s="830"/>
      <c r="AE8" s="22"/>
      <c r="AG8" s="21"/>
      <c r="AH8" s="830" t="str">
        <f>T9</f>
        <v>SL10</v>
      </c>
      <c r="AI8" s="830"/>
      <c r="AJ8" s="22"/>
    </row>
    <row r="9" spans="2:37" x14ac:dyDescent="0.2">
      <c r="B9" s="343" t="s">
        <v>420</v>
      </c>
      <c r="E9" s="4" t="s">
        <v>20</v>
      </c>
      <c r="F9" s="4" t="s">
        <v>21</v>
      </c>
      <c r="G9" s="4" t="s">
        <v>22</v>
      </c>
      <c r="H9" s="4" t="s">
        <v>23</v>
      </c>
      <c r="K9" s="23" t="s">
        <v>61</v>
      </c>
      <c r="L9" s="23" t="s">
        <v>62</v>
      </c>
      <c r="M9" s="126" t="s">
        <v>63</v>
      </c>
      <c r="N9" s="39" t="s">
        <v>64</v>
      </c>
      <c r="O9" s="126" t="s">
        <v>65</v>
      </c>
      <c r="P9" s="126" t="s">
        <v>66</v>
      </c>
      <c r="Q9" s="126" t="s">
        <v>76</v>
      </c>
      <c r="R9" s="311" t="s">
        <v>77</v>
      </c>
      <c r="S9" s="312" t="s">
        <v>78</v>
      </c>
      <c r="T9" s="311" t="s">
        <v>387</v>
      </c>
      <c r="W9" s="24" t="s">
        <v>24</v>
      </c>
      <c r="X9" s="24" t="s">
        <v>25</v>
      </c>
      <c r="Y9" s="24" t="s">
        <v>26</v>
      </c>
      <c r="Z9" s="24" t="s">
        <v>27</v>
      </c>
      <c r="AB9" s="24" t="s">
        <v>24</v>
      </c>
      <c r="AC9" s="24" t="s">
        <v>25</v>
      </c>
      <c r="AD9" s="24" t="s">
        <v>26</v>
      </c>
      <c r="AE9" s="24" t="s">
        <v>27</v>
      </c>
      <c r="AG9" s="24" t="s">
        <v>24</v>
      </c>
      <c r="AH9" s="24" t="s">
        <v>25</v>
      </c>
      <c r="AI9" s="24" t="s">
        <v>26</v>
      </c>
      <c r="AJ9" s="24" t="s">
        <v>27</v>
      </c>
    </row>
    <row r="10" spans="2:37" x14ac:dyDescent="0.2">
      <c r="B10" s="342">
        <f>Org_dat!K6+(C10/100000)</f>
        <v>0.47545677635525996</v>
      </c>
      <c r="C10" s="25">
        <f>Org_dat!B6</f>
        <v>1</v>
      </c>
      <c r="D10" s="26" t="str">
        <f>Org_dat!C6</f>
        <v>Domov Slunečnice</v>
      </c>
      <c r="E10" s="27">
        <f ca="1">OFFSET(Org_dat!$C6,0,OrgSortCriteria)</f>
        <v>67.160518212993807</v>
      </c>
      <c r="F10" s="27">
        <f ca="1">IF(ISERROR(IF(D10&lt;&gt;"",E10+$B10/1000000000,0)),0,IF(D10&lt;&gt;"",E10+$B10/1000000000,-999999999))</f>
        <v>67.16051821346926</v>
      </c>
      <c r="G10" s="27">
        <f t="shared" ref="G10:G41" ca="1" si="0">IF(ISERROR(LARGE($F$10:$F$185,C10)),0,LARGE($F$10:$F$185,C10))</f>
        <v>100.00000000154844</v>
      </c>
      <c r="H10" s="25">
        <f t="shared" ref="H10:H41" ca="1" si="1">MATCH(G10,$F$10:$F$185,0)</f>
        <v>93</v>
      </c>
      <c r="J10" s="26" t="str">
        <f ca="1">OFFSET(Org_dat!$C$5,$H10,0)</f>
        <v>Středisko volného času Korunka</v>
      </c>
      <c r="K10" s="157">
        <f ca="1">OFFSET(Org_dat!$D$5,$H10,0)</f>
        <v>100</v>
      </c>
      <c r="L10" s="28">
        <f ca="1">OFFSET(Org_dat!$E$5,$H10,0)</f>
        <v>2686500</v>
      </c>
      <c r="M10" s="28">
        <f ca="1">OFFSET(Org_dat!$F$5,$H10,0)</f>
        <v>3169364.1100000003</v>
      </c>
      <c r="N10" s="29">
        <f ca="1">OFFSET(Org_dat!$G$5,$H10,0)</f>
        <v>1.1797372454866928</v>
      </c>
      <c r="O10" s="29">
        <f ca="1">OFFSET(Org_dat!$H$5,$H10,0)</f>
        <v>0.06</v>
      </c>
      <c r="P10" s="28">
        <f ca="1">OFFSET(Org_dat!$I$5,$H10,0)</f>
        <v>249444.34000000003</v>
      </c>
      <c r="Q10" s="29">
        <f ca="1">OFFSET(Org_dat!$J$5,$H10,0)</f>
        <v>9.2851047831751354E-2</v>
      </c>
      <c r="R10" s="29">
        <f ca="1">OFFSET(Org_dat!$K$5,$H10,0)</f>
        <v>1.5475174638625226</v>
      </c>
      <c r="S10" s="28">
        <f ca="1">OFFSET(Org_dat!$L$5,$H10,0)</f>
        <v>121399.31</v>
      </c>
      <c r="T10" s="29">
        <f ca="1">OFFSET(Org_dat!$M$5,$H10,0)</f>
        <v>0.32735981861897862</v>
      </c>
      <c r="W10" s="30">
        <f ca="1">IF('II. Sledování projektu'!J12&gt;=$N$7,'II. Sledování projektu'!J12,NA())</f>
        <v>1.1797372454866928</v>
      </c>
      <c r="X10" s="30" t="e">
        <f ca="1">IF('II. Sledování projektu'!J12&lt;$N$7,'II. Sledování projektu'!J12,NA())</f>
        <v>#N/A</v>
      </c>
      <c r="Y10" s="30">
        <f t="shared" ref="Y10:Y34" ca="1" si="2">MIN($N$10:$N$185)</f>
        <v>0</v>
      </c>
      <c r="Z10" s="30">
        <f t="shared" ref="Z10:Z34" ca="1" si="3">MAX($N$10:$N$185)</f>
        <v>1.1797372454866928</v>
      </c>
      <c r="AB10" s="30">
        <f ca="1">IF('II. Sledování projektu'!O12&gt;=$R$8,'II. Sledování projektu'!O12,NA())</f>
        <v>1.5475174638625226</v>
      </c>
      <c r="AC10" s="30" t="e">
        <f ca="1">IF('II. Sledování projektu'!O12&lt;$R$8,'II. Sledování projektu'!O12,NA())</f>
        <v>#N/A</v>
      </c>
      <c r="AD10" s="30">
        <f t="shared" ref="AD10:AD34" ca="1" si="4">MIN($R$10:$R$185)</f>
        <v>0</v>
      </c>
      <c r="AE10" s="30">
        <f t="shared" ref="AE10:AE34" ca="1" si="5">MAX($R$10:$R$185)</f>
        <v>2.3130836330297102</v>
      </c>
      <c r="AG10" s="30">
        <f ca="1">IF('II. Sledování projektu'!R12&gt;=$T$7,'II. Sledování projektu'!R12,NA())</f>
        <v>0.32735981861897862</v>
      </c>
      <c r="AH10" s="30" t="e">
        <f ca="1">IF('II. Sledování projektu'!R12&lt;$T$7,'II. Sledování projektu'!R12,NA())</f>
        <v>#N/A</v>
      </c>
      <c r="AI10" s="30">
        <f t="shared" ref="AI10:AI34" ca="1" si="6">MIN($T$10:$T$185)</f>
        <v>0</v>
      </c>
      <c r="AJ10" s="30">
        <f t="shared" ref="AJ10:AJ34" ca="1" si="7">MAX($T$10:$T$185)</f>
        <v>0.87606844638229608</v>
      </c>
      <c r="AK10" s="19">
        <v>1</v>
      </c>
    </row>
    <row r="11" spans="2:37" x14ac:dyDescent="0.2">
      <c r="B11" s="342">
        <f>Org_dat!K7+(C11/100000)</f>
        <v>0.66235935358001929</v>
      </c>
      <c r="C11" s="31">
        <f>Org_dat!B7</f>
        <v>2</v>
      </c>
      <c r="D11" s="32" t="str">
        <f>Org_dat!C7</f>
        <v>Dopravní podnik Ostrava</v>
      </c>
      <c r="E11" s="33">
        <f ca="1">OFFSET(Org_dat!$C7,0,OrgSortCriteria)</f>
        <v>79.740361214801155</v>
      </c>
      <c r="F11" s="33">
        <f t="shared" ref="F11:F74" ca="1" si="8">IF(ISERROR(IF(D11&lt;&gt;"",E11+$B11/1000000000,0)),0,IF(D11&lt;&gt;"",E11+$B11/1000000000,-999999999))</f>
        <v>79.740361215463508</v>
      </c>
      <c r="G11" s="33">
        <f t="shared" ca="1" si="0"/>
        <v>100.00000000127859</v>
      </c>
      <c r="H11" s="31">
        <f t="shared" ca="1" si="1"/>
        <v>37</v>
      </c>
      <c r="J11" s="32" t="str">
        <f ca="1">OFFSET(Org_dat!$C$5,$H11,0)</f>
        <v>Křesťanská MŠ Ostrava-Mariánské Hory</v>
      </c>
      <c r="K11" s="158">
        <f ca="1">OFFSET(Org_dat!$D$5,$H11,0)</f>
        <v>100</v>
      </c>
      <c r="L11" s="34">
        <f ca="1">OFFSET(Org_dat!$E$5,$H11,0)</f>
        <v>1509000</v>
      </c>
      <c r="M11" s="34">
        <f ca="1">OFFSET(Org_dat!$F$5,$H11,0)</f>
        <v>1216515.6000000001</v>
      </c>
      <c r="N11" s="35">
        <f ca="1">OFFSET(Org_dat!$G$5,$H11,0)</f>
        <v>0.80617335984095428</v>
      </c>
      <c r="O11" s="35">
        <f ca="1">OFFSET(Org_dat!$H$5,$H11,0)</f>
        <v>0.24970000000000001</v>
      </c>
      <c r="P11" s="34">
        <f ca="1">OFFSET(Org_dat!$I$5,$H11,0)</f>
        <v>481628.57</v>
      </c>
      <c r="Q11" s="35">
        <f ca="1">OFFSET(Org_dat!$J$5,$H11,0)</f>
        <v>0.31917068919814445</v>
      </c>
      <c r="R11" s="35">
        <f ca="1">OFFSET(Org_dat!$K$5,$H11,0)</f>
        <v>1.2782166167326572</v>
      </c>
      <c r="S11" s="34">
        <f ca="1">OFFSET(Org_dat!$L$5,$H11,0)</f>
        <v>119806.56999999999</v>
      </c>
      <c r="T11" s="35">
        <f ca="1">OFFSET(Org_dat!$M$5,$H11,0)</f>
        <v>0.19920114744209988</v>
      </c>
      <c r="W11" s="36">
        <f ca="1">IF('II. Sledování projektu'!J13&gt;=$N$7,'II. Sledování projektu'!J13,NA())</f>
        <v>0.80617335984095428</v>
      </c>
      <c r="X11" s="36" t="e">
        <f ca="1">IF('II. Sledování projektu'!J13&lt;$N$7,'II. Sledování projektu'!J13,NA())</f>
        <v>#N/A</v>
      </c>
      <c r="Y11" s="36">
        <f t="shared" ca="1" si="2"/>
        <v>0</v>
      </c>
      <c r="Z11" s="36">
        <f t="shared" ca="1" si="3"/>
        <v>1.1797372454866928</v>
      </c>
      <c r="AB11" s="36">
        <f ca="1">IF('II. Sledování projektu'!O13&gt;=$R$8,'II. Sledování projektu'!O13,NA())</f>
        <v>1.2782166167326572</v>
      </c>
      <c r="AC11" s="36" t="e">
        <f ca="1">IF('II. Sledování projektu'!O13&lt;$R$8,'II. Sledování projektu'!O13,NA())</f>
        <v>#N/A</v>
      </c>
      <c r="AD11" s="36">
        <f t="shared" ca="1" si="4"/>
        <v>0</v>
      </c>
      <c r="AE11" s="36">
        <f t="shared" ca="1" si="5"/>
        <v>2.3130836330297102</v>
      </c>
      <c r="AG11" s="36">
        <f ca="1">IF('II. Sledování projektu'!R13&gt;=$T$7,'II. Sledování projektu'!R13,NA())</f>
        <v>0.19920114744209988</v>
      </c>
      <c r="AH11" s="36" t="e">
        <f ca="1">IF('II. Sledování projektu'!R13&lt;$T$7,'II. Sledování projektu'!R13,NA())</f>
        <v>#N/A</v>
      </c>
      <c r="AI11" s="36">
        <f t="shared" ca="1" si="6"/>
        <v>0</v>
      </c>
      <c r="AJ11" s="36">
        <f t="shared" ca="1" si="7"/>
        <v>0.87606844638229608</v>
      </c>
      <c r="AK11" s="19">
        <v>2</v>
      </c>
    </row>
    <row r="12" spans="2:37" x14ac:dyDescent="0.2">
      <c r="B12" s="342">
        <f>Org_dat!K8+(C12/100000)</f>
        <v>0.55951156240469013</v>
      </c>
      <c r="C12" s="31">
        <f>Org_dat!B8</f>
        <v>3</v>
      </c>
      <c r="D12" s="32" t="str">
        <f>Org_dat!C8</f>
        <v>Magistrát města Ostrava</v>
      </c>
      <c r="E12" s="33">
        <f ca="1">OFFSET(Org_dat!$C8,0,OrgSortCriteria)</f>
        <v>73.568893744281411</v>
      </c>
      <c r="F12" s="33">
        <f t="shared" ca="1" si="8"/>
        <v>73.568893744840921</v>
      </c>
      <c r="G12" s="33">
        <f t="shared" ca="1" si="0"/>
        <v>100.00000000121221</v>
      </c>
      <c r="H12" s="31">
        <f t="shared" ca="1" si="1"/>
        <v>94</v>
      </c>
      <c r="J12" s="32" t="str">
        <f ca="1">OFFSET(Org_dat!$C$5,$H12,0)</f>
        <v>Středisko volného času O-Zábřeh</v>
      </c>
      <c r="K12" s="158">
        <f ca="1">OFFSET(Org_dat!$D$5,$H12,0)</f>
        <v>100</v>
      </c>
      <c r="L12" s="34">
        <f ca="1">OFFSET(Org_dat!$E$5,$H12,0)</f>
        <v>4118250</v>
      </c>
      <c r="M12" s="34">
        <f ca="1">OFFSET(Org_dat!$F$5,$H12,0)</f>
        <v>3834374.7399999998</v>
      </c>
      <c r="N12" s="35">
        <f ca="1">OFFSET(Org_dat!$G$5,$H12,0)</f>
        <v>0.93106895890244634</v>
      </c>
      <c r="O12" s="35">
        <f ca="1">OFFSET(Org_dat!$H$5,$H12,0)</f>
        <v>0.15</v>
      </c>
      <c r="P12" s="34">
        <f ca="1">OFFSET(Org_dat!$I$5,$H12,0)</f>
        <v>748251.53</v>
      </c>
      <c r="Q12" s="35">
        <f ca="1">OFFSET(Org_dat!$J$5,$H12,0)</f>
        <v>0.181691623869362</v>
      </c>
      <c r="R12" s="35">
        <f ca="1">OFFSET(Org_dat!$K$5,$H12,0)</f>
        <v>1.2112774924624132</v>
      </c>
      <c r="S12" s="34">
        <f ca="1">OFFSET(Org_dat!$L$5,$H12,0)</f>
        <v>304366.12</v>
      </c>
      <c r="T12" s="35">
        <f ca="1">OFFSET(Org_dat!$M$5,$H12,0)</f>
        <v>0.28915164019907896</v>
      </c>
      <c r="W12" s="36">
        <f ca="1">IF('II. Sledování projektu'!J14&gt;=$N$7,'II. Sledování projektu'!J14,NA())</f>
        <v>0.93106895890244634</v>
      </c>
      <c r="X12" s="36" t="e">
        <f ca="1">IF('II. Sledování projektu'!J14&lt;$N$7,'II. Sledování projektu'!J14,NA())</f>
        <v>#N/A</v>
      </c>
      <c r="Y12" s="36">
        <f t="shared" ca="1" si="2"/>
        <v>0</v>
      </c>
      <c r="Z12" s="36">
        <f t="shared" ca="1" si="3"/>
        <v>1.1797372454866928</v>
      </c>
      <c r="AB12" s="36">
        <f ca="1">IF('II. Sledování projektu'!O14&gt;=$R$8,'II. Sledování projektu'!O14,NA())</f>
        <v>1.2112774924624132</v>
      </c>
      <c r="AC12" s="36" t="e">
        <f ca="1">IF('II. Sledování projektu'!O14&lt;$R$8,'II. Sledování projektu'!O14,NA())</f>
        <v>#N/A</v>
      </c>
      <c r="AD12" s="36">
        <f t="shared" ca="1" si="4"/>
        <v>0</v>
      </c>
      <c r="AE12" s="36">
        <f t="shared" ca="1" si="5"/>
        <v>2.3130836330297102</v>
      </c>
      <c r="AG12" s="36">
        <f ca="1">IF('II. Sledování projektu'!R14&gt;=$T$7,'II. Sledování projektu'!R14,NA())</f>
        <v>0.28915164019907896</v>
      </c>
      <c r="AH12" s="36" t="e">
        <f ca="1">IF('II. Sledování projektu'!R14&lt;$T$7,'II. Sledování projektu'!R14,NA())</f>
        <v>#N/A</v>
      </c>
      <c r="AI12" s="36">
        <f t="shared" ca="1" si="6"/>
        <v>0</v>
      </c>
      <c r="AJ12" s="36">
        <f t="shared" ca="1" si="7"/>
        <v>0.87606844638229608</v>
      </c>
      <c r="AK12" s="19">
        <v>3</v>
      </c>
    </row>
    <row r="13" spans="2:37" x14ac:dyDescent="0.2">
      <c r="B13" s="342">
        <f>Org_dat!K9+(C13/100000)</f>
        <v>0.72628526927098191</v>
      </c>
      <c r="C13" s="31">
        <f>Org_dat!B9</f>
        <v>4</v>
      </c>
      <c r="D13" s="32" t="str">
        <f>Org_dat!C9</f>
        <v>Městská nemocnice Ostrava</v>
      </c>
      <c r="E13" s="33">
        <f ca="1">OFFSET(Org_dat!$C9,0,OrgSortCriteria)</f>
        <v>56.154218610267009</v>
      </c>
      <c r="F13" s="33">
        <f t="shared" ca="1" si="8"/>
        <v>56.154218610993297</v>
      </c>
      <c r="G13" s="33">
        <f t="shared" ca="1" si="0"/>
        <v>98.27430683058418</v>
      </c>
      <c r="H13" s="31">
        <f t="shared" ca="1" si="1"/>
        <v>163</v>
      </c>
      <c r="J13" s="32" t="str">
        <f ca="1">OFFSET(Org_dat!$C$5,$H13,0)</f>
        <v>ZŠ O-Stará Bělá</v>
      </c>
      <c r="K13" s="158">
        <f ca="1">OFFSET(Org_dat!$D$5,$H13,0)</f>
        <v>98.274306829471527</v>
      </c>
      <c r="L13" s="34">
        <f ca="1">OFFSET(Org_dat!$E$5,$H13,0)</f>
        <v>3900375</v>
      </c>
      <c r="M13" s="34">
        <f ca="1">OFFSET(Org_dat!$F$5,$H13,0)</f>
        <v>2985682.99</v>
      </c>
      <c r="N13" s="35">
        <f ca="1">OFFSET(Org_dat!$G$5,$H13,0)</f>
        <v>0.76548613658943054</v>
      </c>
      <c r="O13" s="35">
        <f ca="1">OFFSET(Org_dat!$H$5,$H13,0)</f>
        <v>0.2802</v>
      </c>
      <c r="P13" s="34">
        <f ca="1">OFFSET(Org_dat!$I$5,$H13,0)</f>
        <v>1214219.19</v>
      </c>
      <c r="Q13" s="35">
        <f ca="1">OFFSET(Org_dat!$J$5,$H13,0)</f>
        <v>0.31130832035381212</v>
      </c>
      <c r="R13" s="35">
        <f ca="1">OFFSET(Org_dat!$K$5,$H13,0)</f>
        <v>1.1110218428044687</v>
      </c>
      <c r="S13" s="34">
        <f ca="1">OFFSET(Org_dat!$L$5,$H13,0)</f>
        <v>267903.61</v>
      </c>
      <c r="T13" s="35">
        <f ca="1">OFFSET(Org_dat!$M$5,$H13,0)</f>
        <v>0.18075668898690447</v>
      </c>
      <c r="W13" s="36" t="e">
        <f ca="1">IF('II. Sledování projektu'!J15&gt;=$N$7,'II. Sledování projektu'!J15,NA())</f>
        <v>#N/A</v>
      </c>
      <c r="X13" s="36">
        <f ca="1">IF('II. Sledování projektu'!J15&lt;$N$7,'II. Sledování projektu'!J15,NA())</f>
        <v>0.76548613658943054</v>
      </c>
      <c r="Y13" s="36">
        <f t="shared" ca="1" si="2"/>
        <v>0</v>
      </c>
      <c r="Z13" s="36">
        <f t="shared" ca="1" si="3"/>
        <v>1.1797372454866928</v>
      </c>
      <c r="AB13" s="36">
        <f ca="1">IF('II. Sledování projektu'!O15&gt;=$R$8,'II. Sledování projektu'!O15,NA())</f>
        <v>1.1110218428044687</v>
      </c>
      <c r="AC13" s="36" t="e">
        <f ca="1">IF('II. Sledování projektu'!O15&lt;$R$8,'II. Sledování projektu'!O15,NA())</f>
        <v>#N/A</v>
      </c>
      <c r="AD13" s="36">
        <f t="shared" ca="1" si="4"/>
        <v>0</v>
      </c>
      <c r="AE13" s="36">
        <f t="shared" ca="1" si="5"/>
        <v>2.3130836330297102</v>
      </c>
      <c r="AG13" s="36">
        <f ca="1">IF('II. Sledování projektu'!R15&gt;=$T$7,'II. Sledování projektu'!R15,NA())</f>
        <v>0.18075668898690447</v>
      </c>
      <c r="AH13" s="36" t="e">
        <f ca="1">IF('II. Sledování projektu'!R15&lt;$T$7,'II. Sledování projektu'!R15,NA())</f>
        <v>#N/A</v>
      </c>
      <c r="AI13" s="36">
        <f t="shared" ca="1" si="6"/>
        <v>0</v>
      </c>
      <c r="AJ13" s="36">
        <f t="shared" ca="1" si="7"/>
        <v>0.87606844638229608</v>
      </c>
      <c r="AK13" s="19">
        <v>4</v>
      </c>
    </row>
    <row r="14" spans="2:37" x14ac:dyDescent="0.2">
      <c r="B14" s="342">
        <f>Org_dat!K10+(C14/100000)</f>
        <v>0.81182282872796907</v>
      </c>
      <c r="C14" s="31">
        <f>Org_dat!B10</f>
        <v>5</v>
      </c>
      <c r="D14" s="32" t="str">
        <f>Org_dat!C10</f>
        <v>Národní divadlo Moravskoslezské</v>
      </c>
      <c r="E14" s="33">
        <f ca="1">OFFSET(Org_dat!$C10,0,OrgSortCriteria)</f>
        <v>88.440932973235945</v>
      </c>
      <c r="F14" s="33">
        <f t="shared" ca="1" si="8"/>
        <v>88.440932974047769</v>
      </c>
      <c r="G14" s="33">
        <f t="shared" ca="1" si="0"/>
        <v>97.366516208819561</v>
      </c>
      <c r="H14" s="31">
        <f t="shared" ca="1" si="1"/>
        <v>35</v>
      </c>
      <c r="J14" s="32" t="str">
        <f ca="1">OFFSET(Org_dat!$C$5,$H14,0)</f>
        <v>Knihovna města Ostravy</v>
      </c>
      <c r="K14" s="158">
        <f ca="1">OFFSET(Org_dat!$D$5,$H14,0)</f>
        <v>97.366516207680235</v>
      </c>
      <c r="L14" s="34">
        <f ca="1">OFFSET(Org_dat!$E$5,$H14,0)</f>
        <v>9823275</v>
      </c>
      <c r="M14" s="34">
        <f ca="1">OFFSET(Org_dat!$F$5,$H14,0)</f>
        <v>7341231.29</v>
      </c>
      <c r="N14" s="35">
        <f ca="1">OFFSET(Org_dat!$G$5,$H14,0)</f>
        <v>0.74733032415360456</v>
      </c>
      <c r="O14" s="35">
        <f ca="1">OFFSET(Org_dat!$H$5,$H14,0)</f>
        <v>0.23924987180665169</v>
      </c>
      <c r="P14" s="34">
        <f ca="1">OFFSET(Org_dat!$I$5,$H14,0)</f>
        <v>2676858.7400000002</v>
      </c>
      <c r="Q14" s="35">
        <f ca="1">OFFSET(Org_dat!$J$5,$H14,0)</f>
        <v>0.27250165957890826</v>
      </c>
      <c r="R14" s="35">
        <f ca="1">OFFSET(Org_dat!$K$5,$H14,0)</f>
        <v>1.1389835134337243</v>
      </c>
      <c r="S14" s="34">
        <f ca="1">OFFSET(Org_dat!$L$5,$H14,0)</f>
        <v>1752046.0899999999</v>
      </c>
      <c r="T14" s="35">
        <f ca="1">OFFSET(Org_dat!$M$5,$H14,0)</f>
        <v>0.39559352870537973</v>
      </c>
      <c r="W14" s="36" t="e">
        <f ca="1">IF('II. Sledování projektu'!J16&gt;=$N$7,'II. Sledování projektu'!J16,NA())</f>
        <v>#N/A</v>
      </c>
      <c r="X14" s="36">
        <f ca="1">IF('II. Sledování projektu'!J16&lt;$N$7,'II. Sledování projektu'!J16,NA())</f>
        <v>0.74733032415360456</v>
      </c>
      <c r="Y14" s="36">
        <f t="shared" ca="1" si="2"/>
        <v>0</v>
      </c>
      <c r="Z14" s="36">
        <f t="shared" ca="1" si="3"/>
        <v>1.1797372454866928</v>
      </c>
      <c r="AB14" s="36">
        <f ca="1">IF('II. Sledování projektu'!O16&gt;=$R$8,'II. Sledování projektu'!O16,NA())</f>
        <v>1.1389835134337243</v>
      </c>
      <c r="AC14" s="36" t="e">
        <f ca="1">IF('II. Sledování projektu'!O16&lt;$R$8,'II. Sledování projektu'!O16,NA())</f>
        <v>#N/A</v>
      </c>
      <c r="AD14" s="36">
        <f t="shared" ca="1" si="4"/>
        <v>0</v>
      </c>
      <c r="AE14" s="36">
        <f t="shared" ca="1" si="5"/>
        <v>2.3130836330297102</v>
      </c>
      <c r="AG14" s="36">
        <f ca="1">IF('II. Sledování projektu'!R16&gt;=$T$7,'II. Sledování projektu'!R16,NA())</f>
        <v>0.39559352870537973</v>
      </c>
      <c r="AH14" s="36" t="e">
        <f ca="1">IF('II. Sledování projektu'!R16&lt;$T$7,'II. Sledování projektu'!R16,NA())</f>
        <v>#N/A</v>
      </c>
      <c r="AI14" s="36">
        <f t="shared" ca="1" si="6"/>
        <v>0</v>
      </c>
      <c r="AJ14" s="36">
        <f t="shared" ca="1" si="7"/>
        <v>0.87606844638229608</v>
      </c>
      <c r="AK14" s="19">
        <v>5</v>
      </c>
    </row>
    <row r="15" spans="2:37" x14ac:dyDescent="0.2">
      <c r="B15" s="342">
        <f>Org_dat!K11+(C15/100000)</f>
        <v>0.61270395634434804</v>
      </c>
      <c r="C15" s="31">
        <f>Org_dat!B11</f>
        <v>6</v>
      </c>
      <c r="D15" s="32" t="str">
        <f>Org_dat!C11</f>
        <v>OZO Ostrava</v>
      </c>
      <c r="E15" s="33">
        <f ca="1">OFFSET(Org_dat!$C11,0,OrgSortCriteria)</f>
        <v>75.717163824822933</v>
      </c>
      <c r="F15" s="33">
        <f t="shared" ca="1" si="8"/>
        <v>75.717163825435634</v>
      </c>
      <c r="G15" s="33">
        <f t="shared" ca="1" si="0"/>
        <v>97.029424340361942</v>
      </c>
      <c r="H15" s="31">
        <f t="shared" ca="1" si="1"/>
        <v>8</v>
      </c>
      <c r="J15" s="32" t="str">
        <f ca="1">OFFSET(Org_dat!$C$5,$H15,0)</f>
        <v>Čtyřlístek</v>
      </c>
      <c r="K15" s="158">
        <f ca="1">OFFSET(Org_dat!$D$5,$H15,0)</f>
        <v>97.02942433937028</v>
      </c>
      <c r="L15" s="34">
        <f ca="1">OFFSET(Org_dat!$E$5,$H15,0)</f>
        <v>27663000</v>
      </c>
      <c r="M15" s="34">
        <f ca="1">OFFSET(Org_dat!$F$5,$H15,0)</f>
        <v>20766339.350000001</v>
      </c>
      <c r="N15" s="35">
        <f ca="1">OFFSET(Org_dat!$G$5,$H15,0)</f>
        <v>0.75069006796081417</v>
      </c>
      <c r="O15" s="35">
        <f ca="1">OFFSET(Org_dat!$H$5,$H15,0)</f>
        <v>0.4</v>
      </c>
      <c r="P15" s="34">
        <f ca="1">OFFSET(Org_dat!$I$5,$H15,0)</f>
        <v>10972053.32</v>
      </c>
      <c r="Q15" s="35">
        <f ca="1">OFFSET(Org_dat!$J$5,$H15,0)</f>
        <v>0.39663280627553049</v>
      </c>
      <c r="R15" s="35">
        <f ca="1">OFFSET(Org_dat!$K$5,$H15,0)</f>
        <v>0.9915820156888262</v>
      </c>
      <c r="S15" s="34">
        <f ca="1">OFFSET(Org_dat!$L$5,$H15,0)</f>
        <v>4098309.57</v>
      </c>
      <c r="T15" s="35">
        <f ca="1">OFFSET(Org_dat!$M$5,$H15,0)</f>
        <v>0.2719449823414305</v>
      </c>
      <c r="W15" s="36" t="e">
        <f ca="1">IF('II. Sledování projektu'!J17&gt;=$N$7,'II. Sledování projektu'!J17,NA())</f>
        <v>#N/A</v>
      </c>
      <c r="X15" s="36">
        <f ca="1">IF('II. Sledování projektu'!J17&lt;$N$7,'II. Sledování projektu'!J17,NA())</f>
        <v>0.75069006796081417</v>
      </c>
      <c r="Y15" s="36">
        <f t="shared" ca="1" si="2"/>
        <v>0</v>
      </c>
      <c r="Z15" s="36">
        <f t="shared" ca="1" si="3"/>
        <v>1.1797372454866928</v>
      </c>
      <c r="AB15" s="36" t="e">
        <f ca="1">IF('II. Sledování projektu'!O17&gt;=$R$8,'II. Sledování projektu'!O17,NA())</f>
        <v>#N/A</v>
      </c>
      <c r="AC15" s="36">
        <f ca="1">IF('II. Sledování projektu'!O17&lt;$R$8,'II. Sledování projektu'!O17,NA())</f>
        <v>0.9915820156888262</v>
      </c>
      <c r="AD15" s="36">
        <f t="shared" ca="1" si="4"/>
        <v>0</v>
      </c>
      <c r="AE15" s="36">
        <f t="shared" ca="1" si="5"/>
        <v>2.3130836330297102</v>
      </c>
      <c r="AG15" s="36">
        <f ca="1">IF('II. Sledování projektu'!R17&gt;=$T$7,'II. Sledování projektu'!R17,NA())</f>
        <v>0.2719449823414305</v>
      </c>
      <c r="AH15" s="36" t="e">
        <f ca="1">IF('II. Sledování projektu'!R17&lt;$T$7,'II. Sledování projektu'!R17,NA())</f>
        <v>#N/A</v>
      </c>
      <c r="AI15" s="36">
        <f t="shared" ca="1" si="6"/>
        <v>0</v>
      </c>
      <c r="AJ15" s="36">
        <f t="shared" ca="1" si="7"/>
        <v>0.87606844638229608</v>
      </c>
      <c r="AK15" s="19">
        <v>6</v>
      </c>
    </row>
    <row r="16" spans="2:37" x14ac:dyDescent="0.2">
      <c r="B16" s="342">
        <f>Org_dat!K12+(C16/100000)</f>
        <v>0.23170357459951491</v>
      </c>
      <c r="C16" s="31">
        <f>Org_dat!B12</f>
        <v>7</v>
      </c>
      <c r="D16" s="32" t="str">
        <f>Org_dat!C12</f>
        <v>Centrum kultury a vzdělávání Moravská Ostrava</v>
      </c>
      <c r="E16" s="33">
        <f ca="1">OFFSET(Org_dat!$C12,0,OrgSortCriteria)</f>
        <v>13.98739737608533</v>
      </c>
      <c r="F16" s="33">
        <f t="shared" ca="1" si="8"/>
        <v>13.987397376317034</v>
      </c>
      <c r="G16" s="33">
        <f t="shared" ca="1" si="0"/>
        <v>95.676324336891639</v>
      </c>
      <c r="H16" s="31">
        <f t="shared" ca="1" si="1"/>
        <v>137</v>
      </c>
      <c r="J16" s="32" t="str">
        <f ca="1">OFFSET(Org_dat!$C$5,$H16,0)</f>
        <v>ZŠ a MŠ O-Zábřeh, Kosmonautů 15</v>
      </c>
      <c r="K16" s="158">
        <f ca="1">OFFSET(Org_dat!$D$5,$H16,0)</f>
        <v>95.676324335835602</v>
      </c>
      <c r="L16" s="34">
        <f ca="1">OFFSET(Org_dat!$E$5,$H16,0)</f>
        <v>7043625</v>
      </c>
      <c r="M16" s="34">
        <f ca="1">OFFSET(Org_dat!$F$5,$H16,0)</f>
        <v>5025813</v>
      </c>
      <c r="N16" s="35">
        <f ca="1">OFFSET(Org_dat!$G$5,$H16,0)</f>
        <v>0.71352648671671193</v>
      </c>
      <c r="O16" s="35">
        <f ca="1">OFFSET(Org_dat!$H$5,$H16,0)</f>
        <v>0.30020000000000002</v>
      </c>
      <c r="P16" s="34">
        <f ca="1">OFFSET(Org_dat!$I$5,$H16,0)</f>
        <v>2230089.2000000002</v>
      </c>
      <c r="Q16" s="35">
        <f ca="1">OFFSET(Org_dat!$J$5,$H16,0)</f>
        <v>0.31661100640650236</v>
      </c>
      <c r="R16" s="35">
        <f ca="1">OFFSET(Org_dat!$K$5,$H16,0)</f>
        <v>1.0546669100816202</v>
      </c>
      <c r="S16" s="34">
        <f ca="1">OFFSET(Org_dat!$L$5,$H16,0)</f>
        <v>424736.11</v>
      </c>
      <c r="T16" s="35">
        <f ca="1">OFFSET(Org_dat!$M$5,$H16,0)</f>
        <v>0.15998646253677609</v>
      </c>
      <c r="W16" s="36" t="e">
        <f ca="1">IF('II. Sledování projektu'!J18&gt;=$N$7,'II. Sledování projektu'!J18,NA())</f>
        <v>#N/A</v>
      </c>
      <c r="X16" s="36">
        <f ca="1">IF('II. Sledování projektu'!J18&lt;$N$7,'II. Sledování projektu'!J18,NA())</f>
        <v>0.71352648671671193</v>
      </c>
      <c r="Y16" s="36">
        <f t="shared" ca="1" si="2"/>
        <v>0</v>
      </c>
      <c r="Z16" s="36">
        <f t="shared" ca="1" si="3"/>
        <v>1.1797372454866928</v>
      </c>
      <c r="AB16" s="36">
        <f ca="1">IF('II. Sledování projektu'!O18&gt;=$R$8,'II. Sledování projektu'!O18,NA())</f>
        <v>1.0546669100816202</v>
      </c>
      <c r="AC16" s="36" t="e">
        <f ca="1">IF('II. Sledování projektu'!O18&lt;$R$8,'II. Sledování projektu'!O18,NA())</f>
        <v>#N/A</v>
      </c>
      <c r="AD16" s="36">
        <f t="shared" ca="1" si="4"/>
        <v>0</v>
      </c>
      <c r="AE16" s="36">
        <f t="shared" ca="1" si="5"/>
        <v>2.3130836330297102</v>
      </c>
      <c r="AG16" s="36">
        <f ca="1">IF('II. Sledování projektu'!R18&gt;=$T$7,'II. Sledování projektu'!R18,NA())</f>
        <v>0.15998646253677609</v>
      </c>
      <c r="AH16" s="36" t="e">
        <f ca="1">IF('II. Sledování projektu'!R18&lt;$T$7,'II. Sledování projektu'!R18,NA())</f>
        <v>#N/A</v>
      </c>
      <c r="AI16" s="36">
        <f t="shared" ca="1" si="6"/>
        <v>0</v>
      </c>
      <c r="AJ16" s="36">
        <f t="shared" ca="1" si="7"/>
        <v>0.87606844638229608</v>
      </c>
      <c r="AK16" s="19">
        <v>7</v>
      </c>
    </row>
    <row r="17" spans="2:37" x14ac:dyDescent="0.2">
      <c r="B17" s="342">
        <f>Org_dat!K13+(C17/100000)</f>
        <v>0.99166201568882617</v>
      </c>
      <c r="C17" s="31">
        <f>Org_dat!B13</f>
        <v>8</v>
      </c>
      <c r="D17" s="32" t="str">
        <f>Org_dat!C13</f>
        <v>Čtyřlístek</v>
      </c>
      <c r="E17" s="33">
        <f ca="1">OFFSET(Org_dat!$C13,0,OrgSortCriteria)</f>
        <v>97.02942433937028</v>
      </c>
      <c r="F17" s="33">
        <f t="shared" ca="1" si="8"/>
        <v>97.029424340361942</v>
      </c>
      <c r="G17" s="33">
        <f t="shared" ca="1" si="0"/>
        <v>95.496753599659826</v>
      </c>
      <c r="H17" s="31">
        <f t="shared" ca="1" si="1"/>
        <v>11</v>
      </c>
      <c r="J17" s="32" t="str">
        <f ca="1">OFFSET(Org_dat!$C$5,$H17,0)</f>
        <v>Domov Čujkovova</v>
      </c>
      <c r="K17" s="158">
        <f ca="1">OFFSET(Org_dat!$D$5,$H17,0)</f>
        <v>95.49675359850383</v>
      </c>
      <c r="L17" s="34">
        <f ca="1">OFFSET(Org_dat!$E$5,$H17,0)</f>
        <v>14971500</v>
      </c>
      <c r="M17" s="34">
        <f ca="1">OFFSET(Org_dat!$F$5,$H17,0)</f>
        <v>10628792.93</v>
      </c>
      <c r="N17" s="35">
        <f ca="1">OFFSET(Org_dat!$G$5,$H17,0)</f>
        <v>0.70993507197007644</v>
      </c>
      <c r="O17" s="35">
        <f ca="1">OFFSET(Org_dat!$H$5,$H17,0)</f>
        <v>0.39</v>
      </c>
      <c r="P17" s="34">
        <f ca="1">OFFSET(Org_dat!$I$5,$H17,0)</f>
        <v>6749068.5899999999</v>
      </c>
      <c r="Q17" s="35">
        <f ca="1">OFFSET(Org_dat!$J$5,$H17,0)</f>
        <v>0.45079441538923953</v>
      </c>
      <c r="R17" s="35">
        <f ca="1">OFFSET(Org_dat!$K$5,$H17,0)</f>
        <v>1.1558831163826655</v>
      </c>
      <c r="S17" s="34">
        <f ca="1">OFFSET(Org_dat!$L$5,$H17,0)</f>
        <v>1953667.8</v>
      </c>
      <c r="T17" s="35">
        <f ca="1">OFFSET(Org_dat!$M$5,$H17,0)</f>
        <v>0.22448890928661117</v>
      </c>
      <c r="W17" s="36" t="e">
        <f ca="1">IF('II. Sledování projektu'!J19&gt;=$N$7,'II. Sledování projektu'!J19,NA())</f>
        <v>#N/A</v>
      </c>
      <c r="X17" s="36">
        <f ca="1">IF('II. Sledování projektu'!J19&lt;$N$7,'II. Sledování projektu'!J19,NA())</f>
        <v>0.70993507197007644</v>
      </c>
      <c r="Y17" s="36">
        <f t="shared" ca="1" si="2"/>
        <v>0</v>
      </c>
      <c r="Z17" s="36">
        <f t="shared" ca="1" si="3"/>
        <v>1.1797372454866928</v>
      </c>
      <c r="AB17" s="36">
        <f ca="1">IF('II. Sledování projektu'!O19&gt;=$R$8,'II. Sledování projektu'!O19,NA())</f>
        <v>1.1558831163826655</v>
      </c>
      <c r="AC17" s="36" t="e">
        <f ca="1">IF('II. Sledování projektu'!O19&lt;$R$8,'II. Sledování projektu'!O19,NA())</f>
        <v>#N/A</v>
      </c>
      <c r="AD17" s="36">
        <f t="shared" ca="1" si="4"/>
        <v>0</v>
      </c>
      <c r="AE17" s="36">
        <f t="shared" ca="1" si="5"/>
        <v>2.3130836330297102</v>
      </c>
      <c r="AG17" s="36">
        <f ca="1">IF('II. Sledování projektu'!R19&gt;=$T$7,'II. Sledování projektu'!R19,NA())</f>
        <v>0.22448890928661117</v>
      </c>
      <c r="AH17" s="36" t="e">
        <f ca="1">IF('II. Sledování projektu'!R19&lt;$T$7,'II. Sledování projektu'!R19,NA())</f>
        <v>#N/A</v>
      </c>
      <c r="AI17" s="36">
        <f t="shared" ca="1" si="6"/>
        <v>0</v>
      </c>
      <c r="AJ17" s="36">
        <f t="shared" ca="1" si="7"/>
        <v>0.87606844638229608</v>
      </c>
      <c r="AK17" s="19">
        <v>8</v>
      </c>
    </row>
    <row r="18" spans="2:37" x14ac:dyDescent="0.2">
      <c r="B18" s="342">
        <f>Org_dat!K14+(C18/100000)</f>
        <v>0.73527210317370129</v>
      </c>
      <c r="C18" s="31">
        <f>Org_dat!B14</f>
        <v>9</v>
      </c>
      <c r="D18" s="32" t="str">
        <f>Org_dat!C14</f>
        <v>Dětské centrum Domeček</v>
      </c>
      <c r="E18" s="33">
        <f ca="1">OFFSET(Org_dat!$C14,0,OrgSortCriteria)</f>
        <v>75.58697671232909</v>
      </c>
      <c r="F18" s="33">
        <f t="shared" ca="1" si="8"/>
        <v>75.58697671306436</v>
      </c>
      <c r="G18" s="33">
        <f t="shared" ca="1" si="0"/>
        <v>95.380916560914955</v>
      </c>
      <c r="H18" s="31">
        <f t="shared" ca="1" si="1"/>
        <v>40</v>
      </c>
      <c r="J18" s="32" t="str">
        <f ca="1">OFFSET(Org_dat!$C$5,$H18,0)</f>
        <v>Městská policie</v>
      </c>
      <c r="K18" s="158">
        <f ca="1">OFFSET(Org_dat!$D$5,$H18,0)</f>
        <v>95.380916559567396</v>
      </c>
      <c r="L18" s="34">
        <f ca="1">OFFSET(Org_dat!$E$5,$H18,0)</f>
        <v>30929250</v>
      </c>
      <c r="M18" s="34">
        <f ca="1">OFFSET(Org_dat!$F$5,$H18,0)</f>
        <v>21886104.27</v>
      </c>
      <c r="N18" s="35">
        <f ca="1">OFFSET(Org_dat!$G$5,$H18,0)</f>
        <v>0.70761833119134798</v>
      </c>
      <c r="O18" s="35">
        <f ca="1">OFFSET(Org_dat!$H$5,$H18,0)</f>
        <v>7.0199999999999999E-2</v>
      </c>
      <c r="P18" s="34">
        <f ca="1">OFFSET(Org_dat!$I$5,$H18,0)</f>
        <v>2925002.14</v>
      </c>
      <c r="Q18" s="35">
        <f ca="1">OFFSET(Org_dat!$J$5,$H18,0)</f>
        <v>9.4570742581860212E-2</v>
      </c>
      <c r="R18" s="35">
        <f ca="1">OFFSET(Org_dat!$K$5,$H18,0)</f>
        <v>1.347161575240174</v>
      </c>
      <c r="S18" s="34">
        <f ca="1">OFFSET(Org_dat!$L$5,$H18,0)</f>
        <v>702769.11</v>
      </c>
      <c r="T18" s="35">
        <f ca="1">OFFSET(Org_dat!$M$5,$H18,0)</f>
        <v>0.19371924566633025</v>
      </c>
      <c r="W18" s="36" t="e">
        <f ca="1">IF('II. Sledování projektu'!J20&gt;=$N$7,'II. Sledování projektu'!J20,NA())</f>
        <v>#N/A</v>
      </c>
      <c r="X18" s="36">
        <f ca="1">IF('II. Sledování projektu'!J20&lt;$N$7,'II. Sledování projektu'!J20,NA())</f>
        <v>0.70761833119134798</v>
      </c>
      <c r="Y18" s="36">
        <f t="shared" ca="1" si="2"/>
        <v>0</v>
      </c>
      <c r="Z18" s="36">
        <f t="shared" ca="1" si="3"/>
        <v>1.1797372454866928</v>
      </c>
      <c r="AB18" s="36">
        <f ca="1">IF('II. Sledování projektu'!O20&gt;=$R$8,'II. Sledování projektu'!O20,NA())</f>
        <v>1.347161575240174</v>
      </c>
      <c r="AC18" s="36" t="e">
        <f ca="1">IF('II. Sledování projektu'!O20&lt;$R$8,'II. Sledování projektu'!O20,NA())</f>
        <v>#N/A</v>
      </c>
      <c r="AD18" s="36">
        <f t="shared" ca="1" si="4"/>
        <v>0</v>
      </c>
      <c r="AE18" s="36">
        <f t="shared" ca="1" si="5"/>
        <v>2.3130836330297102</v>
      </c>
      <c r="AG18" s="36">
        <f ca="1">IF('II. Sledování projektu'!R20&gt;=$T$7,'II. Sledování projektu'!R20,NA())</f>
        <v>0.19371924566633025</v>
      </c>
      <c r="AH18" s="36" t="e">
        <f ca="1">IF('II. Sledování projektu'!R20&lt;$T$7,'II. Sledování projektu'!R20,NA())</f>
        <v>#N/A</v>
      </c>
      <c r="AI18" s="36">
        <f t="shared" ca="1" si="6"/>
        <v>0</v>
      </c>
      <c r="AJ18" s="36">
        <f t="shared" ca="1" si="7"/>
        <v>0.87606844638229608</v>
      </c>
      <c r="AK18" s="19">
        <v>9</v>
      </c>
    </row>
    <row r="19" spans="2:37" x14ac:dyDescent="0.2">
      <c r="B19" s="342">
        <f>Org_dat!K15+(C19/100000)</f>
        <v>0.86518096830314806</v>
      </c>
      <c r="C19" s="31">
        <f>Org_dat!B15</f>
        <v>10</v>
      </c>
      <c r="D19" s="32" t="str">
        <f>Org_dat!C15</f>
        <v>Divadlo loutek Ostrava</v>
      </c>
      <c r="E19" s="33">
        <f ca="1">OFFSET(Org_dat!$C15,0,OrgSortCriteria)</f>
        <v>91.904858098188882</v>
      </c>
      <c r="F19" s="33">
        <f t="shared" ca="1" si="8"/>
        <v>91.904858099054067</v>
      </c>
      <c r="G19" s="33">
        <f t="shared" ca="1" si="0"/>
        <v>95.10898987115749</v>
      </c>
      <c r="H19" s="31">
        <f t="shared" ca="1" si="1"/>
        <v>89</v>
      </c>
      <c r="J19" s="32" t="str">
        <f ca="1">OFFSET(Org_dat!$C$5,$H19,0)</f>
        <v>Ostravské muzeum</v>
      </c>
      <c r="K19" s="158">
        <f ca="1">OFFSET(Org_dat!$D$5,$H19,0)</f>
        <v>95.108989870030584</v>
      </c>
      <c r="L19" s="34">
        <f ca="1">OFFSET(Org_dat!$E$5,$H19,0)</f>
        <v>2616000</v>
      </c>
      <c r="M19" s="34">
        <f ca="1">OFFSET(Org_dat!$F$5,$H19,0)</f>
        <v>1836902.35</v>
      </c>
      <c r="N19" s="35">
        <f ca="1">OFFSET(Org_dat!$G$5,$H19,0)</f>
        <v>0.70217979740061165</v>
      </c>
      <c r="O19" s="35">
        <f ca="1">OFFSET(Org_dat!$H$5,$H19,0)</f>
        <v>0.14015691912963066</v>
      </c>
      <c r="P19" s="34">
        <f ca="1">OFFSET(Org_dat!$I$5,$H19,0)</f>
        <v>412854.46</v>
      </c>
      <c r="Q19" s="35">
        <f ca="1">OFFSET(Org_dat!$J$5,$H19,0)</f>
        <v>0.15781898318042814</v>
      </c>
      <c r="R19" s="35">
        <f ca="1">OFFSET(Org_dat!$K$5,$H19,0)</f>
        <v>1.1260163548148623</v>
      </c>
      <c r="S19" s="34">
        <f ca="1">OFFSET(Org_dat!$L$5,$H19,0)</f>
        <v>313986.63</v>
      </c>
      <c r="T19" s="35">
        <f ca="1">OFFSET(Org_dat!$M$5,$H19,0)</f>
        <v>0.4319880016689755</v>
      </c>
      <c r="W19" s="36" t="e">
        <f ca="1">IF('II. Sledování projektu'!J21&gt;=$N$7,'II. Sledování projektu'!J21,NA())</f>
        <v>#N/A</v>
      </c>
      <c r="X19" s="36">
        <f ca="1">IF('II. Sledování projektu'!J21&lt;$N$7,'II. Sledování projektu'!J21,NA())</f>
        <v>0.70217979740061165</v>
      </c>
      <c r="Y19" s="36">
        <f t="shared" ca="1" si="2"/>
        <v>0</v>
      </c>
      <c r="Z19" s="36">
        <f t="shared" ca="1" si="3"/>
        <v>1.1797372454866928</v>
      </c>
      <c r="AB19" s="36">
        <f ca="1">IF('II. Sledování projektu'!O21&gt;=$R$8,'II. Sledování projektu'!O21,NA())</f>
        <v>1.1260163548148623</v>
      </c>
      <c r="AC19" s="36" t="e">
        <f ca="1">IF('II. Sledování projektu'!O21&lt;$R$8,'II. Sledování projektu'!O21,NA())</f>
        <v>#N/A</v>
      </c>
      <c r="AD19" s="36">
        <f t="shared" ca="1" si="4"/>
        <v>0</v>
      </c>
      <c r="AE19" s="36">
        <f t="shared" ca="1" si="5"/>
        <v>2.3130836330297102</v>
      </c>
      <c r="AG19" s="36">
        <f ca="1">IF('II. Sledování projektu'!R21&gt;=$T$7,'II. Sledování projektu'!R21,NA())</f>
        <v>0.4319880016689755</v>
      </c>
      <c r="AH19" s="36" t="e">
        <f ca="1">IF('II. Sledování projektu'!R21&lt;$T$7,'II. Sledování projektu'!R21,NA())</f>
        <v>#N/A</v>
      </c>
      <c r="AI19" s="36">
        <f t="shared" ca="1" si="6"/>
        <v>0</v>
      </c>
      <c r="AJ19" s="36">
        <f t="shared" ca="1" si="7"/>
        <v>0.87606844638229608</v>
      </c>
      <c r="AK19" s="19">
        <v>10</v>
      </c>
    </row>
    <row r="20" spans="2:37" x14ac:dyDescent="0.2">
      <c r="B20" s="342">
        <f>Org_dat!K16+(C20/100000)</f>
        <v>1.1559931163826656</v>
      </c>
      <c r="C20" s="31">
        <f>Org_dat!B16</f>
        <v>11</v>
      </c>
      <c r="D20" s="32" t="str">
        <f>Org_dat!C16</f>
        <v>Domov Čujkovova</v>
      </c>
      <c r="E20" s="33">
        <f ca="1">OFFSET(Org_dat!$C16,0,OrgSortCriteria)</f>
        <v>95.49675359850383</v>
      </c>
      <c r="F20" s="33">
        <f t="shared" ca="1" si="8"/>
        <v>95.496753599659826</v>
      </c>
      <c r="G20" s="33">
        <f t="shared" ca="1" si="0"/>
        <v>94.945068861616093</v>
      </c>
      <c r="H20" s="31">
        <f t="shared" ca="1" si="1"/>
        <v>29</v>
      </c>
      <c r="J20" s="32" t="str">
        <f ca="1">OFFSET(Org_dat!$C$5,$H20,0)</f>
        <v>DPS Kamenec</v>
      </c>
      <c r="K20" s="158">
        <f ca="1">OFFSET(Org_dat!$D$5,$H20,0)</f>
        <v>94.945068860700047</v>
      </c>
      <c r="L20" s="34">
        <f ca="1">OFFSET(Org_dat!$E$5,$H20,0)</f>
        <v>13266750</v>
      </c>
      <c r="M20" s="34">
        <f ca="1">OFFSET(Org_dat!$F$5,$H20,0)</f>
        <v>12378654.9</v>
      </c>
      <c r="N20" s="35">
        <f ca="1">OFFSET(Org_dat!$G$5,$H20,0)</f>
        <v>0.93305857877777154</v>
      </c>
      <c r="O20" s="35">
        <f ca="1">OFFSET(Org_dat!$H$5,$H20,0)</f>
        <v>0.39</v>
      </c>
      <c r="P20" s="34">
        <f ca="1">OFFSET(Org_dat!$I$5,$H20,0)</f>
        <v>4738126.2</v>
      </c>
      <c r="Q20" s="35">
        <f ca="1">OFFSET(Org_dat!$J$5,$H20,0)</f>
        <v>0.35714294759455029</v>
      </c>
      <c r="R20" s="35">
        <f ca="1">OFFSET(Org_dat!$K$5,$H20,0)</f>
        <v>0.9157511476783341</v>
      </c>
      <c r="S20" s="34">
        <f ca="1">OFFSET(Org_dat!$L$5,$H20,0)</f>
        <v>1120695.3399999999</v>
      </c>
      <c r="T20" s="35">
        <f ca="1">OFFSET(Org_dat!$M$5,$H20,0)</f>
        <v>0.19128340611651398</v>
      </c>
      <c r="W20" s="36">
        <f ca="1">IF('II. Sledování projektu'!J22&gt;=$N$7,'II. Sledování projektu'!J22,NA())</f>
        <v>0.93305857877777154</v>
      </c>
      <c r="X20" s="36" t="e">
        <f ca="1">IF('II. Sledování projektu'!J22&lt;$N$7,'II. Sledování projektu'!J22,NA())</f>
        <v>#N/A</v>
      </c>
      <c r="Y20" s="36">
        <f t="shared" ca="1" si="2"/>
        <v>0</v>
      </c>
      <c r="Z20" s="36">
        <f t="shared" ca="1" si="3"/>
        <v>1.1797372454866928</v>
      </c>
      <c r="AB20" s="36" t="e">
        <f ca="1">IF('II. Sledování projektu'!O22&gt;=$R$8,'II. Sledování projektu'!O22,NA())</f>
        <v>#N/A</v>
      </c>
      <c r="AC20" s="36">
        <f ca="1">IF('II. Sledování projektu'!O22&lt;$R$8,'II. Sledování projektu'!O22,NA())</f>
        <v>0.9157511476783341</v>
      </c>
      <c r="AD20" s="36">
        <f t="shared" ca="1" si="4"/>
        <v>0</v>
      </c>
      <c r="AE20" s="36">
        <f t="shared" ca="1" si="5"/>
        <v>2.3130836330297102</v>
      </c>
      <c r="AG20" s="36">
        <f ca="1">IF('II. Sledování projektu'!R22&gt;=$T$7,'II. Sledování projektu'!R22,NA())</f>
        <v>0.19128340611651398</v>
      </c>
      <c r="AH20" s="36" t="e">
        <f ca="1">IF('II. Sledování projektu'!R22&lt;$T$7,'II. Sledování projektu'!R22,NA())</f>
        <v>#N/A</v>
      </c>
      <c r="AI20" s="36">
        <f t="shared" ca="1" si="6"/>
        <v>0</v>
      </c>
      <c r="AJ20" s="36">
        <f t="shared" ca="1" si="7"/>
        <v>0.87606844638229608</v>
      </c>
      <c r="AK20" s="19">
        <v>11</v>
      </c>
    </row>
    <row r="21" spans="2:37" x14ac:dyDescent="0.2">
      <c r="B21" s="342">
        <f>Org_dat!K17+(C21/100000)</f>
        <v>0.99215988872427185</v>
      </c>
      <c r="C21" s="31">
        <f>Org_dat!B17</f>
        <v>12</v>
      </c>
      <c r="D21" s="32" t="str">
        <f>Org_dat!C17</f>
        <v>Domov Korýtko</v>
      </c>
      <c r="E21" s="33">
        <f ca="1">OFFSET(Org_dat!$C17,0,OrgSortCriteria)</f>
        <v>93.223499276837174</v>
      </c>
      <c r="F21" s="33">
        <f t="shared" ca="1" si="8"/>
        <v>93.223499277829333</v>
      </c>
      <c r="G21" s="33">
        <f t="shared" ca="1" si="0"/>
        <v>93.223499277829333</v>
      </c>
      <c r="H21" s="31">
        <f t="shared" ca="1" si="1"/>
        <v>12</v>
      </c>
      <c r="J21" s="32" t="str">
        <f ca="1">OFFSET(Org_dat!$C$5,$H21,0)</f>
        <v>Domov Korýtko</v>
      </c>
      <c r="K21" s="158">
        <f ca="1">OFFSET(Org_dat!$D$5,$H21,0)</f>
        <v>93.223499276837174</v>
      </c>
      <c r="L21" s="34">
        <f ca="1">OFFSET(Org_dat!$E$5,$H21,0)</f>
        <v>18475665.75</v>
      </c>
      <c r="M21" s="34">
        <f ca="1">OFFSET(Org_dat!$F$5,$H21,0)</f>
        <v>12453007.379999999</v>
      </c>
      <c r="N21" s="35">
        <f ca="1">OFFSET(Org_dat!$G$5,$H21,0)</f>
        <v>0.67402211906761733</v>
      </c>
      <c r="O21" s="35">
        <f ca="1">OFFSET(Org_dat!$H$5,$H21,0)</f>
        <v>0.38</v>
      </c>
      <c r="P21" s="34">
        <f ca="1">OFFSET(Org_dat!$I$5,$H21,0)</f>
        <v>6964867.0099999998</v>
      </c>
      <c r="Q21" s="35">
        <f ca="1">OFFSET(Org_dat!$J$5,$H21,0)</f>
        <v>0.37697515771522333</v>
      </c>
      <c r="R21" s="35">
        <f ca="1">OFFSET(Org_dat!$K$5,$H21,0)</f>
        <v>0.99203988872427185</v>
      </c>
      <c r="S21" s="34">
        <f ca="1">OFFSET(Org_dat!$L$5,$H21,0)</f>
        <v>1599563.17</v>
      </c>
      <c r="T21" s="35">
        <f ca="1">OFFSET(Org_dat!$M$5,$H21,0)</f>
        <v>0.18676819547614082</v>
      </c>
      <c r="W21" s="36" t="e">
        <f ca="1">IF('II. Sledování projektu'!J23&gt;=$N$7,'II. Sledování projektu'!J23,NA())</f>
        <v>#N/A</v>
      </c>
      <c r="X21" s="36">
        <f ca="1">IF('II. Sledování projektu'!J23&lt;$N$7,'II. Sledování projektu'!J23,NA())</f>
        <v>0.67402211906761733</v>
      </c>
      <c r="Y21" s="36">
        <f t="shared" ca="1" si="2"/>
        <v>0</v>
      </c>
      <c r="Z21" s="36">
        <f t="shared" ca="1" si="3"/>
        <v>1.1797372454866928</v>
      </c>
      <c r="AB21" s="36" t="e">
        <f ca="1">IF('II. Sledování projektu'!O23&gt;=$R$8,'II. Sledování projektu'!O23,NA())</f>
        <v>#N/A</v>
      </c>
      <c r="AC21" s="36">
        <f ca="1">IF('II. Sledování projektu'!O23&lt;$R$8,'II. Sledování projektu'!O23,NA())</f>
        <v>0.99203988872427185</v>
      </c>
      <c r="AD21" s="36">
        <f t="shared" ca="1" si="4"/>
        <v>0</v>
      </c>
      <c r="AE21" s="36">
        <f t="shared" ca="1" si="5"/>
        <v>2.3130836330297102</v>
      </c>
      <c r="AG21" s="36">
        <f ca="1">IF('II. Sledování projektu'!R23&gt;=$T$7,'II. Sledování projektu'!R23,NA())</f>
        <v>0.18676819547614082</v>
      </c>
      <c r="AH21" s="36" t="e">
        <f ca="1">IF('II. Sledování projektu'!R23&lt;$T$7,'II. Sledování projektu'!R23,NA())</f>
        <v>#N/A</v>
      </c>
      <c r="AI21" s="36">
        <f t="shared" ca="1" si="6"/>
        <v>0</v>
      </c>
      <c r="AJ21" s="36">
        <f t="shared" ca="1" si="7"/>
        <v>0.87606844638229608</v>
      </c>
      <c r="AK21" s="19">
        <v>12</v>
      </c>
    </row>
    <row r="22" spans="2:37" x14ac:dyDescent="0.2">
      <c r="B22" s="342">
        <f>Org_dat!K18+(C22/100000)</f>
        <v>0.80390911695578271</v>
      </c>
      <c r="C22" s="31">
        <f>Org_dat!B18</f>
        <v>13</v>
      </c>
      <c r="D22" s="32" t="str">
        <f>Org_dat!C18</f>
        <v>Domov Magnolie</v>
      </c>
      <c r="E22" s="33">
        <f ca="1">OFFSET(Org_dat!$C18,0,OrgSortCriteria)</f>
        <v>85.348248469026771</v>
      </c>
      <c r="F22" s="33">
        <f t="shared" ca="1" si="8"/>
        <v>85.348248469830679</v>
      </c>
      <c r="G22" s="33">
        <f t="shared" ca="1" si="0"/>
        <v>92.335601649901307</v>
      </c>
      <c r="H22" s="31">
        <f t="shared" ca="1" si="1"/>
        <v>96</v>
      </c>
      <c r="J22" s="32" t="str">
        <f ca="1">OFFSET(Org_dat!$C$5,$H22,0)</f>
        <v>Technické služby Moravská Ostrava a Přívoz</v>
      </c>
      <c r="K22" s="158">
        <f ca="1">OFFSET(Org_dat!$D$5,$H22,0)</f>
        <v>92.335601649028092</v>
      </c>
      <c r="L22" s="34">
        <f ca="1">OFFSET(Org_dat!$E$5,$H22,0)</f>
        <v>15472575</v>
      </c>
      <c r="M22" s="34">
        <f ca="1">OFFSET(Org_dat!$F$5,$H22,0)</f>
        <v>13069921.57</v>
      </c>
      <c r="N22" s="35">
        <f ca="1">OFFSET(Org_dat!$G$5,$H22,0)</f>
        <v>0.84471534763929079</v>
      </c>
      <c r="O22" s="35">
        <f ca="1">OFFSET(Org_dat!$H$5,$H22,0)</f>
        <v>0.43912186127453956</v>
      </c>
      <c r="P22" s="34">
        <f ca="1">OFFSET(Org_dat!$I$5,$H22,0)</f>
        <v>5926436.3699999992</v>
      </c>
      <c r="Q22" s="35">
        <f ca="1">OFFSET(Org_dat!$J$5,$H22,0)</f>
        <v>0.38302844678406789</v>
      </c>
      <c r="R22" s="35">
        <f ca="1">OFFSET(Org_dat!$K$5,$H22,0)</f>
        <v>0.87226002748380138</v>
      </c>
      <c r="S22" s="34">
        <f ca="1">OFFSET(Org_dat!$L$5,$H22,0)</f>
        <v>407761.79</v>
      </c>
      <c r="T22" s="35">
        <f ca="1">OFFSET(Org_dat!$M$5,$H22,0)</f>
        <v>6.4374650066205075E-2</v>
      </c>
      <c r="W22" s="36">
        <f ca="1">IF('II. Sledování projektu'!J24&gt;=$N$7,'II. Sledování projektu'!J24,NA())</f>
        <v>0.84471534763929079</v>
      </c>
      <c r="X22" s="36" t="e">
        <f ca="1">IF('II. Sledování projektu'!J24&lt;$N$7,'II. Sledování projektu'!J24,NA())</f>
        <v>#N/A</v>
      </c>
      <c r="Y22" s="36">
        <f t="shared" ca="1" si="2"/>
        <v>0</v>
      </c>
      <c r="Z22" s="36">
        <f t="shared" ca="1" si="3"/>
        <v>1.1797372454866928</v>
      </c>
      <c r="AB22" s="36" t="e">
        <f ca="1">IF('II. Sledování projektu'!O24&gt;=$R$8,'II. Sledování projektu'!O24,NA())</f>
        <v>#N/A</v>
      </c>
      <c r="AC22" s="36">
        <f ca="1">IF('II. Sledování projektu'!O24&lt;$R$8,'II. Sledování projektu'!O24,NA())</f>
        <v>0.87226002748380138</v>
      </c>
      <c r="AD22" s="36">
        <f t="shared" ca="1" si="4"/>
        <v>0</v>
      </c>
      <c r="AE22" s="36">
        <f t="shared" ca="1" si="5"/>
        <v>2.3130836330297102</v>
      </c>
      <c r="AG22" s="36" t="e">
        <f ca="1">IF('II. Sledování projektu'!R24&gt;=$T$7,'II. Sledování projektu'!R24,NA())</f>
        <v>#N/A</v>
      </c>
      <c r="AH22" s="36">
        <f ca="1">IF('II. Sledování projektu'!R24&lt;$T$7,'II. Sledování projektu'!R24,NA())</f>
        <v>6.4374650066205075E-2</v>
      </c>
      <c r="AI22" s="36">
        <f t="shared" ca="1" si="6"/>
        <v>0</v>
      </c>
      <c r="AJ22" s="36">
        <f t="shared" ca="1" si="7"/>
        <v>0.87606844638229608</v>
      </c>
      <c r="AK22" s="19">
        <v>13</v>
      </c>
    </row>
    <row r="23" spans="2:37" x14ac:dyDescent="0.2">
      <c r="B23" s="342">
        <f>Org_dat!K19+(C23/100000)</f>
        <v>0.32785251074278693</v>
      </c>
      <c r="C23" s="31">
        <f>Org_dat!B19</f>
        <v>14</v>
      </c>
      <c r="D23" s="32" t="str">
        <f>Org_dat!C19</f>
        <v>Dům kultury Akord</v>
      </c>
      <c r="E23" s="33">
        <f ca="1">OFFSET(Org_dat!$C19,0,OrgSortCriteria)</f>
        <v>30.913588627992631</v>
      </c>
      <c r="F23" s="33">
        <f t="shared" ca="1" si="8"/>
        <v>30.913588628320483</v>
      </c>
      <c r="G23" s="33">
        <f t="shared" ca="1" si="0"/>
        <v>91.904858099054067</v>
      </c>
      <c r="H23" s="31">
        <f t="shared" ca="1" si="1"/>
        <v>10</v>
      </c>
      <c r="J23" s="32" t="str">
        <f ca="1">OFFSET(Org_dat!$C$5,$H23,0)</f>
        <v>Divadlo loutek Ostrava</v>
      </c>
      <c r="K23" s="158">
        <f ca="1">OFFSET(Org_dat!$D$5,$H23,0)</f>
        <v>91.904858098188882</v>
      </c>
      <c r="L23" s="34">
        <f ca="1">OFFSET(Org_dat!$E$5,$H23,0)</f>
        <v>5658705</v>
      </c>
      <c r="M23" s="34">
        <f ca="1">OFFSET(Org_dat!$F$5,$H23,0)</f>
        <v>4771253.0999999996</v>
      </c>
      <c r="N23" s="35">
        <f ca="1">OFFSET(Org_dat!$G$5,$H23,0)</f>
        <v>0.84317049572296132</v>
      </c>
      <c r="O23" s="35">
        <f ca="1">OFFSET(Org_dat!$H$5,$H23,0)</f>
        <v>0.23641056672313276</v>
      </c>
      <c r="P23" s="34">
        <f ca="1">OFFSET(Org_dat!$I$5,$H23,0)</f>
        <v>1157285.99</v>
      </c>
      <c r="Q23" s="35">
        <f ca="1">OFFSET(Org_dat!$J$5,$H23,0)</f>
        <v>0.20451428197794372</v>
      </c>
      <c r="R23" s="35">
        <f ca="1">OFFSET(Org_dat!$K$5,$H23,0)</f>
        <v>0.86508096830314807</v>
      </c>
      <c r="S23" s="34">
        <f ca="1">OFFSET(Org_dat!$L$5,$H23,0)</f>
        <v>664645.29999999993</v>
      </c>
      <c r="T23" s="35">
        <f ca="1">OFFSET(Org_dat!$M$5,$H23,0)</f>
        <v>0.36480261558052496</v>
      </c>
      <c r="W23" s="36">
        <f ca="1">IF('II. Sledování projektu'!J25&gt;=$N$7,'II. Sledování projektu'!J25,NA())</f>
        <v>0.84317049572296132</v>
      </c>
      <c r="X23" s="36" t="e">
        <f ca="1">IF('II. Sledování projektu'!J25&lt;$N$7,'II. Sledování projektu'!J25,NA())</f>
        <v>#N/A</v>
      </c>
      <c r="Y23" s="36">
        <f t="shared" ca="1" si="2"/>
        <v>0</v>
      </c>
      <c r="Z23" s="36">
        <f t="shared" ca="1" si="3"/>
        <v>1.1797372454866928</v>
      </c>
      <c r="AB23" s="36" t="e">
        <f ca="1">IF('II. Sledování projektu'!O25&gt;=$R$8,'II. Sledování projektu'!O25,NA())</f>
        <v>#N/A</v>
      </c>
      <c r="AC23" s="36">
        <f ca="1">IF('II. Sledování projektu'!O25&lt;$R$8,'II. Sledování projektu'!O25,NA())</f>
        <v>0.86508096830314807</v>
      </c>
      <c r="AD23" s="36">
        <f t="shared" ca="1" si="4"/>
        <v>0</v>
      </c>
      <c r="AE23" s="36">
        <f t="shared" ca="1" si="5"/>
        <v>2.3130836330297102</v>
      </c>
      <c r="AG23" s="36">
        <f ca="1">IF('II. Sledování projektu'!R25&gt;=$T$7,'II. Sledování projektu'!R25,NA())</f>
        <v>0.36480261558052496</v>
      </c>
      <c r="AH23" s="36" t="e">
        <f ca="1">IF('II. Sledování projektu'!R25&lt;$T$7,'II. Sledování projektu'!R25,NA())</f>
        <v>#N/A</v>
      </c>
      <c r="AI23" s="36">
        <f t="shared" ca="1" si="6"/>
        <v>0</v>
      </c>
      <c r="AJ23" s="36">
        <f t="shared" ca="1" si="7"/>
        <v>0.87606844638229608</v>
      </c>
      <c r="AK23" s="19">
        <v>14</v>
      </c>
    </row>
    <row r="24" spans="2:37" x14ac:dyDescent="0.2">
      <c r="B24" s="342">
        <f>Org_dat!K20+(C24/100000)</f>
        <v>0.1821820306614155</v>
      </c>
      <c r="C24" s="31">
        <f>Org_dat!B20</f>
        <v>15</v>
      </c>
      <c r="D24" s="32" t="str">
        <f>Org_dat!C20</f>
        <v>Komorní scéna Aréna</v>
      </c>
      <c r="E24" s="33">
        <f ca="1">OFFSET(Org_dat!$C20,0,OrgSortCriteria)</f>
        <v>47.25643187356556</v>
      </c>
      <c r="F24" s="33">
        <f t="shared" ca="1" si="8"/>
        <v>47.256431873747744</v>
      </c>
      <c r="G24" s="33">
        <f t="shared" ca="1" si="0"/>
        <v>89.989191363146304</v>
      </c>
      <c r="H24" s="31">
        <f t="shared" ca="1" si="1"/>
        <v>23</v>
      </c>
      <c r="J24" s="32" t="str">
        <f ca="1">OFFSET(Org_dat!$C$5,$H24,0)</f>
        <v>ZŠ MO a Přívoz, Matiční</v>
      </c>
      <c r="K24" s="158">
        <f ca="1">OFFSET(Org_dat!$D$5,$H24,0)</f>
        <v>89.989191361984183</v>
      </c>
      <c r="L24" s="34">
        <f ca="1">OFFSET(Org_dat!$E$5,$H24,0)</f>
        <v>8184750</v>
      </c>
      <c r="M24" s="34">
        <f ca="1">OFFSET(Org_dat!$F$5,$H24,0)</f>
        <v>4909080.68</v>
      </c>
      <c r="N24" s="35">
        <f ca="1">OFFSET(Org_dat!$G$5,$H24,0)</f>
        <v>0.59978382723968349</v>
      </c>
      <c r="O24" s="35">
        <f ca="1">OFFSET(Org_dat!$H$5,$H24,0)</f>
        <v>0.32140000000000002</v>
      </c>
      <c r="P24" s="34">
        <f ca="1">OFFSET(Org_dat!$I$5,$H24,0)</f>
        <v>3056437.0300000003</v>
      </c>
      <c r="Q24" s="35">
        <f ca="1">OFFSET(Org_dat!$J$5,$H24,0)</f>
        <v>0.37343071321665294</v>
      </c>
      <c r="R24" s="35">
        <f ca="1">OFFSET(Org_dat!$K$5,$H24,0)</f>
        <v>1.1618877200269224</v>
      </c>
      <c r="S24" s="34">
        <f ca="1">OFFSET(Org_dat!$L$5,$H24,0)</f>
        <v>820785.04999999993</v>
      </c>
      <c r="T24" s="35">
        <f ca="1">OFFSET(Org_dat!$M$5,$H24,0)</f>
        <v>0.21169410290782206</v>
      </c>
      <c r="W24" s="36" t="e">
        <f ca="1">IF('II. Sledování projektu'!J26&gt;=$N$7,'II. Sledování projektu'!J26,NA())</f>
        <v>#N/A</v>
      </c>
      <c r="X24" s="36">
        <f ca="1">IF('II. Sledování projektu'!J26&lt;$N$7,'II. Sledování projektu'!J26,NA())</f>
        <v>0.59978382723968349</v>
      </c>
      <c r="Y24" s="36">
        <f t="shared" ca="1" si="2"/>
        <v>0</v>
      </c>
      <c r="Z24" s="36">
        <f t="shared" ca="1" si="3"/>
        <v>1.1797372454866928</v>
      </c>
      <c r="AB24" s="36">
        <f ca="1">IF('II. Sledování projektu'!O26&gt;=$R$8,'II. Sledování projektu'!O26,NA())</f>
        <v>1.1618877200269224</v>
      </c>
      <c r="AC24" s="36" t="e">
        <f ca="1">IF('II. Sledování projektu'!O26&lt;$R$8,'II. Sledování projektu'!O26,NA())</f>
        <v>#N/A</v>
      </c>
      <c r="AD24" s="36">
        <f t="shared" ca="1" si="4"/>
        <v>0</v>
      </c>
      <c r="AE24" s="36">
        <f t="shared" ca="1" si="5"/>
        <v>2.3130836330297102</v>
      </c>
      <c r="AG24" s="36">
        <f ca="1">IF('II. Sledování projektu'!R26&gt;=$T$7,'II. Sledování projektu'!R26,NA())</f>
        <v>0.21169410290782206</v>
      </c>
      <c r="AH24" s="36" t="e">
        <f ca="1">IF('II. Sledování projektu'!R26&lt;$T$7,'II. Sledování projektu'!R26,NA())</f>
        <v>#N/A</v>
      </c>
      <c r="AI24" s="36">
        <f t="shared" ca="1" si="6"/>
        <v>0</v>
      </c>
      <c r="AJ24" s="36">
        <f t="shared" ca="1" si="7"/>
        <v>0.87606844638229608</v>
      </c>
      <c r="AK24" s="19">
        <v>15</v>
      </c>
    </row>
    <row r="25" spans="2:37" x14ac:dyDescent="0.2">
      <c r="B25" s="342">
        <f>Org_dat!K21+(C25/100000)</f>
        <v>0.77422652293786831</v>
      </c>
      <c r="C25" s="31">
        <f>Org_dat!B21</f>
        <v>16</v>
      </c>
      <c r="D25" s="32" t="str">
        <f>Org_dat!C21</f>
        <v>Ostravské komunikace</v>
      </c>
      <c r="E25" s="33">
        <f ca="1">OFFSET(Org_dat!$C21,0,OrgSortCriteria)</f>
        <v>50.783528090882385</v>
      </c>
      <c r="F25" s="33">
        <f t="shared" ca="1" si="8"/>
        <v>50.783528091656613</v>
      </c>
      <c r="G25" s="33">
        <f t="shared" ca="1" si="0"/>
        <v>88.870863209893102</v>
      </c>
      <c r="H25" s="31">
        <f t="shared" ca="1" si="1"/>
        <v>26</v>
      </c>
      <c r="J25" s="32" t="str">
        <f ca="1">OFFSET(Org_dat!$C$5,$H25,0)</f>
        <v>Domov Sluníčko</v>
      </c>
      <c r="K25" s="158">
        <f ca="1">OFFSET(Org_dat!$D$5,$H25,0)</f>
        <v>88.870863209015994</v>
      </c>
      <c r="L25" s="34">
        <f ca="1">OFFSET(Org_dat!$E$5,$H25,0)</f>
        <v>11928000</v>
      </c>
      <c r="M25" s="34">
        <f ca="1">OFFSET(Org_dat!$F$5,$H25,0)</f>
        <v>8650265.2699999996</v>
      </c>
      <c r="N25" s="35">
        <f ca="1">OFFSET(Org_dat!$G$5,$H25,0)</f>
        <v>0.72520667924211935</v>
      </c>
      <c r="O25" s="35">
        <f ca="1">OFFSET(Org_dat!$H$5,$H25,0)</f>
        <v>0.56000000000000005</v>
      </c>
      <c r="P25" s="34">
        <f ca="1">OFFSET(Org_dat!$I$5,$H25,0)</f>
        <v>5857025</v>
      </c>
      <c r="Q25" s="35">
        <f ca="1">OFFSET(Org_dat!$J$5,$H25,0)</f>
        <v>0.49103160630449361</v>
      </c>
      <c r="R25" s="35">
        <f ca="1">OFFSET(Org_dat!$K$5,$H25,0)</f>
        <v>0.87684215411516708</v>
      </c>
      <c r="S25" s="34">
        <f ca="1">OFFSET(Org_dat!$L$5,$H25,0)</f>
        <v>1849004.87</v>
      </c>
      <c r="T25" s="35">
        <f ca="1">OFFSET(Org_dat!$M$5,$H25,0)</f>
        <v>0.23994260354456687</v>
      </c>
      <c r="W25" s="36" t="e">
        <f ca="1">IF('II. Sledování projektu'!J27&gt;=$N$7,'II. Sledování projektu'!J27,NA())</f>
        <v>#N/A</v>
      </c>
      <c r="X25" s="36">
        <f ca="1">IF('II. Sledování projektu'!J27&lt;$N$7,'II. Sledování projektu'!J27,NA())</f>
        <v>0.72520667924211935</v>
      </c>
      <c r="Y25" s="36">
        <f t="shared" ca="1" si="2"/>
        <v>0</v>
      </c>
      <c r="Z25" s="36">
        <f t="shared" ca="1" si="3"/>
        <v>1.1797372454866928</v>
      </c>
      <c r="AB25" s="36" t="e">
        <f ca="1">IF('II. Sledování projektu'!O27&gt;=$R$8,'II. Sledování projektu'!O27,NA())</f>
        <v>#N/A</v>
      </c>
      <c r="AC25" s="36">
        <f ca="1">IF('II. Sledování projektu'!O27&lt;$R$8,'II. Sledování projektu'!O27,NA())</f>
        <v>0.87684215411516708</v>
      </c>
      <c r="AD25" s="36">
        <f t="shared" ca="1" si="4"/>
        <v>0</v>
      </c>
      <c r="AE25" s="36">
        <f t="shared" ca="1" si="5"/>
        <v>2.3130836330297102</v>
      </c>
      <c r="AG25" s="36">
        <f ca="1">IF('II. Sledování projektu'!R27&gt;=$T$7,'II. Sledování projektu'!R27,NA())</f>
        <v>0.23994260354456687</v>
      </c>
      <c r="AH25" s="36" t="e">
        <f ca="1">IF('II. Sledování projektu'!R27&lt;$T$7,'II. Sledování projektu'!R27,NA())</f>
        <v>#N/A</v>
      </c>
      <c r="AI25" s="36">
        <f t="shared" ca="1" si="6"/>
        <v>0</v>
      </c>
      <c r="AJ25" s="36">
        <f t="shared" ca="1" si="7"/>
        <v>0.87606844638229608</v>
      </c>
      <c r="AK25" s="19">
        <v>16</v>
      </c>
    </row>
    <row r="26" spans="2:37" x14ac:dyDescent="0.2">
      <c r="B26" s="342">
        <f>Org_dat!K22+(C26/100000)</f>
        <v>0.58134707407285457</v>
      </c>
      <c r="C26" s="31">
        <f>Org_dat!B22</f>
        <v>17</v>
      </c>
      <c r="D26" s="32" t="str">
        <f>Org_dat!C22</f>
        <v>SAREZA</v>
      </c>
      <c r="E26" s="33">
        <f ca="1">OFFSET(Org_dat!$C22,0,OrgSortCriteria)</f>
        <v>71.040275587274408</v>
      </c>
      <c r="F26" s="33">
        <f t="shared" ca="1" si="8"/>
        <v>71.04027558785576</v>
      </c>
      <c r="G26" s="33">
        <f t="shared" ca="1" si="0"/>
        <v>88.440932974047769</v>
      </c>
      <c r="H26" s="31">
        <f t="shared" ca="1" si="1"/>
        <v>5</v>
      </c>
      <c r="J26" s="32" t="str">
        <f ca="1">OFFSET(Org_dat!$C$5,$H26,0)</f>
        <v>Národní divadlo Moravskoslezské</v>
      </c>
      <c r="K26" s="158">
        <f ca="1">OFFSET(Org_dat!$D$5,$H26,0)</f>
        <v>88.440932973235945</v>
      </c>
      <c r="L26" s="34">
        <f ca="1">OFFSET(Org_dat!$E$5,$H26,0)</f>
        <v>51447000</v>
      </c>
      <c r="M26" s="34">
        <f ca="1">OFFSET(Org_dat!$F$5,$H26,0)</f>
        <v>40884481.510000005</v>
      </c>
      <c r="N26" s="35">
        <f ca="1">OFFSET(Org_dat!$G$5,$H26,0)</f>
        <v>0.79469126499115605</v>
      </c>
      <c r="O26" s="35">
        <f ca="1">OFFSET(Org_dat!$H$5,$H26,0)</f>
        <v>9.8124220413000354E-2</v>
      </c>
      <c r="P26" s="34">
        <f ca="1">OFFSET(Org_dat!$I$5,$H26,0)</f>
        <v>4097988.9699999997</v>
      </c>
      <c r="Q26" s="35">
        <f ca="1">OFFSET(Org_dat!$J$5,$H26,0)</f>
        <v>7.9654575971388031E-2</v>
      </c>
      <c r="R26" s="35">
        <f ca="1">OFFSET(Org_dat!$K$5,$H26,0)</f>
        <v>0.81177282872796908</v>
      </c>
      <c r="S26" s="34">
        <f ca="1">OFFSET(Org_dat!$L$5,$H26,0)</f>
        <v>1843379.42</v>
      </c>
      <c r="T26" s="35">
        <f ca="1">OFFSET(Org_dat!$M$5,$H26,0)</f>
        <v>0.31026176109574649</v>
      </c>
      <c r="W26" s="36" t="e">
        <f ca="1">IF('II. Sledování projektu'!J28&gt;=$N$7,'II. Sledování projektu'!J28,NA())</f>
        <v>#N/A</v>
      </c>
      <c r="X26" s="36">
        <f ca="1">IF('II. Sledování projektu'!J28&lt;$N$7,'II. Sledování projektu'!J28,NA())</f>
        <v>0.79469126499115605</v>
      </c>
      <c r="Y26" s="36">
        <f t="shared" ca="1" si="2"/>
        <v>0</v>
      </c>
      <c r="Z26" s="36">
        <f t="shared" ca="1" si="3"/>
        <v>1.1797372454866928</v>
      </c>
      <c r="AB26" s="36" t="e">
        <f ca="1">IF('II. Sledování projektu'!O28&gt;=$R$8,'II. Sledování projektu'!O28,NA())</f>
        <v>#N/A</v>
      </c>
      <c r="AC26" s="36">
        <f ca="1">IF('II. Sledování projektu'!O28&lt;$R$8,'II. Sledování projektu'!O28,NA())</f>
        <v>0.81177282872796908</v>
      </c>
      <c r="AD26" s="36">
        <f t="shared" ca="1" si="4"/>
        <v>0</v>
      </c>
      <c r="AE26" s="36">
        <f t="shared" ca="1" si="5"/>
        <v>2.3130836330297102</v>
      </c>
      <c r="AG26" s="36">
        <f ca="1">IF('II. Sledování projektu'!R28&gt;=$T$7,'II. Sledování projektu'!R28,NA())</f>
        <v>0.31026176109574649</v>
      </c>
      <c r="AH26" s="36" t="e">
        <f ca="1">IF('II. Sledování projektu'!R28&lt;$T$7,'II. Sledování projektu'!R28,NA())</f>
        <v>#N/A</v>
      </c>
      <c r="AI26" s="36">
        <f t="shared" ca="1" si="6"/>
        <v>0</v>
      </c>
      <c r="AJ26" s="36">
        <f t="shared" ca="1" si="7"/>
        <v>0.87606844638229608</v>
      </c>
      <c r="AK26" s="19">
        <v>17</v>
      </c>
    </row>
    <row r="27" spans="2:37" x14ac:dyDescent="0.2">
      <c r="B27" s="342">
        <f>Org_dat!K23+(C27/100000)</f>
        <v>0.72130281947261643</v>
      </c>
      <c r="C27" s="31">
        <f>Org_dat!B23</f>
        <v>18</v>
      </c>
      <c r="D27" s="32" t="str">
        <f>Org_dat!C23</f>
        <v>VÍTKOVICE ARÉNA</v>
      </c>
      <c r="E27" s="33">
        <f ca="1">OFFSET(Org_dat!$C23,0,OrgSortCriteria)</f>
        <v>75.741791954022972</v>
      </c>
      <c r="F27" s="33">
        <f t="shared" ca="1" si="8"/>
        <v>75.741791954744272</v>
      </c>
      <c r="G27" s="33">
        <f t="shared" ca="1" si="0"/>
        <v>85.872049698430942</v>
      </c>
      <c r="H27" s="31">
        <f t="shared" ca="1" si="1"/>
        <v>39</v>
      </c>
      <c r="J27" s="32" t="str">
        <f ca="1">OFFSET(Org_dat!$C$5,$H27,0)</f>
        <v>Lidová konzervatoř</v>
      </c>
      <c r="K27" s="158">
        <f ca="1">OFFSET(Org_dat!$D$5,$H27,0)</f>
        <v>85.872049697355848</v>
      </c>
      <c r="L27" s="34">
        <f ca="1">OFFSET(Org_dat!$E$5,$H27,0)</f>
        <v>1177125</v>
      </c>
      <c r="M27" s="34">
        <f ca="1">OFFSET(Org_dat!$F$5,$H27,0)</f>
        <v>609092.73</v>
      </c>
      <c r="N27" s="35">
        <f ca="1">OFFSET(Org_dat!$G$5,$H27,0)</f>
        <v>0.51744099394711685</v>
      </c>
      <c r="O27" s="35">
        <f ca="1">OFFSET(Org_dat!$H$5,$H27,0)</f>
        <v>0.22442950595550057</v>
      </c>
      <c r="P27" s="34">
        <f ca="1">OFFSET(Org_dat!$I$5,$H27,0)</f>
        <v>283916.45999999996</v>
      </c>
      <c r="Q27" s="35">
        <f ca="1">OFFSET(Org_dat!$J$5,$H27,0)</f>
        <v>0.2411948263778273</v>
      </c>
      <c r="R27" s="35">
        <f ca="1">OFFSET(Org_dat!$K$5,$H27,0)</f>
        <v>1.0747019441625956</v>
      </c>
      <c r="S27" s="34">
        <f ca="1">OFFSET(Org_dat!$L$5,$H27,0)</f>
        <v>217255.69</v>
      </c>
      <c r="T27" s="35">
        <f ca="1">OFFSET(Org_dat!$M$5,$H27,0)</f>
        <v>0.43349513734951156</v>
      </c>
      <c r="W27" s="36" t="e">
        <f ca="1">IF('II. Sledování projektu'!J29&gt;=$N$7,'II. Sledování projektu'!J29,NA())</f>
        <v>#N/A</v>
      </c>
      <c r="X27" s="36">
        <f ca="1">IF('II. Sledování projektu'!J29&lt;$N$7,'II. Sledování projektu'!J29,NA())</f>
        <v>0.51744099394711685</v>
      </c>
      <c r="Y27" s="36">
        <f t="shared" ca="1" si="2"/>
        <v>0</v>
      </c>
      <c r="Z27" s="36">
        <f t="shared" ca="1" si="3"/>
        <v>1.1797372454866928</v>
      </c>
      <c r="AB27" s="36">
        <f ca="1">IF('II. Sledování projektu'!O29&gt;=$R$8,'II. Sledování projektu'!O29,NA())</f>
        <v>1.0747019441625956</v>
      </c>
      <c r="AC27" s="36" t="e">
        <f ca="1">IF('II. Sledování projektu'!O29&lt;$R$8,'II. Sledování projektu'!O29,NA())</f>
        <v>#N/A</v>
      </c>
      <c r="AD27" s="36">
        <f t="shared" ca="1" si="4"/>
        <v>0</v>
      </c>
      <c r="AE27" s="36">
        <f t="shared" ca="1" si="5"/>
        <v>2.3130836330297102</v>
      </c>
      <c r="AG27" s="36">
        <f ca="1">IF('II. Sledování projektu'!R29&gt;=$T$7,'II. Sledování projektu'!R29,NA())</f>
        <v>0.43349513734951156</v>
      </c>
      <c r="AH27" s="36" t="e">
        <f ca="1">IF('II. Sledování projektu'!R29&lt;$T$7,'II. Sledování projektu'!R29,NA())</f>
        <v>#N/A</v>
      </c>
      <c r="AI27" s="36">
        <f t="shared" ca="1" si="6"/>
        <v>0</v>
      </c>
      <c r="AJ27" s="36">
        <f t="shared" ca="1" si="7"/>
        <v>0.87606844638229608</v>
      </c>
      <c r="AK27" s="19">
        <v>18</v>
      </c>
    </row>
    <row r="28" spans="2:37" x14ac:dyDescent="0.2">
      <c r="B28" s="342">
        <f>Org_dat!K24+(C28/100000)</f>
        <v>0.68866987279141056</v>
      </c>
      <c r="C28" s="31">
        <f>Org_dat!B24</f>
        <v>19</v>
      </c>
      <c r="D28" s="32" t="str">
        <f>Org_dat!C24</f>
        <v>ZOO Ostrava</v>
      </c>
      <c r="E28" s="33">
        <f ca="1">OFFSET(Org_dat!$C24,0,OrgSortCriteria)</f>
        <v>52.839160076495837</v>
      </c>
      <c r="F28" s="33">
        <f t="shared" ca="1" si="8"/>
        <v>52.839160077184509</v>
      </c>
      <c r="G28" s="33">
        <f t="shared" ca="1" si="0"/>
        <v>85.703506550433247</v>
      </c>
      <c r="H28" s="31">
        <f t="shared" ca="1" si="1"/>
        <v>36</v>
      </c>
      <c r="J28" s="32" t="str">
        <f ca="1">OFFSET(Org_dat!$C$5,$H28,0)</f>
        <v>Krematorium Ostrava</v>
      </c>
      <c r="K28" s="158">
        <f ca="1">OFFSET(Org_dat!$D$5,$H28,0)</f>
        <v>85.703506549545381</v>
      </c>
      <c r="L28" s="34">
        <f ca="1">OFFSET(Org_dat!$E$5,$H28,0)</f>
        <v>3244500</v>
      </c>
      <c r="M28" s="34">
        <f ca="1">OFFSET(Org_dat!$F$5,$H28,0)</f>
        <v>2105906.86</v>
      </c>
      <c r="N28" s="35">
        <f ca="1">OFFSET(Org_dat!$G$5,$H28,0)</f>
        <v>0.64906976729850507</v>
      </c>
      <c r="O28" s="35">
        <f ca="1">OFFSET(Org_dat!$H$5,$H28,0)</f>
        <v>0.3</v>
      </c>
      <c r="P28" s="34">
        <f ca="1">OFFSET(Org_dat!$I$5,$H28,0)</f>
        <v>863848.42</v>
      </c>
      <c r="Q28" s="35">
        <f ca="1">OFFSET(Org_dat!$J$5,$H28,0)</f>
        <v>0.26625009092310065</v>
      </c>
      <c r="R28" s="35">
        <f ca="1">OFFSET(Org_dat!$K$5,$H28,0)</f>
        <v>0.88750030307700212</v>
      </c>
      <c r="S28" s="34">
        <f ca="1">OFFSET(Org_dat!$L$5,$H28,0)</f>
        <v>376370.81</v>
      </c>
      <c r="T28" s="35">
        <f ca="1">OFFSET(Org_dat!$M$5,$H28,0)</f>
        <v>0.30347119355664243</v>
      </c>
      <c r="W28" s="36" t="e">
        <f ca="1">IF('II. Sledování projektu'!J30&gt;=$N$7,'II. Sledování projektu'!J30,NA())</f>
        <v>#N/A</v>
      </c>
      <c r="X28" s="36">
        <f ca="1">IF('II. Sledování projektu'!J30&lt;$N$7,'II. Sledování projektu'!J30,NA())</f>
        <v>0.64906976729850507</v>
      </c>
      <c r="Y28" s="36">
        <f t="shared" ca="1" si="2"/>
        <v>0</v>
      </c>
      <c r="Z28" s="36">
        <f t="shared" ca="1" si="3"/>
        <v>1.1797372454866928</v>
      </c>
      <c r="AB28" s="36" t="e">
        <f ca="1">IF('II. Sledování projektu'!O30&gt;=$R$8,'II. Sledování projektu'!O30,NA())</f>
        <v>#N/A</v>
      </c>
      <c r="AC28" s="36">
        <f ca="1">IF('II. Sledování projektu'!O30&lt;$R$8,'II. Sledování projektu'!O30,NA())</f>
        <v>0.88750030307700212</v>
      </c>
      <c r="AD28" s="36">
        <f t="shared" ca="1" si="4"/>
        <v>0</v>
      </c>
      <c r="AE28" s="36">
        <f t="shared" ca="1" si="5"/>
        <v>2.3130836330297102</v>
      </c>
      <c r="AG28" s="36">
        <f ca="1">IF('II. Sledování projektu'!R30&gt;=$T$7,'II. Sledování projektu'!R30,NA())</f>
        <v>0.30347119355664243</v>
      </c>
      <c r="AH28" s="36" t="e">
        <f ca="1">IF('II. Sledování projektu'!R30&lt;$T$7,'II. Sledování projektu'!R30,NA())</f>
        <v>#N/A</v>
      </c>
      <c r="AI28" s="36">
        <f t="shared" ca="1" si="6"/>
        <v>0</v>
      </c>
      <c r="AJ28" s="36">
        <f t="shared" ca="1" si="7"/>
        <v>0.87606844638229608</v>
      </c>
      <c r="AK28" s="19">
        <v>19</v>
      </c>
    </row>
    <row r="29" spans="2:37" x14ac:dyDescent="0.2">
      <c r="B29" s="342">
        <f>Org_dat!K25+(C29/100000)</f>
        <v>0.53865002552059871</v>
      </c>
      <c r="C29" s="31">
        <f>Org_dat!B25</f>
        <v>20</v>
      </c>
      <c r="D29" s="32" t="str">
        <f>Org_dat!C25</f>
        <v>ZŠ a MŠ MO a Přívoz, Ostrčilova</v>
      </c>
      <c r="E29" s="33">
        <f ca="1">OFFSET(Org_dat!$C25,0,OrgSortCriteria)</f>
        <v>49.727549463895855</v>
      </c>
      <c r="F29" s="33">
        <f t="shared" ca="1" si="8"/>
        <v>49.727549464434503</v>
      </c>
      <c r="G29" s="33">
        <f t="shared" ca="1" si="0"/>
        <v>85.348248469830679</v>
      </c>
      <c r="H29" s="31">
        <f t="shared" ca="1" si="1"/>
        <v>13</v>
      </c>
      <c r="J29" s="32" t="str">
        <f ca="1">OFFSET(Org_dat!$C$5,$H29,0)</f>
        <v>Domov Magnolie</v>
      </c>
      <c r="K29" s="158">
        <f ca="1">OFFSET(Org_dat!$D$5,$H29,0)</f>
        <v>85.348248469026771</v>
      </c>
      <c r="L29" s="34">
        <f ca="1">OFFSET(Org_dat!$E$5,$H29,0)</f>
        <v>5424750</v>
      </c>
      <c r="M29" s="34">
        <f ca="1">OFFSET(Org_dat!$F$5,$H29,0)</f>
        <v>4027497.3</v>
      </c>
      <c r="N29" s="35">
        <f ca="1">OFFSET(Org_dat!$G$5,$H29,0)</f>
        <v>0.74243002903359601</v>
      </c>
      <c r="O29" s="35">
        <f ca="1">OFFSET(Org_dat!$H$5,$H29,0)</f>
        <v>0.51</v>
      </c>
      <c r="P29" s="34">
        <f ca="1">OFFSET(Org_dat!$I$5,$H29,0)</f>
        <v>2223753.39</v>
      </c>
      <c r="Q29" s="35">
        <f ca="1">OFFSET(Org_dat!$J$5,$H29,0)</f>
        <v>0.4099273496474492</v>
      </c>
      <c r="R29" s="35">
        <f ca="1">OFFSET(Org_dat!$K$5,$H29,0)</f>
        <v>0.80377911695578275</v>
      </c>
      <c r="S29" s="34">
        <f ca="1">OFFSET(Org_dat!$L$5,$H29,0)</f>
        <v>1282627.26</v>
      </c>
      <c r="T29" s="35">
        <f ca="1">OFFSET(Org_dat!$M$5,$H29,0)</f>
        <v>0.36579806587741692</v>
      </c>
      <c r="W29" s="36" t="e">
        <f ca="1">IF('II. Sledování projektu'!J31&gt;=$N$7,'II. Sledování projektu'!J31,NA())</f>
        <v>#N/A</v>
      </c>
      <c r="X29" s="36">
        <f ca="1">IF('II. Sledování projektu'!J31&lt;$N$7,'II. Sledování projektu'!J31,NA())</f>
        <v>0.74243002903359601</v>
      </c>
      <c r="Y29" s="36">
        <f t="shared" ca="1" si="2"/>
        <v>0</v>
      </c>
      <c r="Z29" s="36">
        <f t="shared" ca="1" si="3"/>
        <v>1.1797372454866928</v>
      </c>
      <c r="AB29" s="36" t="e">
        <f ca="1">IF('II. Sledování projektu'!O31&gt;=$R$8,'II. Sledování projektu'!O31,NA())</f>
        <v>#N/A</v>
      </c>
      <c r="AC29" s="36">
        <f ca="1">IF('II. Sledování projektu'!O31&lt;$R$8,'II. Sledování projektu'!O31,NA())</f>
        <v>0.80377911695578275</v>
      </c>
      <c r="AD29" s="36">
        <f t="shared" ca="1" si="4"/>
        <v>0</v>
      </c>
      <c r="AE29" s="36">
        <f t="shared" ca="1" si="5"/>
        <v>2.3130836330297102</v>
      </c>
      <c r="AG29" s="36">
        <f ca="1">IF('II. Sledování projektu'!R31&gt;=$T$7,'II. Sledování projektu'!R31,NA())</f>
        <v>0.36579806587741692</v>
      </c>
      <c r="AH29" s="36" t="e">
        <f ca="1">IF('II. Sledování projektu'!R31&lt;$T$7,'II. Sledování projektu'!R31,NA())</f>
        <v>#N/A</v>
      </c>
      <c r="AI29" s="36">
        <f t="shared" ca="1" si="6"/>
        <v>0</v>
      </c>
      <c r="AJ29" s="36">
        <f t="shared" ca="1" si="7"/>
        <v>0.87606844638229608</v>
      </c>
      <c r="AK29" s="19">
        <v>20</v>
      </c>
    </row>
    <row r="30" spans="2:37" x14ac:dyDescent="0.2">
      <c r="B30" s="342">
        <f>Org_dat!K26+(C30/100000)</f>
        <v>9.2148451048346777E-2</v>
      </c>
      <c r="C30" s="31">
        <f>Org_dat!B26</f>
        <v>21</v>
      </c>
      <c r="D30" s="32" t="str">
        <f>Org_dat!C26</f>
        <v>ZŠ a MŠ O-Bělský Les</v>
      </c>
      <c r="E30" s="33">
        <f ca="1">OFFSET(Org_dat!$C26,0,OrgSortCriteria)</f>
        <v>18.984317718863295</v>
      </c>
      <c r="F30" s="33">
        <f t="shared" ca="1" si="8"/>
        <v>18.984317718955442</v>
      </c>
      <c r="G30" s="33">
        <f t="shared" ca="1" si="0"/>
        <v>84.996199673136431</v>
      </c>
      <c r="H30" s="31">
        <f t="shared" ca="1" si="1"/>
        <v>95</v>
      </c>
      <c r="J30" s="32" t="str">
        <f ca="1">OFFSET(Org_dat!$C$5,$H30,0)</f>
        <v>Středisko volného času Ostrava</v>
      </c>
      <c r="K30" s="158">
        <f ca="1">OFFSET(Org_dat!$D$5,$H30,0)</f>
        <v>84.996199672385544</v>
      </c>
      <c r="L30" s="34">
        <f ca="1">OFFSET(Org_dat!$E$5,$H30,0)</f>
        <v>2485500</v>
      </c>
      <c r="M30" s="34">
        <f ca="1">OFFSET(Org_dat!$F$5,$H30,0)</f>
        <v>2703588.77</v>
      </c>
      <c r="N30" s="35">
        <f ca="1">OFFSET(Org_dat!$G$5,$H30,0)</f>
        <v>1.0877444256688795</v>
      </c>
      <c r="O30" s="35">
        <f ca="1">OFFSET(Org_dat!$H$5,$H30,0)</f>
        <v>0.14000000000000001</v>
      </c>
      <c r="P30" s="34">
        <f ca="1">OFFSET(Org_dat!$I$5,$H30,0)</f>
        <v>260955.46000000002</v>
      </c>
      <c r="Q30" s="35">
        <f ca="1">OFFSET(Org_dat!$J$5,$H30,0)</f>
        <v>0.10499113256889962</v>
      </c>
      <c r="R30" s="35">
        <f ca="1">OFFSET(Org_dat!$K$5,$H30,0)</f>
        <v>0.74993666120642577</v>
      </c>
      <c r="S30" s="34">
        <f ca="1">OFFSET(Org_dat!$L$5,$H30,0)</f>
        <v>83080.350000000006</v>
      </c>
      <c r="T30" s="35">
        <f ca="1">OFFSET(Org_dat!$M$5,$H30,0)</f>
        <v>0.2414875067801808</v>
      </c>
      <c r="W30" s="36">
        <f ca="1">IF('II. Sledování projektu'!J32&gt;=$N$7,'II. Sledování projektu'!J32,NA())</f>
        <v>1.0877444256688795</v>
      </c>
      <c r="X30" s="36" t="e">
        <f ca="1">IF('II. Sledování projektu'!J32&lt;$N$7,'II. Sledování projektu'!J32,NA())</f>
        <v>#N/A</v>
      </c>
      <c r="Y30" s="36">
        <f t="shared" ca="1" si="2"/>
        <v>0</v>
      </c>
      <c r="Z30" s="36">
        <f t="shared" ca="1" si="3"/>
        <v>1.1797372454866928</v>
      </c>
      <c r="AB30" s="36" t="e">
        <f ca="1">IF('II. Sledování projektu'!O32&gt;=$R$8,'II. Sledování projektu'!O32,NA())</f>
        <v>#N/A</v>
      </c>
      <c r="AC30" s="36">
        <f ca="1">IF('II. Sledování projektu'!O32&lt;$R$8,'II. Sledování projektu'!O32,NA())</f>
        <v>0.74993666120642577</v>
      </c>
      <c r="AD30" s="36">
        <f t="shared" ca="1" si="4"/>
        <v>0</v>
      </c>
      <c r="AE30" s="36">
        <f t="shared" ca="1" si="5"/>
        <v>2.3130836330297102</v>
      </c>
      <c r="AG30" s="36">
        <f ca="1">IF('II. Sledování projektu'!R32&gt;=$T$7,'II. Sledování projektu'!R32,NA())</f>
        <v>0.2414875067801808</v>
      </c>
      <c r="AH30" s="36" t="e">
        <f ca="1">IF('II. Sledování projektu'!R32&lt;$T$7,'II. Sledování projektu'!R32,NA())</f>
        <v>#N/A</v>
      </c>
      <c r="AI30" s="36">
        <f t="shared" ca="1" si="6"/>
        <v>0</v>
      </c>
      <c r="AJ30" s="36">
        <f t="shared" ca="1" si="7"/>
        <v>0.87606844638229608</v>
      </c>
      <c r="AK30" s="19">
        <v>21</v>
      </c>
    </row>
    <row r="31" spans="2:37" x14ac:dyDescent="0.2">
      <c r="B31" s="342">
        <f>Org_dat!K27+(C31/100000)</f>
        <v>0.4051225962714462</v>
      </c>
      <c r="C31" s="31">
        <f>Org_dat!B27</f>
        <v>22</v>
      </c>
      <c r="D31" s="32" t="str">
        <f>Org_dat!C27</f>
        <v>ZŠ a MŠ O-Hrabůvka, A.Kučery</v>
      </c>
      <c r="E31" s="33">
        <f ca="1">OFFSET(Org_dat!$C27,0,OrgSortCriteria)</f>
        <v>39.976073962703225</v>
      </c>
      <c r="F31" s="33">
        <f t="shared" ca="1" si="8"/>
        <v>39.976073963108348</v>
      </c>
      <c r="G31" s="33">
        <f t="shared" ca="1" si="0"/>
        <v>84.792244170985796</v>
      </c>
      <c r="H31" s="31">
        <f t="shared" ca="1" si="1"/>
        <v>64</v>
      </c>
      <c r="J31" s="32" t="str">
        <f ca="1">OFFSET(Org_dat!$C$5,$H31,0)</f>
        <v>MŠ O-Poruba, Dětská</v>
      </c>
      <c r="K31" s="158">
        <f ca="1">OFFSET(Org_dat!$D$5,$H31,0)</f>
        <v>84.792244170143832</v>
      </c>
      <c r="L31" s="34">
        <f ca="1">OFFSET(Org_dat!$E$5,$H31,0)</f>
        <v>1803659.7749999999</v>
      </c>
      <c r="M31" s="34">
        <f ca="1">OFFSET(Org_dat!$F$5,$H31,0)</f>
        <v>1237757.9300000002</v>
      </c>
      <c r="N31" s="35">
        <f ca="1">OFFSET(Org_dat!$G$5,$H31,0)</f>
        <v>0.6862480092732568</v>
      </c>
      <c r="O31" s="35">
        <f ca="1">OFFSET(Org_dat!$H$5,$H31,0)</f>
        <v>0.23039999999999999</v>
      </c>
      <c r="P31" s="34">
        <f ca="1">OFFSET(Org_dat!$I$5,$H31,0)</f>
        <v>349626.10000000003</v>
      </c>
      <c r="Q31" s="35">
        <f ca="1">OFFSET(Org_dat!$J$5,$H31,0)</f>
        <v>0.19384259983288701</v>
      </c>
      <c r="R31" s="35">
        <f ca="1">OFFSET(Org_dat!$K$5,$H31,0)</f>
        <v>0.84133072844134993</v>
      </c>
      <c r="S31" s="34">
        <f ca="1">OFFSET(Org_dat!$L$5,$H31,0)</f>
        <v>117908.22</v>
      </c>
      <c r="T31" s="35">
        <f ca="1">OFFSET(Org_dat!$M$5,$H31,0)</f>
        <v>0.2521915824275745</v>
      </c>
      <c r="W31" s="36" t="e">
        <f ca="1">IF('II. Sledování projektu'!J33&gt;=$N$7,'II. Sledování projektu'!J33,NA())</f>
        <v>#N/A</v>
      </c>
      <c r="X31" s="36">
        <f ca="1">IF('II. Sledování projektu'!J33&lt;$N$7,'II. Sledování projektu'!J33,NA())</f>
        <v>0.6862480092732568</v>
      </c>
      <c r="Y31" s="36">
        <f t="shared" ca="1" si="2"/>
        <v>0</v>
      </c>
      <c r="Z31" s="36">
        <f t="shared" ca="1" si="3"/>
        <v>1.1797372454866928</v>
      </c>
      <c r="AB31" s="36" t="e">
        <f ca="1">IF('II. Sledování projektu'!O33&gt;=$R$8,'II. Sledování projektu'!O33,NA())</f>
        <v>#N/A</v>
      </c>
      <c r="AC31" s="36">
        <f ca="1">IF('II. Sledování projektu'!O33&lt;$R$8,'II. Sledování projektu'!O33,NA())</f>
        <v>0.84133072844134993</v>
      </c>
      <c r="AD31" s="36">
        <f t="shared" ca="1" si="4"/>
        <v>0</v>
      </c>
      <c r="AE31" s="36">
        <f t="shared" ca="1" si="5"/>
        <v>2.3130836330297102</v>
      </c>
      <c r="AG31" s="36">
        <f ca="1">IF('II. Sledování projektu'!R33&gt;=$T$7,'II. Sledování projektu'!R33,NA())</f>
        <v>0.2521915824275745</v>
      </c>
      <c r="AH31" s="36" t="e">
        <f ca="1">IF('II. Sledování projektu'!R33&lt;$T$7,'II. Sledování projektu'!R33,NA())</f>
        <v>#N/A</v>
      </c>
      <c r="AI31" s="36">
        <f t="shared" ca="1" si="6"/>
        <v>0</v>
      </c>
      <c r="AJ31" s="36">
        <f t="shared" ca="1" si="7"/>
        <v>0.87606844638229608</v>
      </c>
      <c r="AK31" s="19">
        <v>22</v>
      </c>
    </row>
    <row r="32" spans="2:37" x14ac:dyDescent="0.2">
      <c r="B32" s="342">
        <f>Org_dat!K28+(C32/100000)</f>
        <v>1.1621177200269224</v>
      </c>
      <c r="C32" s="31">
        <f>Org_dat!B28</f>
        <v>23</v>
      </c>
      <c r="D32" s="32" t="str">
        <f>Org_dat!C28</f>
        <v>ZŠ MO a Přívoz, Matiční</v>
      </c>
      <c r="E32" s="33">
        <f ca="1">OFFSET(Org_dat!$C28,0,OrgSortCriteria)</f>
        <v>89.989191361984183</v>
      </c>
      <c r="F32" s="33">
        <f t="shared" ca="1" si="8"/>
        <v>89.989191363146304</v>
      </c>
      <c r="G32" s="33">
        <f t="shared" ca="1" si="0"/>
        <v>84.513691007387536</v>
      </c>
      <c r="H32" s="31">
        <f t="shared" ca="1" si="1"/>
        <v>43</v>
      </c>
      <c r="J32" s="32" t="str">
        <f ca="1">OFFSET(Org_dat!$C$5,$H32,0)</f>
        <v>MŠ Čs.exilu</v>
      </c>
      <c r="K32" s="158">
        <f ca="1">OFFSET(Org_dat!$D$5,$H32,0)</f>
        <v>84.51369100638702</v>
      </c>
      <c r="L32" s="34">
        <f ca="1">OFFSET(Org_dat!$E$5,$H32,0)</f>
        <v>1448250</v>
      </c>
      <c r="M32" s="34">
        <f ca="1">OFFSET(Org_dat!$F$5,$H32,0)</f>
        <v>710039.06</v>
      </c>
      <c r="N32" s="35">
        <f ca="1">OFFSET(Org_dat!$G$5,$H32,0)</f>
        <v>0.4902738201277404</v>
      </c>
      <c r="O32" s="35">
        <f ca="1">OFFSET(Org_dat!$H$5,$H32,0)</f>
        <v>0.2276</v>
      </c>
      <c r="P32" s="34">
        <f ca="1">OFFSET(Org_dat!$I$5,$H32,0)</f>
        <v>329651.03000000003</v>
      </c>
      <c r="Q32" s="35">
        <f ca="1">OFFSET(Org_dat!$J$5,$H32,0)</f>
        <v>0.22762025202831004</v>
      </c>
      <c r="R32" s="35">
        <f ca="1">OFFSET(Org_dat!$K$5,$H32,0)</f>
        <v>1.0000889807922233</v>
      </c>
      <c r="S32" s="34">
        <f ca="1">OFFSET(Org_dat!$L$5,$H32,0)</f>
        <v>99004.040000000008</v>
      </c>
      <c r="T32" s="35">
        <f ca="1">OFFSET(Org_dat!$M$5,$H32,0)</f>
        <v>0.230964350894065</v>
      </c>
      <c r="W32" s="36" t="e">
        <f ca="1">IF('II. Sledování projektu'!J34&gt;=$N$7,'II. Sledování projektu'!J34,NA())</f>
        <v>#N/A</v>
      </c>
      <c r="X32" s="36">
        <f ca="1">IF('II. Sledování projektu'!J34&lt;$N$7,'II. Sledování projektu'!J34,NA())</f>
        <v>0.4902738201277404</v>
      </c>
      <c r="Y32" s="36">
        <f t="shared" ca="1" si="2"/>
        <v>0</v>
      </c>
      <c r="Z32" s="36">
        <f t="shared" ca="1" si="3"/>
        <v>1.1797372454866928</v>
      </c>
      <c r="AB32" s="36">
        <f ca="1">IF('II. Sledování projektu'!O34&gt;=$R$8,'II. Sledování projektu'!O34,NA())</f>
        <v>1.0000889807922233</v>
      </c>
      <c r="AC32" s="36" t="e">
        <f ca="1">IF('II. Sledování projektu'!O34&lt;$R$8,'II. Sledování projektu'!O34,NA())</f>
        <v>#N/A</v>
      </c>
      <c r="AD32" s="36">
        <f t="shared" ca="1" si="4"/>
        <v>0</v>
      </c>
      <c r="AE32" s="36">
        <f t="shared" ca="1" si="5"/>
        <v>2.3130836330297102</v>
      </c>
      <c r="AG32" s="36">
        <f ca="1">IF('II. Sledování projektu'!R34&gt;=$T$7,'II. Sledování projektu'!R34,NA())</f>
        <v>0.230964350894065</v>
      </c>
      <c r="AH32" s="36" t="e">
        <f ca="1">IF('II. Sledování projektu'!R34&lt;$T$7,'II. Sledování projektu'!R34,NA())</f>
        <v>#N/A</v>
      </c>
      <c r="AI32" s="36">
        <f t="shared" ca="1" si="6"/>
        <v>0</v>
      </c>
      <c r="AJ32" s="36">
        <f t="shared" ca="1" si="7"/>
        <v>0.87606844638229608</v>
      </c>
      <c r="AK32" s="19">
        <v>23</v>
      </c>
    </row>
    <row r="33" spans="2:37" x14ac:dyDescent="0.2">
      <c r="B33" s="342">
        <f>Org_dat!K29+(C33/100000)</f>
        <v>0.78720563173600266</v>
      </c>
      <c r="C33" s="31">
        <f>Org_dat!B29</f>
        <v>24</v>
      </c>
      <c r="D33" s="32" t="str">
        <f>Org_dat!C29</f>
        <v>Centrum sociálních služeb Poruba</v>
      </c>
      <c r="E33" s="33">
        <f ca="1">OFFSET(Org_dat!$C29,0,OrgSortCriteria)</f>
        <v>82.136481123205414</v>
      </c>
      <c r="F33" s="33">
        <f t="shared" ca="1" si="8"/>
        <v>82.136481123992624</v>
      </c>
      <c r="G33" s="33">
        <f t="shared" ca="1" si="0"/>
        <v>84.375696654545621</v>
      </c>
      <c r="H33" s="31">
        <f t="shared" ca="1" si="1"/>
        <v>67</v>
      </c>
      <c r="J33" s="32" t="str">
        <f ca="1">OFFSET(Org_dat!$C$5,$H33,0)</f>
        <v>MŠ O-Poruba, Nezvalovo nám.</v>
      </c>
      <c r="K33" s="158">
        <f ca="1">OFFSET(Org_dat!$D$5,$H33,0)</f>
        <v>84.375696653805349</v>
      </c>
      <c r="L33" s="34">
        <f ca="1">OFFSET(Org_dat!$E$5,$H33,0)</f>
        <v>2133000</v>
      </c>
      <c r="M33" s="34">
        <f ca="1">OFFSET(Org_dat!$F$5,$H33,0)</f>
        <v>2226961.7600000002</v>
      </c>
      <c r="N33" s="35">
        <f ca="1">OFFSET(Org_dat!$G$5,$H33,0)</f>
        <v>1.0440514580403188</v>
      </c>
      <c r="O33" s="35">
        <f ca="1">OFFSET(Org_dat!$H$5,$H33,0)</f>
        <v>0.14960000000000001</v>
      </c>
      <c r="P33" s="34">
        <f ca="1">OFFSET(Org_dat!$I$5,$H33,0)</f>
        <v>236002.37999999998</v>
      </c>
      <c r="Q33" s="35">
        <f ca="1">OFFSET(Org_dat!$J$5,$H33,0)</f>
        <v>0.11064340365682136</v>
      </c>
      <c r="R33" s="35">
        <f ca="1">OFFSET(Org_dat!$K$5,$H33,0)</f>
        <v>0.7395949442300892</v>
      </c>
      <c r="S33" s="34">
        <f ca="1">OFFSET(Org_dat!$L$5,$H33,0)</f>
        <v>63611.429999999993</v>
      </c>
      <c r="T33" s="35">
        <f ca="1">OFFSET(Org_dat!$M$5,$H33,0)</f>
        <v>0.21231140847613134</v>
      </c>
      <c r="W33" s="36">
        <f ca="1">IF('II. Sledování projektu'!J35&gt;=$N$7,'II. Sledování projektu'!J35,NA())</f>
        <v>1.0440514580403188</v>
      </c>
      <c r="X33" s="36" t="e">
        <f ca="1">IF('II. Sledování projektu'!J35&lt;$N$7,'II. Sledování projektu'!J35,NA())</f>
        <v>#N/A</v>
      </c>
      <c r="Y33" s="36">
        <f t="shared" ca="1" si="2"/>
        <v>0</v>
      </c>
      <c r="Z33" s="36">
        <f t="shared" ca="1" si="3"/>
        <v>1.1797372454866928</v>
      </c>
      <c r="AB33" s="36" t="e">
        <f ca="1">IF('II. Sledování projektu'!O35&gt;=$R$8,'II. Sledování projektu'!O35,NA())</f>
        <v>#N/A</v>
      </c>
      <c r="AC33" s="36">
        <f ca="1">IF('II. Sledování projektu'!O35&lt;$R$8,'II. Sledování projektu'!O35,NA())</f>
        <v>0.7395949442300892</v>
      </c>
      <c r="AD33" s="36">
        <f t="shared" ca="1" si="4"/>
        <v>0</v>
      </c>
      <c r="AE33" s="36">
        <f t="shared" ca="1" si="5"/>
        <v>2.3130836330297102</v>
      </c>
      <c r="AG33" s="36">
        <f ca="1">IF('II. Sledování projektu'!R35&gt;=$T$7,'II. Sledování projektu'!R35,NA())</f>
        <v>0.21231140847613134</v>
      </c>
      <c r="AH33" s="36" t="e">
        <f ca="1">IF('II. Sledování projektu'!R35&lt;$T$7,'II. Sledování projektu'!R35,NA())</f>
        <v>#N/A</v>
      </c>
      <c r="AI33" s="36">
        <f t="shared" ca="1" si="6"/>
        <v>0</v>
      </c>
      <c r="AJ33" s="36">
        <f t="shared" ca="1" si="7"/>
        <v>0.87606844638229608</v>
      </c>
      <c r="AK33" s="19">
        <v>24</v>
      </c>
    </row>
    <row r="34" spans="2:37" x14ac:dyDescent="0.2">
      <c r="B34" s="342">
        <f>Org_dat!K30+(C34/100000)</f>
        <v>0.76497037705583104</v>
      </c>
      <c r="C34" s="31">
        <f>Org_dat!B30</f>
        <v>25</v>
      </c>
      <c r="D34" s="32" t="str">
        <f>Org_dat!C30</f>
        <v>DK POKLAD</v>
      </c>
      <c r="E34" s="33">
        <f ca="1">OFFSET(Org_dat!$C30,0,OrgSortCriteria)</f>
        <v>45.883222623349866</v>
      </c>
      <c r="F34" s="33">
        <f t="shared" ca="1" si="8"/>
        <v>45.883222624114836</v>
      </c>
      <c r="G34" s="33">
        <f t="shared" ca="1" si="0"/>
        <v>83.029142136426671</v>
      </c>
      <c r="H34" s="31">
        <f t="shared" ca="1" si="1"/>
        <v>154</v>
      </c>
      <c r="J34" s="32" t="str">
        <f ca="1">OFFSET(Org_dat!$C$5,$H34,0)</f>
        <v>ZŠ O-Poruba, Dětská</v>
      </c>
      <c r="K34" s="158">
        <f ca="1">OFFSET(Org_dat!$D$5,$H34,0)</f>
        <v>83.02914213543383</v>
      </c>
      <c r="L34" s="34">
        <f ca="1">OFFSET(Org_dat!$E$5,$H34,0)</f>
        <v>1383750</v>
      </c>
      <c r="M34" s="34">
        <f ca="1">OFFSET(Org_dat!$F$5,$H34,0)</f>
        <v>651775.05999999994</v>
      </c>
      <c r="N34" s="35">
        <f ca="1">OFFSET(Org_dat!$G$5,$H34,0)</f>
        <v>0.47102082023486896</v>
      </c>
      <c r="O34" s="35">
        <f ca="1">OFFSET(Org_dat!$H$5,$H34,0)</f>
        <v>6.4199999999999993E-2</v>
      </c>
      <c r="P34" s="34">
        <f ca="1">OFFSET(Org_dat!$I$5,$H34,0)</f>
        <v>88064.02</v>
      </c>
      <c r="Q34" s="35">
        <f ca="1">OFFSET(Org_dat!$J$5,$H34,0)</f>
        <v>6.3641568202348689E-2</v>
      </c>
      <c r="R34" s="35">
        <f ca="1">OFFSET(Org_dat!$K$5,$H34,0)</f>
        <v>0.99130168539483965</v>
      </c>
      <c r="S34" s="34">
        <f ca="1">OFFSET(Org_dat!$L$5,$H34,0)</f>
        <v>61359.98</v>
      </c>
      <c r="T34" s="35">
        <f ca="1">OFFSET(Org_dat!$M$5,$H34,0)</f>
        <v>0.41064340400471144</v>
      </c>
      <c r="W34" s="37" t="e">
        <f ca="1">IF('II. Sledování projektu'!J36&gt;=$N$7,'II. Sledování projektu'!J36,NA())</f>
        <v>#N/A</v>
      </c>
      <c r="X34" s="37">
        <f ca="1">IF('II. Sledování projektu'!J36&lt;$N$7,'II. Sledování projektu'!J36,NA())</f>
        <v>0.47102082023486896</v>
      </c>
      <c r="Y34" s="37">
        <f t="shared" ca="1" si="2"/>
        <v>0</v>
      </c>
      <c r="Z34" s="37">
        <f t="shared" ca="1" si="3"/>
        <v>1.1797372454866928</v>
      </c>
      <c r="AB34" s="37" t="e">
        <f ca="1">IF('II. Sledování projektu'!O36&gt;=$R$8,'II. Sledování projektu'!O36,NA())</f>
        <v>#N/A</v>
      </c>
      <c r="AC34" s="37">
        <f ca="1">IF('II. Sledování projektu'!O36&lt;$R$8,'II. Sledování projektu'!O36,NA())</f>
        <v>0.99130168539483965</v>
      </c>
      <c r="AD34" s="37">
        <f t="shared" ca="1" si="4"/>
        <v>0</v>
      </c>
      <c r="AE34" s="37">
        <f t="shared" ca="1" si="5"/>
        <v>2.3130836330297102</v>
      </c>
      <c r="AG34" s="37">
        <f ca="1">IF('II. Sledování projektu'!R36&gt;=$T$7,'II. Sledování projektu'!R36,NA())</f>
        <v>0.41064340400471144</v>
      </c>
      <c r="AH34" s="37" t="e">
        <f ca="1">IF('II. Sledování projektu'!R36&lt;$T$7,'II. Sledování projektu'!R36,NA())</f>
        <v>#N/A</v>
      </c>
      <c r="AI34" s="37">
        <f t="shared" ca="1" si="6"/>
        <v>0</v>
      </c>
      <c r="AJ34" s="37">
        <f t="shared" ca="1" si="7"/>
        <v>0.87606844638229608</v>
      </c>
      <c r="AK34" s="19">
        <v>25</v>
      </c>
    </row>
    <row r="35" spans="2:37" x14ac:dyDescent="0.2">
      <c r="B35" s="342">
        <f>Org_dat!K31+(C35/100000)</f>
        <v>0.87710215411516712</v>
      </c>
      <c r="C35" s="31">
        <f>Org_dat!B31</f>
        <v>26</v>
      </c>
      <c r="D35" s="32" t="str">
        <f>Org_dat!C31</f>
        <v>Domov Sluníčko</v>
      </c>
      <c r="E35" s="33">
        <f ca="1">OFFSET(Org_dat!$C31,0,OrgSortCriteria)</f>
        <v>88.870863209015994</v>
      </c>
      <c r="F35" s="33">
        <f t="shared" ca="1" si="8"/>
        <v>88.870863209893102</v>
      </c>
      <c r="G35" s="33">
        <f t="shared" ca="1" si="0"/>
        <v>82.665693732950189</v>
      </c>
      <c r="H35" s="31">
        <f t="shared" ca="1" si="1"/>
        <v>127</v>
      </c>
      <c r="J35" s="32" t="str">
        <f ca="1">OFFSET(Org_dat!$C$5,$H35,0)</f>
        <v>ZŠ a MŠ O-Hrabůvka, Krestova</v>
      </c>
      <c r="K35" s="158">
        <f ca="1">OFFSET(Org_dat!$D$5,$H35,0)</f>
        <v>82.665693731795045</v>
      </c>
      <c r="L35" s="34">
        <f ca="1">OFFSET(Org_dat!$E$5,$H35,0)</f>
        <v>4823550</v>
      </c>
      <c r="M35" s="34">
        <f ca="1">OFFSET(Org_dat!$F$5,$H35,0)</f>
        <v>2186582.1399999997</v>
      </c>
      <c r="N35" s="35">
        <f ca="1">OFFSET(Org_dat!$G$5,$H35,0)</f>
        <v>0.45331387463590089</v>
      </c>
      <c r="O35" s="35">
        <f ca="1">OFFSET(Org_dat!$H$5,$H35,0)</f>
        <v>0.23280000000000001</v>
      </c>
      <c r="P35" s="34">
        <f ca="1">OFFSET(Org_dat!$I$5,$H35,0)</f>
        <v>1295705.54</v>
      </c>
      <c r="Q35" s="35">
        <f ca="1">OFFSET(Org_dat!$J$5,$H35,0)</f>
        <v>0.26862073369199035</v>
      </c>
      <c r="R35" s="35">
        <f ca="1">OFFSET(Org_dat!$K$5,$H35,0)</f>
        <v>1.1538691309793401</v>
      </c>
      <c r="S35" s="34">
        <f ca="1">OFFSET(Org_dat!$L$5,$H35,0)</f>
        <v>224624.46000000002</v>
      </c>
      <c r="T35" s="35">
        <f ca="1">OFFSET(Org_dat!$M$5,$H35,0)</f>
        <v>0.14774717331105749</v>
      </c>
    </row>
    <row r="36" spans="2:37" x14ac:dyDescent="0.2">
      <c r="B36" s="342">
        <f>Org_dat!K32+(C36/100000)</f>
        <v>0.75037490208204494</v>
      </c>
      <c r="C36" s="31">
        <f>Org_dat!B32</f>
        <v>27</v>
      </c>
      <c r="D36" s="32" t="str">
        <f>Org_dat!C32</f>
        <v>Domov Slunovrat</v>
      </c>
      <c r="E36" s="33">
        <f ca="1">OFFSET(Org_dat!$C32,0,OrgSortCriteria)</f>
        <v>70.434719486228062</v>
      </c>
      <c r="F36" s="33">
        <f t="shared" ca="1" si="8"/>
        <v>70.434719486978437</v>
      </c>
      <c r="G36" s="33">
        <f t="shared" ca="1" si="0"/>
        <v>82.441073224365283</v>
      </c>
      <c r="H36" s="31">
        <f t="shared" ca="1" si="1"/>
        <v>169</v>
      </c>
      <c r="J36" s="32" t="str">
        <f ca="1">OFFSET(Org_dat!$C$5,$H36,0)</f>
        <v>ZŠ Ostrava, Gen.Píky</v>
      </c>
      <c r="K36" s="158">
        <f ca="1">OFFSET(Org_dat!$D$5,$H36,0)</f>
        <v>82.44107322359099</v>
      </c>
      <c r="L36" s="34">
        <f ca="1">OFFSET(Org_dat!$E$5,$H36,0)</f>
        <v>3966000</v>
      </c>
      <c r="M36" s="34">
        <f ca="1">OFFSET(Org_dat!$F$5,$H36,0)</f>
        <v>2862280.69</v>
      </c>
      <c r="N36" s="35">
        <f ca="1">OFFSET(Org_dat!$G$5,$H36,0)</f>
        <v>0.7217046621280887</v>
      </c>
      <c r="O36" s="35">
        <f ca="1">OFFSET(Org_dat!$H$5,$H36,0)</f>
        <v>5.04E-2</v>
      </c>
      <c r="P36" s="34">
        <f ca="1">OFFSET(Org_dat!$I$5,$H36,0)</f>
        <v>154431.69999999998</v>
      </c>
      <c r="Q36" s="35">
        <f ca="1">OFFSET(Org_dat!$J$5,$H36,0)</f>
        <v>3.8938905698436707E-2</v>
      </c>
      <c r="R36" s="35">
        <f ca="1">OFFSET(Org_dat!$K$5,$H36,0)</f>
        <v>0.77259733528644259</v>
      </c>
      <c r="S36" s="34">
        <f ca="1">OFFSET(Org_dat!$L$5,$H36,0)</f>
        <v>126880.18</v>
      </c>
      <c r="T36" s="35">
        <f ca="1">OFFSET(Org_dat!$M$5,$H36,0)</f>
        <v>0.45103029420584723</v>
      </c>
    </row>
    <row r="37" spans="2:37" x14ac:dyDescent="0.2">
      <c r="B37" s="342">
        <f>Org_dat!K33+(C37/100000)</f>
        <v>0.70024665045358037</v>
      </c>
      <c r="C37" s="31">
        <f>Org_dat!B33</f>
        <v>28</v>
      </c>
      <c r="D37" s="32" t="str">
        <f>Org_dat!C33</f>
        <v>DPS Iris</v>
      </c>
      <c r="E37" s="33">
        <f ca="1">OFFSET(Org_dat!$C33,0,OrgSortCriteria)</f>
        <v>81.997999027214831</v>
      </c>
      <c r="F37" s="33">
        <f t="shared" ca="1" si="8"/>
        <v>81.997999027915071</v>
      </c>
      <c r="G37" s="33">
        <f t="shared" ca="1" si="0"/>
        <v>82.395801461521515</v>
      </c>
      <c r="H37" s="31">
        <f t="shared" ca="1" si="1"/>
        <v>66</v>
      </c>
      <c r="J37" s="32" t="str">
        <f ca="1">OFFSET(Org_dat!$C$5,$H37,0)</f>
        <v>MŠ O-Poruba, J.Šoupala</v>
      </c>
      <c r="K37" s="158">
        <f ca="1">OFFSET(Org_dat!$D$5,$H37,0)</f>
        <v>82.395801460430235</v>
      </c>
      <c r="L37" s="34">
        <f ca="1">OFFSET(Org_dat!$E$5,$H37,0)</f>
        <v>2533500</v>
      </c>
      <c r="M37" s="34">
        <f ca="1">OFFSET(Org_dat!$F$5,$H37,0)</f>
        <v>1134795.26</v>
      </c>
      <c r="N37" s="35">
        <f ca="1">OFFSET(Org_dat!$G$5,$H37,0)</f>
        <v>0.44791602920860468</v>
      </c>
      <c r="O37" s="35">
        <f ca="1">OFFSET(Org_dat!$H$5,$H37,0)</f>
        <v>0.24890000000000001</v>
      </c>
      <c r="P37" s="34">
        <f ca="1">OFFSET(Org_dat!$I$5,$H37,0)</f>
        <v>687734.7</v>
      </c>
      <c r="Q37" s="35">
        <f ca="1">OFFSET(Org_dat!$J$5,$H37,0)</f>
        <v>0.27145636471284784</v>
      </c>
      <c r="R37" s="35">
        <f ca="1">OFFSET(Org_dat!$K$5,$H37,0)</f>
        <v>1.0906242053549531</v>
      </c>
      <c r="S37" s="34">
        <f ca="1">OFFSET(Org_dat!$L$5,$H37,0)</f>
        <v>154690.03</v>
      </c>
      <c r="T37" s="35">
        <f ca="1">OFFSET(Org_dat!$M$5,$H37,0)</f>
        <v>0.18362474947761803</v>
      </c>
    </row>
    <row r="38" spans="2:37" x14ac:dyDescent="0.2">
      <c r="B38" s="342">
        <f>Org_dat!K34+(C38/100000)</f>
        <v>0.91604114767833411</v>
      </c>
      <c r="C38" s="31">
        <f>Org_dat!B34</f>
        <v>29</v>
      </c>
      <c r="D38" s="32" t="str">
        <f>Org_dat!C34</f>
        <v>DPS Kamenec</v>
      </c>
      <c r="E38" s="33">
        <f ca="1">OFFSET(Org_dat!$C34,0,OrgSortCriteria)</f>
        <v>94.945068860700047</v>
      </c>
      <c r="F38" s="33">
        <f t="shared" ca="1" si="8"/>
        <v>94.945068861616093</v>
      </c>
      <c r="G38" s="33">
        <f t="shared" ca="1" si="0"/>
        <v>82.136481123992624</v>
      </c>
      <c r="H38" s="31">
        <f t="shared" ca="1" si="1"/>
        <v>24</v>
      </c>
      <c r="J38" s="32" t="str">
        <f ca="1">OFFSET(Org_dat!$C$5,$H38,0)</f>
        <v>Centrum sociálních služeb Poruba</v>
      </c>
      <c r="K38" s="158">
        <f ca="1">OFFSET(Org_dat!$D$5,$H38,0)</f>
        <v>82.136481123205414</v>
      </c>
      <c r="L38" s="34">
        <f ca="1">OFFSET(Org_dat!$E$5,$H38,0)</f>
        <v>3029625</v>
      </c>
      <c r="M38" s="34">
        <f ca="1">OFFSET(Org_dat!$F$5,$H38,0)</f>
        <v>2115801.83</v>
      </c>
      <c r="N38" s="35">
        <f ca="1">OFFSET(Org_dat!$G$5,$H38,0)</f>
        <v>0.69837086438090523</v>
      </c>
      <c r="O38" s="35">
        <f ca="1">OFFSET(Org_dat!$H$5,$H38,0)</f>
        <v>0.14353952548280566</v>
      </c>
      <c r="P38" s="34">
        <f ca="1">OFFSET(Org_dat!$I$5,$H38,0)</f>
        <v>342228.47999999998</v>
      </c>
      <c r="Q38" s="35">
        <f ca="1">OFFSET(Org_dat!$J$5,$H38,0)</f>
        <v>0.11296067335066221</v>
      </c>
      <c r="R38" s="35">
        <f ca="1">OFFSET(Org_dat!$K$5,$H38,0)</f>
        <v>0.78696563173600265</v>
      </c>
      <c r="S38" s="34">
        <f ca="1">OFFSET(Org_dat!$L$5,$H38,0)</f>
        <v>80319.28</v>
      </c>
      <c r="T38" s="35">
        <f ca="1">OFFSET(Org_dat!$M$5,$H38,0)</f>
        <v>0.19008331744558296</v>
      </c>
    </row>
    <row r="39" spans="2:37" x14ac:dyDescent="0.2">
      <c r="B39" s="342">
        <f>Org_dat!K35+(C39/100000)</f>
        <v>0.70848004424263589</v>
      </c>
      <c r="C39" s="31">
        <f>Org_dat!B35</f>
        <v>30</v>
      </c>
      <c r="D39" s="32" t="str">
        <f>Org_dat!C35</f>
        <v>Dům dětí a mládeže Poruba</v>
      </c>
      <c r="E39" s="33">
        <f ca="1">OFFSET(Org_dat!$C35,0,OrgSortCriteria)</f>
        <v>64.057308604028407</v>
      </c>
      <c r="F39" s="33">
        <f t="shared" ca="1" si="8"/>
        <v>64.057308604736889</v>
      </c>
      <c r="G39" s="33">
        <f t="shared" ca="1" si="0"/>
        <v>81.997999027915071</v>
      </c>
      <c r="H39" s="31">
        <f t="shared" ca="1" si="1"/>
        <v>28</v>
      </c>
      <c r="J39" s="32" t="str">
        <f ca="1">OFFSET(Org_dat!$C$5,$H39,0)</f>
        <v>DPS Iris</v>
      </c>
      <c r="K39" s="158">
        <f ca="1">OFFSET(Org_dat!$D$5,$H39,0)</f>
        <v>81.997999027214831</v>
      </c>
      <c r="L39" s="34">
        <f ca="1">OFFSET(Org_dat!$E$5,$H39,0)</f>
        <v>5887500</v>
      </c>
      <c r="M39" s="34">
        <f ca="1">OFFSET(Org_dat!$F$5,$H39,0)</f>
        <v>4950596.66</v>
      </c>
      <c r="N39" s="35">
        <f ca="1">OFFSET(Org_dat!$G$5,$H39,0)</f>
        <v>0.84086567473460727</v>
      </c>
      <c r="O39" s="35">
        <f ca="1">OFFSET(Org_dat!$H$5,$H39,0)</f>
        <v>0.55000000000000004</v>
      </c>
      <c r="P39" s="34">
        <f ca="1">OFFSET(Org_dat!$I$5,$H39,0)</f>
        <v>2266579.5100000002</v>
      </c>
      <c r="Q39" s="35">
        <f ca="1">OFFSET(Org_dat!$J$5,$H39,0)</f>
        <v>0.38498165774946924</v>
      </c>
      <c r="R39" s="35">
        <f ca="1">OFFSET(Org_dat!$K$5,$H39,0)</f>
        <v>0.69996665045358042</v>
      </c>
      <c r="S39" s="34">
        <f ca="1">OFFSET(Org_dat!$L$5,$H39,0)</f>
        <v>687205.85</v>
      </c>
      <c r="T39" s="35">
        <f ca="1">OFFSET(Org_dat!$M$5,$H39,0)</f>
        <v>0.23265260208344993</v>
      </c>
    </row>
    <row r="40" spans="2:37" x14ac:dyDescent="0.2">
      <c r="B40" s="342">
        <f>Org_dat!K36+(C40/100000)</f>
        <v>0.67699901715844357</v>
      </c>
      <c r="C40" s="31">
        <f>Org_dat!B36</f>
        <v>31</v>
      </c>
      <c r="D40" s="32" t="str">
        <f>Org_dat!C36</f>
        <v>Dům kultury Ostrava</v>
      </c>
      <c r="E40" s="33">
        <f ca="1">OFFSET(Org_dat!$C36,0,OrgSortCriteria)</f>
        <v>71.599169469913178</v>
      </c>
      <c r="F40" s="33">
        <f t="shared" ca="1" si="8"/>
        <v>71.599169470590184</v>
      </c>
      <c r="G40" s="33">
        <f t="shared" ca="1" si="0"/>
        <v>80.235510977110621</v>
      </c>
      <c r="H40" s="31">
        <f t="shared" ca="1" si="1"/>
        <v>71</v>
      </c>
      <c r="J40" s="32" t="str">
        <f ca="1">OFFSET(Org_dat!$C$5,$H40,0)</f>
        <v>MŠ O-Poruba, V.Makovského</v>
      </c>
      <c r="K40" s="158">
        <f ca="1">OFFSET(Org_dat!$D$5,$H40,0)</f>
        <v>80.235510976439315</v>
      </c>
      <c r="L40" s="34">
        <f ca="1">OFFSET(Org_dat!$E$5,$H40,0)</f>
        <v>1766250</v>
      </c>
      <c r="M40" s="34">
        <f ca="1">OFFSET(Org_dat!$F$5,$H40,0)</f>
        <v>1751756.4</v>
      </c>
      <c r="N40" s="35">
        <f ca="1">OFFSET(Org_dat!$G$5,$H40,0)</f>
        <v>0.99179414012738853</v>
      </c>
      <c r="O40" s="35">
        <f ca="1">OFFSET(Org_dat!$H$5,$H40,0)</f>
        <v>0.25750000000000001</v>
      </c>
      <c r="P40" s="34">
        <f ca="1">OFFSET(Org_dat!$I$5,$H40,0)</f>
        <v>304991.46000000002</v>
      </c>
      <c r="Q40" s="35">
        <f ca="1">OFFSET(Org_dat!$J$5,$H40,0)</f>
        <v>0.17267740127388537</v>
      </c>
      <c r="R40" s="35">
        <f ca="1">OFFSET(Org_dat!$K$5,$H40,0)</f>
        <v>0.67059184960732177</v>
      </c>
      <c r="S40" s="34">
        <f ca="1">OFFSET(Org_dat!$L$5,$H40,0)</f>
        <v>111319.19</v>
      </c>
      <c r="T40" s="35">
        <f ca="1">OFFSET(Org_dat!$M$5,$H40,0)</f>
        <v>0.26739452858100077</v>
      </c>
    </row>
    <row r="41" spans="2:37" x14ac:dyDescent="0.2">
      <c r="B41" s="342">
        <f>Org_dat!K37+(C41/100000)</f>
        <v>3.2000000000000003E-4</v>
      </c>
      <c r="C41" s="31">
        <f>Org_dat!B37</f>
        <v>32</v>
      </c>
      <c r="D41" s="32" t="str">
        <f>Org_dat!C37</f>
        <v/>
      </c>
      <c r="E41" s="33" t="str">
        <f ca="1">OFFSET(Org_dat!$C37,0,OrgSortCriteria)</f>
        <v/>
      </c>
      <c r="F41" s="33">
        <f t="shared" si="8"/>
        <v>-999999999</v>
      </c>
      <c r="G41" s="33">
        <f t="shared" ca="1" si="0"/>
        <v>79.740361215463508</v>
      </c>
      <c r="H41" s="31">
        <f t="shared" ca="1" si="1"/>
        <v>2</v>
      </c>
      <c r="J41" s="32" t="str">
        <f ca="1">OFFSET(Org_dat!$C$5,$H41,0)</f>
        <v>Dopravní podnik Ostrava</v>
      </c>
      <c r="K41" s="158">
        <f ca="1">OFFSET(Org_dat!$D$5,$H41,0)</f>
        <v>79.740361214801155</v>
      </c>
      <c r="L41" s="34">
        <f ca="1">OFFSET(Org_dat!$E$5,$H41,0)</f>
        <v>311627135.76094127</v>
      </c>
      <c r="M41" s="34">
        <f ca="1">OFFSET(Org_dat!$F$5,$H41,0)</f>
        <v>274818574.81999999</v>
      </c>
      <c r="N41" s="35">
        <f ca="1">OFFSET(Org_dat!$G$5,$H41,0)</f>
        <v>0.88188268376866175</v>
      </c>
      <c r="O41" s="35">
        <f ca="1">OFFSET(Org_dat!$H$5,$H41,0)</f>
        <v>0.38</v>
      </c>
      <c r="P41" s="34">
        <f ca="1">OFFSET(Org_dat!$I$5,$H41,0)</f>
        <v>78433107.950000003</v>
      </c>
      <c r="Q41" s="35">
        <f ca="1">OFFSET(Org_dat!$J$5,$H41,0)</f>
        <v>0.25168895436040734</v>
      </c>
      <c r="R41" s="35">
        <f ca="1">OFFSET(Org_dat!$K$5,$H41,0)</f>
        <v>0.66233935358001927</v>
      </c>
      <c r="S41" s="34">
        <f ca="1">OFFSET(Org_dat!$L$5,$H41,0)</f>
        <v>9053327.209999999</v>
      </c>
      <c r="T41" s="35">
        <f ca="1">OFFSET(Org_dat!$M$5,$H41,0)</f>
        <v>0.10348263926222136</v>
      </c>
    </row>
    <row r="42" spans="2:37" x14ac:dyDescent="0.2">
      <c r="B42" s="342">
        <f>Org_dat!K38+(C42/100000)</f>
        <v>3.3E-4</v>
      </c>
      <c r="C42" s="31">
        <f>Org_dat!B38</f>
        <v>33</v>
      </c>
      <c r="D42" s="32" t="str">
        <f>Org_dat!C38</f>
        <v>Firemní školka města Ostravy</v>
      </c>
      <c r="E42" s="33">
        <f ca="1">OFFSET(Org_dat!$C38,0,OrgSortCriteria)</f>
        <v>0</v>
      </c>
      <c r="F42" s="33">
        <f t="shared" ca="1" si="8"/>
        <v>3.3000000000000001E-13</v>
      </c>
      <c r="G42" s="33">
        <f t="shared" ref="G42:G73" ca="1" si="9">IF(ISERROR(LARGE($F$10:$F$185,C42)),0,LARGE($F$10:$F$185,C42))</f>
        <v>78.791759404830728</v>
      </c>
      <c r="H42" s="31">
        <f t="shared" ref="H42:H73" ca="1" si="10">MATCH(G42,$F$10:$F$185,0)</f>
        <v>34</v>
      </c>
      <c r="J42" s="32" t="str">
        <f ca="1">OFFSET(Org_dat!$C$5,$H42,0)</f>
        <v>Janáčkova filharmonie Ostrava</v>
      </c>
      <c r="K42" s="158">
        <f ca="1">OFFSET(Org_dat!$D$5,$H42,0)</f>
        <v>78.791759404183864</v>
      </c>
      <c r="L42" s="34">
        <f ca="1">OFFSET(Org_dat!$E$5,$H42,0)</f>
        <v>18948750</v>
      </c>
      <c r="M42" s="34">
        <f ca="1">OFFSET(Org_dat!$F$5,$H42,0)</f>
        <v>19355344.34</v>
      </c>
      <c r="N42" s="35">
        <f ca="1">OFFSET(Org_dat!$G$5,$H42,0)</f>
        <v>1.0214575811069331</v>
      </c>
      <c r="O42" s="35">
        <f ca="1">OFFSET(Org_dat!$H$5,$H42,0)</f>
        <v>5.6847087967705823E-2</v>
      </c>
      <c r="P42" s="34">
        <f ca="1">OFFSET(Org_dat!$I$5,$H42,0)</f>
        <v>696429.27</v>
      </c>
      <c r="Q42" s="35">
        <f ca="1">OFFSET(Org_dat!$J$5,$H42,0)</f>
        <v>3.6753309321195332E-2</v>
      </c>
      <c r="R42" s="35">
        <f ca="1">OFFSET(Org_dat!$K$5,$H42,0)</f>
        <v>0.64652932340306446</v>
      </c>
      <c r="S42" s="34">
        <f ca="1">OFFSET(Org_dat!$L$5,$H42,0)</f>
        <v>232462.85</v>
      </c>
      <c r="T42" s="35">
        <f ca="1">OFFSET(Org_dat!$M$5,$H42,0)</f>
        <v>0.25025817852777132</v>
      </c>
    </row>
    <row r="43" spans="2:37" x14ac:dyDescent="0.2">
      <c r="B43" s="342">
        <f>Org_dat!K39+(C43/100000)</f>
        <v>0.64686932340306447</v>
      </c>
      <c r="C43" s="31">
        <f>Org_dat!B39</f>
        <v>34</v>
      </c>
      <c r="D43" s="32" t="str">
        <f>Org_dat!C39</f>
        <v>Janáčkova filharmonie Ostrava</v>
      </c>
      <c r="E43" s="33">
        <f ca="1">OFFSET(Org_dat!$C39,0,OrgSortCriteria)</f>
        <v>78.791759404183864</v>
      </c>
      <c r="F43" s="33">
        <f t="shared" ca="1" si="8"/>
        <v>78.791759404830728</v>
      </c>
      <c r="G43" s="33">
        <f t="shared" ca="1" si="9"/>
        <v>77.261514088798378</v>
      </c>
      <c r="H43" s="31">
        <f t="shared" ca="1" si="10"/>
        <v>159</v>
      </c>
      <c r="J43" s="32" t="str">
        <f ca="1">OFFSET(Org_dat!$C$5,$H43,0)</f>
        <v>ZŠ O-Poruba, Komenského</v>
      </c>
      <c r="K43" s="158">
        <f ca="1">OFFSET(Org_dat!$D$5,$H43,0)</f>
        <v>77.261514088175758</v>
      </c>
      <c r="L43" s="34">
        <f ca="1">OFFSET(Org_dat!$E$5,$H43,0)</f>
        <v>3648000</v>
      </c>
      <c r="M43" s="34">
        <f ca="1">OFFSET(Org_dat!$F$5,$H43,0)</f>
        <v>3027005.74</v>
      </c>
      <c r="N43" s="35">
        <f ca="1">OFFSET(Org_dat!$G$5,$H43,0)</f>
        <v>0.82977131030701756</v>
      </c>
      <c r="O43" s="35">
        <f ca="1">OFFSET(Org_dat!$H$5,$H43,0)</f>
        <v>0.17680000000000001</v>
      </c>
      <c r="P43" s="34">
        <f ca="1">OFFSET(Org_dat!$I$5,$H43,0)</f>
        <v>400540.41000000003</v>
      </c>
      <c r="Q43" s="35">
        <f ca="1">OFFSET(Org_dat!$J$5,$H43,0)</f>
        <v>0.1097972615131579</v>
      </c>
      <c r="R43" s="35">
        <f ca="1">OFFSET(Org_dat!$K$5,$H43,0)</f>
        <v>0.62102523480292926</v>
      </c>
      <c r="S43" s="34">
        <f ca="1">OFFSET(Org_dat!$L$5,$H43,0)</f>
        <v>132664.56</v>
      </c>
      <c r="T43" s="35">
        <f ca="1">OFFSET(Org_dat!$M$5,$H43,0)</f>
        <v>0.24880593292294331</v>
      </c>
    </row>
    <row r="44" spans="2:37" x14ac:dyDescent="0.2">
      <c r="B44" s="342">
        <f>Org_dat!K40+(C44/100000)</f>
        <v>1.1393335134337244</v>
      </c>
      <c r="C44" s="31">
        <f>Org_dat!B40</f>
        <v>35</v>
      </c>
      <c r="D44" s="32" t="str">
        <f>Org_dat!C40</f>
        <v>Knihovna města Ostravy</v>
      </c>
      <c r="E44" s="33">
        <f ca="1">OFFSET(Org_dat!$C40,0,OrgSortCriteria)</f>
        <v>97.366516207680235</v>
      </c>
      <c r="F44" s="33">
        <f t="shared" ca="1" si="8"/>
        <v>97.366516208819561</v>
      </c>
      <c r="G44" s="33">
        <f t="shared" ca="1" si="9"/>
        <v>76.142317425325103</v>
      </c>
      <c r="H44" s="31">
        <f t="shared" ca="1" si="10"/>
        <v>114</v>
      </c>
      <c r="J44" s="32" t="str">
        <f ca="1">OFFSET(Org_dat!$C$5,$H44,0)</f>
        <v>ÚMOb Poruba</v>
      </c>
      <c r="K44" s="158">
        <f ca="1">OFFSET(Org_dat!$D$5,$H44,0)</f>
        <v>76.14231742301088</v>
      </c>
      <c r="L44" s="34">
        <f ca="1">OFFSET(Org_dat!$E$5,$H44,0)</f>
        <v>76585500</v>
      </c>
      <c r="M44" s="34">
        <f ca="1">OFFSET(Org_dat!$F$5,$H44,0)</f>
        <v>24725349.02</v>
      </c>
      <c r="N44" s="35">
        <f ca="1">OFFSET(Org_dat!$G$5,$H44,0)</f>
        <v>0.32284634846021765</v>
      </c>
      <c r="O44" s="35">
        <f ca="1">OFFSET(Org_dat!$H$5,$H44,0)</f>
        <v>0.1867</v>
      </c>
      <c r="P44" s="34">
        <f ca="1">OFFSET(Org_dat!$I$5,$H44,0)</f>
        <v>33073656.049999997</v>
      </c>
      <c r="Q44" s="35">
        <f ca="1">OFFSET(Org_dat!$J$5,$H44,0)</f>
        <v>0.4318527142866469</v>
      </c>
      <c r="R44" s="35">
        <f ca="1">OFFSET(Org_dat!$K$5,$H44,0)</f>
        <v>2.3130836330297102</v>
      </c>
      <c r="S44" s="34">
        <f ca="1">OFFSET(Org_dat!$L$5,$H44,0)</f>
        <v>6204993.2199999997</v>
      </c>
      <c r="T44" s="35">
        <f ca="1">OFFSET(Org_dat!$M$5,$H44,0)</f>
        <v>0.15797369144104481</v>
      </c>
    </row>
    <row r="45" spans="2:37" x14ac:dyDescent="0.2">
      <c r="B45" s="342">
        <f>Org_dat!K41+(C45/100000)</f>
        <v>0.88786030307700214</v>
      </c>
      <c r="C45" s="31">
        <f>Org_dat!B41</f>
        <v>36</v>
      </c>
      <c r="D45" s="32" t="str">
        <f>Org_dat!C41</f>
        <v>Krematorium Ostrava</v>
      </c>
      <c r="E45" s="33">
        <f ca="1">OFFSET(Org_dat!$C41,0,OrgSortCriteria)</f>
        <v>85.703506549545381</v>
      </c>
      <c r="F45" s="33">
        <f t="shared" ca="1" si="8"/>
        <v>85.703506550433247</v>
      </c>
      <c r="G45" s="33">
        <f t="shared" ca="1" si="9"/>
        <v>75.741791954744272</v>
      </c>
      <c r="H45" s="31">
        <f t="shared" ca="1" si="10"/>
        <v>18</v>
      </c>
      <c r="J45" s="32" t="str">
        <f ca="1">OFFSET(Org_dat!$C$5,$H45,0)</f>
        <v>VÍTKOVICE ARÉNA</v>
      </c>
      <c r="K45" s="158">
        <f ca="1">OFFSET(Org_dat!$D$5,$H45,0)</f>
        <v>75.741791954022972</v>
      </c>
      <c r="L45" s="34">
        <f ca="1">OFFSET(Org_dat!$E$5,$H45,0)</f>
        <v>59160000</v>
      </c>
      <c r="M45" s="34">
        <f ca="1">OFFSET(Org_dat!$F$5,$H45,0)</f>
        <v>38423737.039999999</v>
      </c>
      <c r="N45" s="35">
        <f ca="1">OFFSET(Org_dat!$G$5,$H45,0)</f>
        <v>0.64948845571331981</v>
      </c>
      <c r="O45" s="35">
        <f ca="1">OFFSET(Org_dat!$H$5,$H45,0)</f>
        <v>7.0000000000000007E-2</v>
      </c>
      <c r="P45" s="34">
        <f ca="1">OFFSET(Org_dat!$I$5,$H45,0)</f>
        <v>2986313.82</v>
      </c>
      <c r="Q45" s="35">
        <f ca="1">OFFSET(Org_dat!$J$5,$H45,0)</f>
        <v>5.0478597363083161E-2</v>
      </c>
      <c r="R45" s="35">
        <f ca="1">OFFSET(Org_dat!$K$5,$H45,0)</f>
        <v>0.72112281947261647</v>
      </c>
      <c r="S45" s="34">
        <f ca="1">OFFSET(Org_dat!$L$5,$H45,0)</f>
        <v>1407574.03</v>
      </c>
      <c r="T45" s="35">
        <f ca="1">OFFSET(Org_dat!$M$5,$H45,0)</f>
        <v>0.32034819231901884</v>
      </c>
    </row>
    <row r="46" spans="2:37" x14ac:dyDescent="0.2">
      <c r="B46" s="342">
        <f>Org_dat!K42+(C46/100000)</f>
        <v>1.2785866167326572</v>
      </c>
      <c r="C46" s="31">
        <f>Org_dat!B42</f>
        <v>37</v>
      </c>
      <c r="D46" s="32" t="str">
        <f>Org_dat!C42</f>
        <v>Křesťanská MŠ Ostrava-Mariánské Hory</v>
      </c>
      <c r="E46" s="33">
        <f ca="1">OFFSET(Org_dat!$C42,0,OrgSortCriteria)</f>
        <v>100</v>
      </c>
      <c r="F46" s="33">
        <f t="shared" ca="1" si="8"/>
        <v>100.00000000127859</v>
      </c>
      <c r="G46" s="33">
        <f t="shared" ca="1" si="9"/>
        <v>75.717163825435634</v>
      </c>
      <c r="H46" s="31">
        <f t="shared" ca="1" si="10"/>
        <v>6</v>
      </c>
      <c r="J46" s="32" t="str">
        <f ca="1">OFFSET(Org_dat!$C$5,$H46,0)</f>
        <v>OZO Ostrava</v>
      </c>
      <c r="K46" s="158">
        <f ca="1">OFFSET(Org_dat!$D$5,$H46,0)</f>
        <v>75.717163824822933</v>
      </c>
      <c r="L46" s="34">
        <f ca="1">OFFSET(Org_dat!$E$5,$H46,0)</f>
        <v>112132500</v>
      </c>
      <c r="M46" s="34">
        <f ca="1">OFFSET(Org_dat!$F$5,$H46,0)</f>
        <v>87370339.329999998</v>
      </c>
      <c r="N46" s="35">
        <f ca="1">OFFSET(Org_dat!$G$5,$H46,0)</f>
        <v>0.77917052888324079</v>
      </c>
      <c r="O46" s="35">
        <f ca="1">OFFSET(Org_dat!$H$5,$H46,0)</f>
        <v>0.23</v>
      </c>
      <c r="P46" s="34">
        <f ca="1">OFFSET(Org_dat!$I$5,$H46,0)</f>
        <v>15800378.640000001</v>
      </c>
      <c r="Q46" s="35">
        <f ca="1">OFFSET(Org_dat!$J$5,$H46,0)</f>
        <v>0.14090810995920006</v>
      </c>
      <c r="R46" s="35">
        <f ca="1">OFFSET(Org_dat!$K$5,$H46,0)</f>
        <v>0.6126439563443481</v>
      </c>
      <c r="S46" s="34">
        <f ca="1">OFFSET(Org_dat!$L$5,$H46,0)</f>
        <v>1592765.76</v>
      </c>
      <c r="T46" s="35">
        <f ca="1">OFFSET(Org_dat!$M$5,$H46,0)</f>
        <v>9.1574342359855287E-2</v>
      </c>
    </row>
    <row r="47" spans="2:37" x14ac:dyDescent="0.2">
      <c r="B47" s="342">
        <f>Org_dat!K43+(C47/100000)</f>
        <v>0.53463840735506873</v>
      </c>
      <c r="C47" s="31">
        <f>Org_dat!B43</f>
        <v>38</v>
      </c>
      <c r="D47" s="32" t="str">
        <f>Org_dat!C43</f>
        <v>Kulturní zařízení Ostrava-Jih</v>
      </c>
      <c r="E47" s="33">
        <f ca="1">OFFSET(Org_dat!$C43,0,OrgSortCriteria)</f>
        <v>32.184941338218231</v>
      </c>
      <c r="F47" s="33">
        <f t="shared" ca="1" si="8"/>
        <v>32.184941338752871</v>
      </c>
      <c r="G47" s="33">
        <f t="shared" ca="1" si="9"/>
        <v>75.58697671306436</v>
      </c>
      <c r="H47" s="31">
        <f t="shared" ca="1" si="10"/>
        <v>9</v>
      </c>
      <c r="J47" s="32" t="str">
        <f ca="1">OFFSET(Org_dat!$C$5,$H47,0)</f>
        <v>Dětské centrum Domeček</v>
      </c>
      <c r="K47" s="158">
        <f ca="1">OFFSET(Org_dat!$D$5,$H47,0)</f>
        <v>75.58697671232909</v>
      </c>
      <c r="L47" s="34">
        <f ca="1">OFFSET(Org_dat!$E$5,$H47,0)</f>
        <v>7640250</v>
      </c>
      <c r="M47" s="34">
        <f ca="1">OFFSET(Org_dat!$F$5,$H47,0)</f>
        <v>4809697.9000000004</v>
      </c>
      <c r="N47" s="35">
        <f ca="1">OFFSET(Org_dat!$G$5,$H47,0)</f>
        <v>0.62952101043814013</v>
      </c>
      <c r="O47" s="35">
        <f ca="1">OFFSET(Org_dat!$H$5,$H47,0)</f>
        <v>0.31910743587956197</v>
      </c>
      <c r="P47" s="34">
        <f ca="1">OFFSET(Org_dat!$I$5,$H47,0)</f>
        <v>1792418.51</v>
      </c>
      <c r="Q47" s="35">
        <f ca="1">OFFSET(Org_dat!$J$5,$H47,0)</f>
        <v>0.23460207584830339</v>
      </c>
      <c r="R47" s="35">
        <f ca="1">OFFSET(Org_dat!$K$5,$H47,0)</f>
        <v>0.73518210317370125</v>
      </c>
      <c r="S47" s="34">
        <f ca="1">OFFSET(Org_dat!$L$5,$H47,0)</f>
        <v>568219.9</v>
      </c>
      <c r="T47" s="35">
        <f ca="1">OFFSET(Org_dat!$M$5,$H47,0)</f>
        <v>0.24070603002685192</v>
      </c>
    </row>
    <row r="48" spans="2:37" x14ac:dyDescent="0.2">
      <c r="B48" s="342">
        <f>Org_dat!K44+(C48/100000)</f>
        <v>1.0750919441625955</v>
      </c>
      <c r="C48" s="31">
        <f>Org_dat!B44</f>
        <v>39</v>
      </c>
      <c r="D48" s="32" t="str">
        <f>Org_dat!C44</f>
        <v>Lidová konzervatoř</v>
      </c>
      <c r="E48" s="33">
        <f ca="1">OFFSET(Org_dat!$C44,0,OrgSortCriteria)</f>
        <v>85.872049697355848</v>
      </c>
      <c r="F48" s="33">
        <f t="shared" ca="1" si="8"/>
        <v>85.872049698430942</v>
      </c>
      <c r="G48" s="33">
        <f t="shared" ca="1" si="9"/>
        <v>73.568893744840921</v>
      </c>
      <c r="H48" s="31">
        <f t="shared" ca="1" si="10"/>
        <v>3</v>
      </c>
      <c r="J48" s="32" t="str">
        <f ca="1">OFFSET(Org_dat!$C$5,$H48,0)</f>
        <v>Magistrát města Ostrava</v>
      </c>
      <c r="K48" s="158">
        <f ca="1">OFFSET(Org_dat!$D$5,$H48,0)</f>
        <v>73.568893744281411</v>
      </c>
      <c r="L48" s="34">
        <f ca="1">OFFSET(Org_dat!$E$5,$H48,0)</f>
        <v>521560500</v>
      </c>
      <c r="M48" s="34">
        <f ca="1">OFFSET(Org_dat!$F$5,$H48,0)</f>
        <v>434208001.56999999</v>
      </c>
      <c r="N48" s="35">
        <f ca="1">OFFSET(Org_dat!$G$5,$H48,0)</f>
        <v>0.83251703602937721</v>
      </c>
      <c r="O48" s="35">
        <f ca="1">OFFSET(Org_dat!$H$5,$H48,0)</f>
        <v>7.0000000000000007E-2</v>
      </c>
      <c r="P48" s="34">
        <f ca="1">OFFSET(Org_dat!$I$5,$H48,0)</f>
        <v>20426243.84</v>
      </c>
      <c r="Q48" s="35">
        <f ca="1">OFFSET(Org_dat!$J$5,$H48,0)</f>
        <v>3.9163709368328317E-2</v>
      </c>
      <c r="R48" s="35">
        <f ca="1">OFFSET(Org_dat!$K$5,$H48,0)</f>
        <v>0.55948156240469016</v>
      </c>
      <c r="S48" s="34">
        <f ca="1">OFFSET(Org_dat!$L$5,$H48,0)</f>
        <v>9607244.4199999999</v>
      </c>
      <c r="T48" s="35">
        <f ca="1">OFFSET(Org_dat!$M$5,$H48,0)</f>
        <v>0.31988440159964293</v>
      </c>
    </row>
    <row r="49" spans="2:20" x14ac:dyDescent="0.2">
      <c r="B49" s="342">
        <f>Org_dat!K45+(C49/100000)</f>
        <v>1.3475615752401739</v>
      </c>
      <c r="C49" s="31">
        <f>Org_dat!B45</f>
        <v>40</v>
      </c>
      <c r="D49" s="32" t="str">
        <f>Org_dat!C45</f>
        <v>Městská policie</v>
      </c>
      <c r="E49" s="33">
        <f ca="1">OFFSET(Org_dat!$C45,0,OrgSortCriteria)</f>
        <v>95.380916559567396</v>
      </c>
      <c r="F49" s="33">
        <f t="shared" ca="1" si="8"/>
        <v>95.380916560914955</v>
      </c>
      <c r="G49" s="33">
        <f t="shared" ca="1" si="9"/>
        <v>72.909012756343245</v>
      </c>
      <c r="H49" s="31">
        <f t="shared" ca="1" si="10"/>
        <v>132</v>
      </c>
      <c r="J49" s="32" t="str">
        <f ca="1">OFFSET(Org_dat!$C$5,$H49,0)</f>
        <v>ZŠ a MŠ O-Svinov</v>
      </c>
      <c r="K49" s="158">
        <f ca="1">OFFSET(Org_dat!$D$5,$H49,0)</f>
        <v>72.90901275560816</v>
      </c>
      <c r="L49" s="34">
        <f ca="1">OFFSET(Org_dat!$E$5,$H49,0)</f>
        <v>6050119.5</v>
      </c>
      <c r="M49" s="34">
        <f ca="1">OFFSET(Org_dat!$F$5,$H49,0)</f>
        <v>3494929.6799999997</v>
      </c>
      <c r="N49" s="35">
        <f ca="1">OFFSET(Org_dat!$G$5,$H49,0)</f>
        <v>0.57766291723659335</v>
      </c>
      <c r="O49" s="35">
        <f ca="1">OFFSET(Org_dat!$H$5,$H49,0)</f>
        <v>0.37509999999999999</v>
      </c>
      <c r="P49" s="34">
        <f ca="1">OFFSET(Org_dat!$I$5,$H49,0)</f>
        <v>1665204.91</v>
      </c>
      <c r="Q49" s="35">
        <f ca="1">OFFSET(Org_dat!$J$5,$H49,0)</f>
        <v>0.27523504453093861</v>
      </c>
      <c r="R49" s="35">
        <f ca="1">OFFSET(Org_dat!$K$5,$H49,0)</f>
        <v>0.73376444822964171</v>
      </c>
      <c r="S49" s="34">
        <f ca="1">OFFSET(Org_dat!$L$5,$H49,0)</f>
        <v>738546.21</v>
      </c>
      <c r="T49" s="35">
        <f ca="1">OFFSET(Org_dat!$M$5,$H49,0)</f>
        <v>0.3072473701021094</v>
      </c>
    </row>
    <row r="50" spans="2:20" x14ac:dyDescent="0.2">
      <c r="B50" s="342">
        <f>Org_dat!K46+(C50/100000)</f>
        <v>0.21455490473952352</v>
      </c>
      <c r="C50" s="31">
        <f>Org_dat!B46</f>
        <v>41</v>
      </c>
      <c r="D50" s="32" t="str">
        <f>Org_dat!C46</f>
        <v>MŠ Blahoslavova</v>
      </c>
      <c r="E50" s="33">
        <f ca="1">OFFSET(Org_dat!$C46,0,OrgSortCriteria)</f>
        <v>12.848694284371412</v>
      </c>
      <c r="F50" s="33">
        <f t="shared" ca="1" si="8"/>
        <v>12.848694284585967</v>
      </c>
      <c r="G50" s="33">
        <f t="shared" ca="1" si="9"/>
        <v>72.886961377549028</v>
      </c>
      <c r="H50" s="31">
        <f t="shared" ca="1" si="10"/>
        <v>164</v>
      </c>
      <c r="J50" s="32" t="str">
        <f ca="1">OFFSET(Org_dat!$C$5,$H50,0)</f>
        <v>ZŠ O-Vítkovice, Šalounova</v>
      </c>
      <c r="K50" s="158">
        <f ca="1">OFFSET(Org_dat!$D$5,$H50,0)</f>
        <v>72.886961376999267</v>
      </c>
      <c r="L50" s="34">
        <f ca="1">OFFSET(Org_dat!$E$5,$H50,0)</f>
        <v>1986375</v>
      </c>
      <c r="M50" s="34">
        <f ca="1">OFFSET(Org_dat!$F$5,$H50,0)</f>
        <v>1672627.3699999999</v>
      </c>
      <c r="N50" s="35">
        <f ca="1">OFFSET(Org_dat!$G$5,$H50,0)</f>
        <v>0.84205015165817121</v>
      </c>
      <c r="O50" s="35">
        <f ca="1">OFFSET(Org_dat!$H$5,$H50,0)</f>
        <v>0.24060000000000001</v>
      </c>
      <c r="P50" s="34">
        <f ca="1">OFFSET(Org_dat!$I$5,$H50,0)</f>
        <v>261956.61</v>
      </c>
      <c r="Q50" s="35">
        <f ca="1">OFFSET(Org_dat!$J$5,$H50,0)</f>
        <v>0.13187671512176702</v>
      </c>
      <c r="R50" s="35">
        <f ca="1">OFFSET(Org_dat!$K$5,$H50,0)</f>
        <v>0.54811602294998762</v>
      </c>
      <c r="S50" s="34">
        <f ca="1">OFFSET(Org_dat!$L$5,$H50,0)</f>
        <v>199082.61</v>
      </c>
      <c r="T50" s="35">
        <f ca="1">OFFSET(Org_dat!$M$5,$H50,0)</f>
        <v>0.43181274252546237</v>
      </c>
    </row>
    <row r="51" spans="2:20" x14ac:dyDescent="0.2">
      <c r="B51" s="342">
        <f>Org_dat!K47+(C51/100000)</f>
        <v>0.49054576185018184</v>
      </c>
      <c r="C51" s="31">
        <f>Org_dat!B47</f>
        <v>42</v>
      </c>
      <c r="D51" s="32" t="str">
        <f>Org_dat!C47</f>
        <v>MŠ Bohumínská</v>
      </c>
      <c r="E51" s="33">
        <f ca="1">OFFSET(Org_dat!$C47,0,OrgSortCriteria)</f>
        <v>29.451125462682352</v>
      </c>
      <c r="F51" s="33">
        <f t="shared" ca="1" si="8"/>
        <v>29.451125463172897</v>
      </c>
      <c r="G51" s="33">
        <f t="shared" ca="1" si="9"/>
        <v>71.877269554114662</v>
      </c>
      <c r="H51" s="31">
        <f t="shared" ca="1" si="10"/>
        <v>47</v>
      </c>
      <c r="J51" s="32" t="str">
        <f ca="1">OFFSET(Org_dat!$C$5,$H51,0)</f>
        <v>MŠ Harmonie, O-Hrabůvka</v>
      </c>
      <c r="K51" s="158">
        <f ca="1">OFFSET(Org_dat!$D$5,$H51,0)</f>
        <v>71.877269553386299</v>
      </c>
      <c r="L51" s="34">
        <f ca="1">OFFSET(Org_dat!$E$5,$H51,0)</f>
        <v>2552550</v>
      </c>
      <c r="M51" s="34">
        <f ca="1">OFFSET(Org_dat!$F$5,$H51,0)</f>
        <v>1439823.8</v>
      </c>
      <c r="N51" s="35">
        <f ca="1">OFFSET(Org_dat!$G$5,$H51,0)</f>
        <v>0.56407271160212336</v>
      </c>
      <c r="O51" s="35">
        <f ca="1">OFFSET(Org_dat!$H$5,$H51,0)</f>
        <v>0.21279999999999999</v>
      </c>
      <c r="P51" s="34">
        <f ca="1">OFFSET(Org_dat!$I$5,$H51,0)</f>
        <v>395379.32999999996</v>
      </c>
      <c r="Q51" s="35">
        <f ca="1">OFFSET(Org_dat!$J$5,$H51,0)</f>
        <v>0.15489582182523357</v>
      </c>
      <c r="R51" s="35">
        <f ca="1">OFFSET(Org_dat!$K$5,$H51,0)</f>
        <v>0.72789389955466899</v>
      </c>
      <c r="S51" s="34">
        <f ca="1">OFFSET(Org_dat!$L$5,$H51,0)</f>
        <v>150324.76</v>
      </c>
      <c r="T51" s="35">
        <f ca="1">OFFSET(Org_dat!$M$5,$H51,0)</f>
        <v>0.27546936655724902</v>
      </c>
    </row>
    <row r="52" spans="2:20" x14ac:dyDescent="0.2">
      <c r="B52" s="342">
        <f>Org_dat!K48+(C52/100000)</f>
        <v>1.0005189807922232</v>
      </c>
      <c r="C52" s="31">
        <f>Org_dat!B48</f>
        <v>43</v>
      </c>
      <c r="D52" s="32" t="str">
        <f>Org_dat!C48</f>
        <v>MŠ Čs.exilu</v>
      </c>
      <c r="E52" s="33">
        <f ca="1">OFFSET(Org_dat!$C48,0,OrgSortCriteria)</f>
        <v>84.51369100638702</v>
      </c>
      <c r="F52" s="33">
        <f t="shared" ca="1" si="8"/>
        <v>84.513691007387536</v>
      </c>
      <c r="G52" s="33">
        <f t="shared" ca="1" si="9"/>
        <v>71.599169470590184</v>
      </c>
      <c r="H52" s="31">
        <f t="shared" ca="1" si="10"/>
        <v>31</v>
      </c>
      <c r="J52" s="32" t="str">
        <f ca="1">OFFSET(Org_dat!$C$5,$H52,0)</f>
        <v>Dům kultury Ostrava</v>
      </c>
      <c r="K52" s="158">
        <f ca="1">OFFSET(Org_dat!$D$5,$H52,0)</f>
        <v>71.599169469913178</v>
      </c>
      <c r="L52" s="34">
        <f ca="1">OFFSET(Org_dat!$E$5,$H52,0)</f>
        <v>13272143.25</v>
      </c>
      <c r="M52" s="34">
        <f ca="1">OFFSET(Org_dat!$F$5,$H52,0)</f>
        <v>8228152.3900000006</v>
      </c>
      <c r="N52" s="35">
        <f ca="1">OFFSET(Org_dat!$G$5,$H52,0)</f>
        <v>0.61995656880813133</v>
      </c>
      <c r="O52" s="35">
        <f ca="1">OFFSET(Org_dat!$H$5,$H52,0)</f>
        <v>7.0000000000000007E-2</v>
      </c>
      <c r="P52" s="34">
        <f ca="1">OFFSET(Org_dat!$I$5,$H52,0)</f>
        <v>628677.94999999995</v>
      </c>
      <c r="Q52" s="35">
        <f ca="1">OFFSET(Org_dat!$J$5,$H52,0)</f>
        <v>4.736823120109105E-2</v>
      </c>
      <c r="R52" s="35">
        <f ca="1">OFFSET(Org_dat!$K$5,$H52,0)</f>
        <v>0.67668901715844354</v>
      </c>
      <c r="S52" s="34">
        <f ca="1">OFFSET(Org_dat!$L$5,$H52,0)</f>
        <v>401063.2</v>
      </c>
      <c r="T52" s="35">
        <f ca="1">OFFSET(Org_dat!$M$5,$H52,0)</f>
        <v>0.38947962796281382</v>
      </c>
    </row>
    <row r="53" spans="2:20" x14ac:dyDescent="0.2">
      <c r="B53" s="342">
        <f>Org_dat!K49+(C53/100000)</f>
        <v>0.78786567172196109</v>
      </c>
      <c r="C53" s="31">
        <f>Org_dat!B49</f>
        <v>44</v>
      </c>
      <c r="D53" s="32" t="str">
        <f>Org_dat!C49</f>
        <v>MŠ Čtyřlístek, O-Poruba</v>
      </c>
      <c r="E53" s="33">
        <f ca="1">OFFSET(Org_dat!$C49,0,OrgSortCriteria)</f>
        <v>69.685928016954577</v>
      </c>
      <c r="F53" s="33">
        <f t="shared" ca="1" si="8"/>
        <v>69.685928017742441</v>
      </c>
      <c r="G53" s="33">
        <f t="shared" ca="1" si="9"/>
        <v>71.04027558785576</v>
      </c>
      <c r="H53" s="31">
        <f t="shared" ca="1" si="10"/>
        <v>17</v>
      </c>
      <c r="J53" s="32" t="str">
        <f ca="1">OFFSET(Org_dat!$C$5,$H53,0)</f>
        <v>SAREZA</v>
      </c>
      <c r="K53" s="158">
        <f ca="1">OFFSET(Org_dat!$D$5,$H53,0)</f>
        <v>71.040275587274408</v>
      </c>
      <c r="L53" s="34">
        <f ca="1">OFFSET(Org_dat!$E$5,$H53,0)</f>
        <v>49698000</v>
      </c>
      <c r="M53" s="34">
        <f ca="1">OFFSET(Org_dat!$F$5,$H53,0)</f>
        <v>35951186.450000003</v>
      </c>
      <c r="N53" s="35">
        <f ca="1">OFFSET(Org_dat!$G$5,$H53,0)</f>
        <v>0.72339302285806273</v>
      </c>
      <c r="O53" s="35">
        <f ca="1">OFFSET(Org_dat!$H$5,$H53,0)</f>
        <v>0.22</v>
      </c>
      <c r="P53" s="34">
        <f ca="1">OFFSET(Org_dat!$I$5,$H53,0)</f>
        <v>6354334.4100000001</v>
      </c>
      <c r="Q53" s="35">
        <f ca="1">OFFSET(Org_dat!$J$5,$H53,0)</f>
        <v>0.127858956296028</v>
      </c>
      <c r="R53" s="35">
        <f ca="1">OFFSET(Org_dat!$K$5,$H53,0)</f>
        <v>0.58117707407285457</v>
      </c>
      <c r="S53" s="34">
        <f ca="1">OFFSET(Org_dat!$L$5,$H53,0)</f>
        <v>3087111.85</v>
      </c>
      <c r="T53" s="35">
        <f ca="1">OFFSET(Org_dat!$M$5,$H53,0)</f>
        <v>0.32697446609202013</v>
      </c>
    </row>
    <row r="54" spans="2:20" x14ac:dyDescent="0.2">
      <c r="B54" s="342">
        <f>Org_dat!K50+(C54/100000)</f>
        <v>0.18225835297261839</v>
      </c>
      <c r="C54" s="31">
        <f>Org_dat!B50</f>
        <v>45</v>
      </c>
      <c r="D54" s="32" t="str">
        <f>Org_dat!C50</f>
        <v>MŠ Dvořákova</v>
      </c>
      <c r="E54" s="33">
        <f ca="1">OFFSET(Org_dat!$C50,0,OrgSortCriteria)</f>
        <v>10.908501178357103</v>
      </c>
      <c r="F54" s="33">
        <f t="shared" ca="1" si="8"/>
        <v>10.90850117853936</v>
      </c>
      <c r="G54" s="33">
        <f t="shared" ca="1" si="9"/>
        <v>70.723126413273107</v>
      </c>
      <c r="H54" s="31">
        <f t="shared" ca="1" si="10"/>
        <v>87</v>
      </c>
      <c r="J54" s="32" t="str">
        <f ca="1">OFFSET(Org_dat!$C$5,$H54,0)</f>
        <v>MŠ Zelená</v>
      </c>
      <c r="K54" s="158">
        <f ca="1">OFFSET(Org_dat!$D$5,$H54,0)</f>
        <v>70.723126412240902</v>
      </c>
      <c r="L54" s="34">
        <f ca="1">OFFSET(Org_dat!$E$5,$H54,0)</f>
        <v>1405125</v>
      </c>
      <c r="M54" s="34">
        <f ca="1">OFFSET(Org_dat!$F$5,$H54,0)</f>
        <v>301346.65999999997</v>
      </c>
      <c r="N54" s="35">
        <f ca="1">OFFSET(Org_dat!$G$5,$H54,0)</f>
        <v>0.21446252824481807</v>
      </c>
      <c r="O54" s="35">
        <f ca="1">OFFSET(Org_dat!$H$5,$H54,0)</f>
        <v>0.2046</v>
      </c>
      <c r="P54" s="34">
        <f ca="1">OFFSET(Org_dat!$I$5,$H54,0)</f>
        <v>296496.59999999998</v>
      </c>
      <c r="Q54" s="35">
        <f ca="1">OFFSET(Org_dat!$J$5,$H54,0)</f>
        <v>0.21101083533493459</v>
      </c>
      <c r="R54" s="35">
        <f ca="1">OFFSET(Org_dat!$K$5,$H54,0)</f>
        <v>1.0313335060358484</v>
      </c>
      <c r="S54" s="34">
        <f ca="1">OFFSET(Org_dat!$L$5,$H54,0)</f>
        <v>81992.929999999993</v>
      </c>
      <c r="T54" s="35">
        <f ca="1">OFFSET(Org_dat!$M$5,$H54,0)</f>
        <v>0.21663196337293664</v>
      </c>
    </row>
    <row r="55" spans="2:20" x14ac:dyDescent="0.2">
      <c r="B55" s="342">
        <f>Org_dat!K51+(C55/100000)</f>
        <v>0.71529545487217183</v>
      </c>
      <c r="C55" s="31">
        <f>Org_dat!B51</f>
        <v>46</v>
      </c>
      <c r="D55" s="32" t="str">
        <f>Org_dat!C51</f>
        <v>MŠ Gen.Janka</v>
      </c>
      <c r="E55" s="33">
        <f ca="1">OFFSET(Org_dat!$C51,0,OrgSortCriteria)</f>
        <v>47.689102598123057</v>
      </c>
      <c r="F55" s="33">
        <f t="shared" ca="1" si="8"/>
        <v>47.689102598838353</v>
      </c>
      <c r="G55" s="33">
        <f t="shared" ca="1" si="9"/>
        <v>70.434719486978437</v>
      </c>
      <c r="H55" s="31">
        <f t="shared" ca="1" si="10"/>
        <v>27</v>
      </c>
      <c r="J55" s="32" t="str">
        <f ca="1">OFFSET(Org_dat!$C$5,$H55,0)</f>
        <v>Domov Slunovrat</v>
      </c>
      <c r="K55" s="158">
        <f ca="1">OFFSET(Org_dat!$D$5,$H55,0)</f>
        <v>70.434719486228062</v>
      </c>
      <c r="L55" s="34">
        <f ca="1">OFFSET(Org_dat!$E$5,$H55,0)</f>
        <v>8043750</v>
      </c>
      <c r="M55" s="34">
        <f ca="1">OFFSET(Org_dat!$F$5,$H55,0)</f>
        <v>4090797.93</v>
      </c>
      <c r="N55" s="35">
        <f ca="1">OFFSET(Org_dat!$G$5,$H55,0)</f>
        <v>0.50856850722610725</v>
      </c>
      <c r="O55" s="35">
        <f ca="1">OFFSET(Org_dat!$H$5,$H55,0)</f>
        <v>0.49</v>
      </c>
      <c r="P55" s="34">
        <f ca="1">OFFSET(Org_dat!$I$5,$H55,0)</f>
        <v>2956491.59</v>
      </c>
      <c r="Q55" s="35">
        <f ca="1">OFFSET(Org_dat!$J$5,$H55,0)</f>
        <v>0.36755140202020198</v>
      </c>
      <c r="R55" s="35">
        <f ca="1">OFFSET(Org_dat!$K$5,$H55,0)</f>
        <v>0.75010490208204494</v>
      </c>
      <c r="S55" s="34">
        <f ca="1">OFFSET(Org_dat!$L$5,$H55,0)</f>
        <v>1398146.89</v>
      </c>
      <c r="T55" s="35">
        <f ca="1">OFFSET(Org_dat!$M$5,$H55,0)</f>
        <v>0.32107071492189637</v>
      </c>
    </row>
    <row r="56" spans="2:20" x14ac:dyDescent="0.2">
      <c r="B56" s="342">
        <f>Org_dat!K52+(C56/100000)</f>
        <v>0.72836389955466896</v>
      </c>
      <c r="C56" s="31">
        <f>Org_dat!B52</f>
        <v>47</v>
      </c>
      <c r="D56" s="32" t="str">
        <f>Org_dat!C52</f>
        <v>MŠ Harmonie, O-Hrabůvka</v>
      </c>
      <c r="E56" s="33">
        <f ca="1">OFFSET(Org_dat!$C52,0,OrgSortCriteria)</f>
        <v>71.877269553386299</v>
      </c>
      <c r="F56" s="33">
        <f t="shared" ca="1" si="8"/>
        <v>71.877269554114662</v>
      </c>
      <c r="G56" s="33">
        <f t="shared" ca="1" si="9"/>
        <v>70.42785364439186</v>
      </c>
      <c r="H56" s="31">
        <f t="shared" ca="1" si="10"/>
        <v>102</v>
      </c>
      <c r="J56" s="32" t="str">
        <f ca="1">OFFSET(Org_dat!$C$5,$H56,0)</f>
        <v>ÚMOb Krásné Pole</v>
      </c>
      <c r="K56" s="158">
        <f ca="1">OFFSET(Org_dat!$D$5,$H56,0)</f>
        <v>70.427853643883708</v>
      </c>
      <c r="L56" s="34">
        <f ca="1">OFFSET(Org_dat!$E$5,$H56,0)</f>
        <v>2566500</v>
      </c>
      <c r="M56" s="34">
        <f ca="1">OFFSET(Org_dat!$F$5,$H56,0)</f>
        <v>2283287.42</v>
      </c>
      <c r="N56" s="35">
        <f ca="1">OFFSET(Org_dat!$G$5,$H56,0)</f>
        <v>0.88965027079680492</v>
      </c>
      <c r="O56" s="35">
        <f ca="1">OFFSET(Org_dat!$H$5,$H56,0)</f>
        <v>0.1634802309946293</v>
      </c>
      <c r="P56" s="34">
        <f ca="1">OFFSET(Org_dat!$I$5,$H56,0)</f>
        <v>212777.93000000002</v>
      </c>
      <c r="Q56" s="35">
        <f ca="1">OFFSET(Org_dat!$J$5,$H56,0)</f>
        <v>8.2905875706214702E-2</v>
      </c>
      <c r="R56" s="35">
        <f ca="1">OFFSET(Org_dat!$K$5,$H56,0)</f>
        <v>0.50713089406472855</v>
      </c>
      <c r="S56" s="34">
        <f ca="1">OFFSET(Org_dat!$L$5,$H56,0)</f>
        <v>173903.17</v>
      </c>
      <c r="T56" s="35">
        <f ca="1">OFFSET(Org_dat!$M$5,$H56,0)</f>
        <v>0.44973279014671264</v>
      </c>
    </row>
    <row r="57" spans="2:20" x14ac:dyDescent="0.2">
      <c r="B57" s="342">
        <f>Org_dat!K53+(C57/100000)</f>
        <v>0.40929142195601248</v>
      </c>
      <c r="C57" s="31">
        <f>Org_dat!B53</f>
        <v>48</v>
      </c>
      <c r="D57" s="32" t="str">
        <f>Org_dat!C53</f>
        <v>MŠ Heřmanice</v>
      </c>
      <c r="E57" s="33">
        <f ca="1">OFFSET(Org_dat!$C53,0,OrgSortCriteria)</f>
        <v>24.52868531736075</v>
      </c>
      <c r="F57" s="33">
        <f t="shared" ca="1" si="8"/>
        <v>24.528685317770041</v>
      </c>
      <c r="G57" s="33">
        <f t="shared" ca="1" si="9"/>
        <v>69.75928211631684</v>
      </c>
      <c r="H57" s="31">
        <f t="shared" ca="1" si="10"/>
        <v>122</v>
      </c>
      <c r="J57" s="32" t="str">
        <f ca="1">OFFSET(Org_dat!$C$5,$H57,0)</f>
        <v>ÚMOb Vítkovice</v>
      </c>
      <c r="K57" s="158">
        <f ca="1">OFFSET(Org_dat!$D$5,$H57,0)</f>
        <v>69.759282115671397</v>
      </c>
      <c r="L57" s="34">
        <f ca="1">OFFSET(Org_dat!$E$5,$H57,0)</f>
        <v>23940000</v>
      </c>
      <c r="M57" s="34">
        <f ca="1">OFFSET(Org_dat!$F$5,$H57,0)</f>
        <v>14893471.379999999</v>
      </c>
      <c r="N57" s="35">
        <f ca="1">OFFSET(Org_dat!$G$5,$H57,0)</f>
        <v>0.62211659899749372</v>
      </c>
      <c r="O57" s="35">
        <f ca="1">OFFSET(Org_dat!$H$5,$H57,0)</f>
        <v>0.16601831318436977</v>
      </c>
      <c r="P57" s="34">
        <f ca="1">OFFSET(Org_dat!$I$5,$H57,0)</f>
        <v>2560455.19</v>
      </c>
      <c r="Q57" s="35">
        <f ca="1">OFFSET(Org_dat!$J$5,$H57,0)</f>
        <v>0.10695301545530493</v>
      </c>
      <c r="R57" s="35">
        <f ca="1">OFFSET(Org_dat!$K$5,$H57,0)</f>
        <v>0.64422420276327863</v>
      </c>
      <c r="S57" s="34">
        <f ca="1">OFFSET(Org_dat!$L$5,$H57,0)</f>
        <v>1995075.85</v>
      </c>
      <c r="T57" s="35">
        <f ca="1">OFFSET(Org_dat!$M$5,$H57,0)</f>
        <v>0.43794583605778703</v>
      </c>
    </row>
    <row r="58" spans="2:20" x14ac:dyDescent="0.2">
      <c r="B58" s="342">
        <f>Org_dat!K54+(C58/100000)</f>
        <v>5.1856771950604279E-2</v>
      </c>
      <c r="C58" s="31">
        <f>Org_dat!B54</f>
        <v>49</v>
      </c>
      <c r="D58" s="32" t="str">
        <f>Org_dat!C54</f>
        <v>MŠ Hornická</v>
      </c>
      <c r="E58" s="33">
        <f ca="1">OFFSET(Org_dat!$C54,0,OrgSortCriteria)</f>
        <v>3.082006317036257</v>
      </c>
      <c r="F58" s="33">
        <f t="shared" ca="1" si="8"/>
        <v>3.0820063170881138</v>
      </c>
      <c r="G58" s="33">
        <f t="shared" ca="1" si="9"/>
        <v>69.685928017742441</v>
      </c>
      <c r="H58" s="31">
        <f t="shared" ca="1" si="10"/>
        <v>44</v>
      </c>
      <c r="J58" s="32" t="str">
        <f ca="1">OFFSET(Org_dat!$C$5,$H58,0)</f>
        <v>MŠ Čtyřlístek, O-Poruba</v>
      </c>
      <c r="K58" s="158">
        <f ca="1">OFFSET(Org_dat!$D$5,$H58,0)</f>
        <v>69.685928016954577</v>
      </c>
      <c r="L58" s="34">
        <f ca="1">OFFSET(Org_dat!$E$5,$H58,0)</f>
        <v>2091750</v>
      </c>
      <c r="M58" s="34">
        <f ca="1">OFFSET(Org_dat!$F$5,$H58,0)</f>
        <v>938793.62</v>
      </c>
      <c r="N58" s="35">
        <f ca="1">OFFSET(Org_dat!$G$5,$H58,0)</f>
        <v>0.44880775427273811</v>
      </c>
      <c r="O58" s="35">
        <f ca="1">OFFSET(Org_dat!$H$5,$H58,0)</f>
        <v>0.19989999999999999</v>
      </c>
      <c r="P58" s="34">
        <f ca="1">OFFSET(Org_dat!$I$5,$H58,0)</f>
        <v>329254.82</v>
      </c>
      <c r="Q58" s="35">
        <f ca="1">OFFSET(Org_dat!$J$5,$H58,0)</f>
        <v>0.15740639177722004</v>
      </c>
      <c r="R58" s="35">
        <f ca="1">OFFSET(Org_dat!$K$5,$H58,0)</f>
        <v>0.7874256717219611</v>
      </c>
      <c r="S58" s="34">
        <f ca="1">OFFSET(Org_dat!$L$5,$H58,0)</f>
        <v>93618.700000000012</v>
      </c>
      <c r="T58" s="35">
        <f ca="1">OFFSET(Org_dat!$M$5,$H58,0)</f>
        <v>0.22138700006564613</v>
      </c>
    </row>
    <row r="59" spans="2:20" x14ac:dyDescent="0.2">
      <c r="B59" s="342">
        <f>Org_dat!K55+(C59/100000)</f>
        <v>0.20761280588476874</v>
      </c>
      <c r="C59" s="31">
        <f>Org_dat!B55</f>
        <v>50</v>
      </c>
      <c r="D59" s="32" t="str">
        <f>Org_dat!C55</f>
        <v>MŠ Klubíčko, O-Hrabová</v>
      </c>
      <c r="E59" s="33">
        <f ca="1">OFFSET(Org_dat!$C55,0,OrgSortCriteria)</f>
        <v>12.426768353086125</v>
      </c>
      <c r="F59" s="33">
        <f t="shared" ca="1" si="8"/>
        <v>12.426768353293738</v>
      </c>
      <c r="G59" s="33">
        <f t="shared" ca="1" si="9"/>
        <v>68.33614941859166</v>
      </c>
      <c r="H59" s="31">
        <f t="shared" ca="1" si="10"/>
        <v>129</v>
      </c>
      <c r="J59" s="32" t="str">
        <f ca="1">OFFSET(Org_dat!$C$5,$H59,0)</f>
        <v>ZŠ a MŠ O-Krásné Pole</v>
      </c>
      <c r="K59" s="158">
        <f ca="1">OFFSET(Org_dat!$D$5,$H59,0)</f>
        <v>68.336149417675074</v>
      </c>
      <c r="L59" s="34">
        <f ca="1">OFFSET(Org_dat!$E$5,$H59,0)</f>
        <v>2952000</v>
      </c>
      <c r="M59" s="34">
        <f ca="1">OFFSET(Org_dat!$F$5,$H59,0)</f>
        <v>792198.93</v>
      </c>
      <c r="N59" s="35">
        <f ca="1">OFFSET(Org_dat!$G$5,$H59,0)</f>
        <v>0.26836007113821142</v>
      </c>
      <c r="O59" s="35">
        <f ca="1">OFFSET(Org_dat!$H$5,$H59,0)</f>
        <v>0.38900000000000001</v>
      </c>
      <c r="P59" s="34">
        <f ca="1">OFFSET(Org_dat!$I$5,$H59,0)</f>
        <v>1051067.4099999999</v>
      </c>
      <c r="Q59" s="35">
        <f ca="1">OFFSET(Org_dat!$J$5,$H59,0)</f>
        <v>0.35605264566395661</v>
      </c>
      <c r="R59" s="35">
        <f ca="1">OFFSET(Org_dat!$K$5,$H59,0)</f>
        <v>0.91530243101274189</v>
      </c>
      <c r="S59" s="34">
        <f ca="1">OFFSET(Org_dat!$L$5,$H59,0)</f>
        <v>381759.94999999995</v>
      </c>
      <c r="T59" s="35">
        <f ca="1">OFFSET(Org_dat!$M$5,$H59,0)</f>
        <v>0.26643820508843435</v>
      </c>
    </row>
    <row r="60" spans="2:20" x14ac:dyDescent="0.2">
      <c r="B60" s="342">
        <f>Org_dat!K56+(C60/100000)</f>
        <v>8.1031926105390673E-2</v>
      </c>
      <c r="C60" s="31">
        <f>Org_dat!B56</f>
        <v>51</v>
      </c>
      <c r="D60" s="32" t="str">
        <f>Org_dat!C56</f>
        <v>MŠ Komerční</v>
      </c>
      <c r="E60" s="33">
        <f ca="1">OFFSET(Org_dat!$C56,0,OrgSortCriteria)</f>
        <v>4.8313155663234406</v>
      </c>
      <c r="F60" s="33">
        <f t="shared" ca="1" si="8"/>
        <v>4.8313155664044727</v>
      </c>
      <c r="G60" s="33">
        <f t="shared" ca="1" si="9"/>
        <v>68.129625392000463</v>
      </c>
      <c r="H60" s="31">
        <f t="shared" ca="1" si="10"/>
        <v>70</v>
      </c>
      <c r="J60" s="32" t="str">
        <f ca="1">OFFSET(Org_dat!$C$5,$H60,0)</f>
        <v>MŠ O-Poruba, Ukrajinská</v>
      </c>
      <c r="K60" s="158">
        <f ca="1">OFFSET(Org_dat!$D$5,$H60,0)</f>
        <v>68.129625391357919</v>
      </c>
      <c r="L60" s="34">
        <f ca="1">OFFSET(Org_dat!$E$5,$H60,0)</f>
        <v>1456792.5</v>
      </c>
      <c r="M60" s="34">
        <f ca="1">OFFSET(Org_dat!$F$5,$H60,0)</f>
        <v>862983.5</v>
      </c>
      <c r="N60" s="35">
        <f ca="1">OFFSET(Org_dat!$G$5,$H60,0)</f>
        <v>0.59238601242112376</v>
      </c>
      <c r="O60" s="35">
        <f ca="1">OFFSET(Org_dat!$H$5,$H60,0)</f>
        <v>0.25240000000000001</v>
      </c>
      <c r="P60" s="34">
        <f ca="1">OFFSET(Org_dat!$I$5,$H60,0)</f>
        <v>236000.53000000003</v>
      </c>
      <c r="Q60" s="35">
        <f ca="1">OFFSET(Org_dat!$J$5,$H60,0)</f>
        <v>0.16200009953373595</v>
      </c>
      <c r="R60" s="35">
        <f ca="1">OFFSET(Org_dat!$K$5,$H60,0)</f>
        <v>0.64183874617169545</v>
      </c>
      <c r="S60" s="34">
        <f ca="1">OFFSET(Org_dat!$L$5,$H60,0)</f>
        <v>59867.759999999995</v>
      </c>
      <c r="T60" s="35">
        <f ca="1">OFFSET(Org_dat!$M$5,$H60,0)</f>
        <v>0.20234598307240018</v>
      </c>
    </row>
    <row r="61" spans="2:20" x14ac:dyDescent="0.2">
      <c r="B61" s="342">
        <f>Org_dat!K57+(C61/100000)</f>
        <v>5.9706915280665282E-2</v>
      </c>
      <c r="C61" s="31">
        <f>Org_dat!B57</f>
        <v>52</v>
      </c>
      <c r="D61" s="32" t="str">
        <f>Org_dat!C57</f>
        <v>MŠ Křižíkova</v>
      </c>
      <c r="E61" s="33">
        <f ca="1">OFFSET(Org_dat!$C57,0,OrgSortCriteria)</f>
        <v>3.5512149168399167</v>
      </c>
      <c r="F61" s="33">
        <f t="shared" ca="1" si="8"/>
        <v>3.5512149168996237</v>
      </c>
      <c r="G61" s="33">
        <f t="shared" ca="1" si="9"/>
        <v>67.941363416033766</v>
      </c>
      <c r="H61" s="31">
        <f t="shared" ca="1" si="10"/>
        <v>136</v>
      </c>
      <c r="J61" s="32" t="str">
        <f ca="1">OFFSET(Org_dat!$C$5,$H61,0)</f>
        <v>ZŠ a MŠ O-Zábřeh, Kosmonautů 13</v>
      </c>
      <c r="K61" s="158">
        <f ca="1">OFFSET(Org_dat!$D$5,$H61,0)</f>
        <v>67.941363415352413</v>
      </c>
      <c r="L61" s="34">
        <f ca="1">OFFSET(Org_dat!$E$5,$H61,0)</f>
        <v>2313000</v>
      </c>
      <c r="M61" s="34">
        <f ca="1">OFFSET(Org_dat!$F$5,$H61,0)</f>
        <v>1255590.6599999999</v>
      </c>
      <c r="N61" s="35">
        <f ca="1">OFFSET(Org_dat!$G$5,$H61,0)</f>
        <v>0.54284075226977946</v>
      </c>
      <c r="O61" s="35">
        <f ca="1">OFFSET(Org_dat!$H$5,$H61,0)</f>
        <v>0.10349999999999999</v>
      </c>
      <c r="P61" s="34">
        <f ca="1">OFFSET(Org_dat!$I$5,$H61,0)</f>
        <v>162786.25</v>
      </c>
      <c r="Q61" s="35">
        <f ca="1">OFFSET(Org_dat!$J$5,$H61,0)</f>
        <v>7.0378837008214443E-2</v>
      </c>
      <c r="R61" s="35">
        <f ca="1">OFFSET(Org_dat!$K$5,$H61,0)</f>
        <v>0.67998876336439074</v>
      </c>
      <c r="S61" s="34">
        <f ca="1">OFFSET(Org_dat!$L$5,$H61,0)</f>
        <v>73325.679999999993</v>
      </c>
      <c r="T61" s="35">
        <f ca="1">OFFSET(Org_dat!$M$5,$H61,0)</f>
        <v>0.31055474409954631</v>
      </c>
    </row>
    <row r="62" spans="2:20" x14ac:dyDescent="0.2">
      <c r="B62" s="342">
        <f>Org_dat!K58+(C62/100000)</f>
        <v>0.23981041064516484</v>
      </c>
      <c r="C62" s="31">
        <f>Org_dat!B58</f>
        <v>53</v>
      </c>
      <c r="D62" s="32" t="str">
        <f>Org_dat!C58</f>
        <v>MŠ Lechowiczova</v>
      </c>
      <c r="E62" s="33">
        <f ca="1">OFFSET(Org_dat!$C58,0,OrgSortCriteria)</f>
        <v>17.784241557748857</v>
      </c>
      <c r="F62" s="33">
        <f t="shared" ca="1" si="8"/>
        <v>17.784241557988668</v>
      </c>
      <c r="G62" s="33">
        <f t="shared" ca="1" si="9"/>
        <v>67.932747643681822</v>
      </c>
      <c r="H62" s="31">
        <f t="shared" ca="1" si="10"/>
        <v>65</v>
      </c>
      <c r="J62" s="32" t="str">
        <f ca="1">OFFSET(Org_dat!$C$5,$H62,0)</f>
        <v>MŠ O-Poruba, Dvorní</v>
      </c>
      <c r="K62" s="158">
        <f ca="1">OFFSET(Org_dat!$D$5,$H62,0)</f>
        <v>67.932747642768192</v>
      </c>
      <c r="L62" s="34">
        <f ca="1">OFFSET(Org_dat!$E$5,$H62,0)</f>
        <v>2310000</v>
      </c>
      <c r="M62" s="34">
        <f ca="1">OFFSET(Org_dat!$F$5,$H62,0)</f>
        <v>607703.9</v>
      </c>
      <c r="N62" s="35">
        <f ca="1">OFFSET(Org_dat!$G$5,$H62,0)</f>
        <v>0.26307528138528141</v>
      </c>
      <c r="O62" s="35">
        <f ca="1">OFFSET(Org_dat!$H$5,$H62,0)</f>
        <v>0.35039999999999999</v>
      </c>
      <c r="P62" s="34">
        <f ca="1">OFFSET(Org_dat!$I$5,$H62,0)</f>
        <v>738990.4</v>
      </c>
      <c r="Q62" s="35">
        <f ca="1">OFFSET(Org_dat!$J$5,$H62,0)</f>
        <v>0.31990926406926407</v>
      </c>
      <c r="R62" s="35">
        <f ca="1">OFFSET(Org_dat!$K$5,$H62,0)</f>
        <v>0.91298305955840209</v>
      </c>
      <c r="S62" s="34">
        <f ca="1">OFFSET(Org_dat!$L$5,$H62,0)</f>
        <v>248105.46</v>
      </c>
      <c r="T62" s="35">
        <f ca="1">OFFSET(Org_dat!$M$5,$H62,0)</f>
        <v>0.25134890141267535</v>
      </c>
    </row>
    <row r="63" spans="2:20" x14ac:dyDescent="0.2">
      <c r="B63" s="342">
        <f>Org_dat!K59+(C63/100000)</f>
        <v>5.4000000000000001E-4</v>
      </c>
      <c r="C63" s="31">
        <f>Org_dat!B59</f>
        <v>54</v>
      </c>
      <c r="D63" s="32" t="str">
        <f>Org_dat!C59</f>
        <v>MŠ Martinovská</v>
      </c>
      <c r="E63" s="33">
        <f ca="1">OFFSET(Org_dat!$C59,0,OrgSortCriteria)</f>
        <v>0</v>
      </c>
      <c r="F63" s="33">
        <f t="shared" ca="1" si="8"/>
        <v>5.4000000000000002E-13</v>
      </c>
      <c r="G63" s="33">
        <f t="shared" ca="1" si="9"/>
        <v>67.697973204846306</v>
      </c>
      <c r="H63" s="31">
        <f t="shared" ca="1" si="10"/>
        <v>162</v>
      </c>
      <c r="J63" s="32" t="str">
        <f ca="1">OFFSET(Org_dat!$C$5,$H63,0)</f>
        <v>ZŠ O-Radvanice, Vrchlického</v>
      </c>
      <c r="K63" s="158">
        <f ca="1">OFFSET(Org_dat!$D$5,$H63,0)</f>
        <v>67.697973203582265</v>
      </c>
      <c r="L63" s="34">
        <f ca="1">OFFSET(Org_dat!$E$5,$H63,0)</f>
        <v>3545250</v>
      </c>
      <c r="M63" s="34">
        <f ca="1">OFFSET(Org_dat!$F$5,$H63,0)</f>
        <v>545824.79</v>
      </c>
      <c r="N63" s="35">
        <f ca="1">OFFSET(Org_dat!$G$5,$H63,0)</f>
        <v>0.15395946407164518</v>
      </c>
      <c r="O63" s="35">
        <f ca="1">OFFSET(Org_dat!$H$5,$H63,0)</f>
        <v>0.27689999999999998</v>
      </c>
      <c r="P63" s="34">
        <f ca="1">OFFSET(Org_dat!$I$5,$H63,0)</f>
        <v>1239293.06</v>
      </c>
      <c r="Q63" s="35">
        <f ca="1">OFFSET(Org_dat!$J$5,$H63,0)</f>
        <v>0.34956436358507864</v>
      </c>
      <c r="R63" s="35">
        <f ca="1">OFFSET(Org_dat!$K$5,$H63,0)</f>
        <v>1.2624209591371565</v>
      </c>
      <c r="S63" s="34">
        <f ca="1">OFFSET(Org_dat!$L$5,$H63,0)</f>
        <v>712252.46</v>
      </c>
      <c r="T63" s="35">
        <f ca="1">OFFSET(Org_dat!$M$5,$H63,0)</f>
        <v>0.36496840719349449</v>
      </c>
    </row>
    <row r="64" spans="2:20" x14ac:dyDescent="0.2">
      <c r="B64" s="342">
        <f>Org_dat!K60+(C64/100000)</f>
        <v>0.22620797986501012</v>
      </c>
      <c r="C64" s="31">
        <f>Org_dat!B60</f>
        <v>55</v>
      </c>
      <c r="D64" s="32" t="str">
        <f>Org_dat!C60</f>
        <v>MŠ Na Jízdárně</v>
      </c>
      <c r="E64" s="33">
        <f ca="1">OFFSET(Org_dat!$C60,0,OrgSortCriteria)</f>
        <v>14.736462947903046</v>
      </c>
      <c r="F64" s="33">
        <f t="shared" ca="1" si="8"/>
        <v>14.736462948129255</v>
      </c>
      <c r="G64" s="33">
        <f t="shared" ca="1" si="9"/>
        <v>67.639293195216268</v>
      </c>
      <c r="H64" s="31">
        <f t="shared" ca="1" si="10"/>
        <v>60</v>
      </c>
      <c r="J64" s="32" t="str">
        <f ca="1">OFFSET(Org_dat!$C$5,$H64,0)</f>
        <v>MŠ O-Hulváky, Matrosova</v>
      </c>
      <c r="K64" s="158">
        <f ca="1">OFFSET(Org_dat!$D$5,$H64,0)</f>
        <v>67.639293194323329</v>
      </c>
      <c r="L64" s="34">
        <f ca="1">OFFSET(Org_dat!$E$5,$H64,0)</f>
        <v>782072.25</v>
      </c>
      <c r="M64" s="34">
        <f ca="1">OFFSET(Org_dat!$F$5,$H64,0)</f>
        <v>220534.44</v>
      </c>
      <c r="N64" s="35">
        <f ca="1">OFFSET(Org_dat!$G$5,$H64,0)</f>
        <v>0.281987297209433</v>
      </c>
      <c r="O64" s="35">
        <f ca="1">OFFSET(Org_dat!$H$5,$H64,0)</f>
        <v>0.27110000000000001</v>
      </c>
      <c r="P64" s="34">
        <f ca="1">OFFSET(Org_dat!$I$5,$H64,0)</f>
        <v>189192.07</v>
      </c>
      <c r="Q64" s="35">
        <f ca="1">OFFSET(Org_dat!$J$5,$H64,0)</f>
        <v>0.24191124285511986</v>
      </c>
      <c r="R64" s="35">
        <f ca="1">OFFSET(Org_dat!$K$5,$H64,0)</f>
        <v>0.89233213889752805</v>
      </c>
      <c r="S64" s="34">
        <f ca="1">OFFSET(Org_dat!$L$5,$H64,0)</f>
        <v>101943.54</v>
      </c>
      <c r="T64" s="35">
        <f ca="1">OFFSET(Org_dat!$M$5,$H64,0)</f>
        <v>0.35015826473443079</v>
      </c>
    </row>
    <row r="65" spans="2:20" x14ac:dyDescent="0.2">
      <c r="B65" s="342">
        <f>Org_dat!K61+(C65/100000)</f>
        <v>0.71013934170265092</v>
      </c>
      <c r="C65" s="31">
        <f>Org_dat!B61</f>
        <v>56</v>
      </c>
      <c r="D65" s="32" t="str">
        <f>Org_dat!C61</f>
        <v>MŠ O-Bartovice</v>
      </c>
      <c r="E65" s="33">
        <f ca="1">OFFSET(Org_dat!$C61,0,OrgSortCriteria)</f>
        <v>42.574760502159052</v>
      </c>
      <c r="F65" s="33">
        <f t="shared" ca="1" si="8"/>
        <v>42.574760502869189</v>
      </c>
      <c r="G65" s="33">
        <f t="shared" ca="1" si="9"/>
        <v>67.16051821346926</v>
      </c>
      <c r="H65" s="31">
        <f t="shared" ca="1" si="10"/>
        <v>1</v>
      </c>
      <c r="J65" s="32" t="str">
        <f ca="1">OFFSET(Org_dat!$C$5,$H65,0)</f>
        <v>Domov Slunečnice</v>
      </c>
      <c r="K65" s="158">
        <f ca="1">OFFSET(Org_dat!$D$5,$H65,0)</f>
        <v>67.160518212993807</v>
      </c>
      <c r="L65" s="34">
        <f ca="1">OFFSET(Org_dat!$E$5,$H65,0)</f>
        <v>28366500</v>
      </c>
      <c r="M65" s="34">
        <f ca="1">OFFSET(Org_dat!$F$5,$H65,0)</f>
        <v>21918063.619999997</v>
      </c>
      <c r="N65" s="35">
        <f ca="1">OFFSET(Org_dat!$G$5,$H65,0)</f>
        <v>0.77267423263356416</v>
      </c>
      <c r="O65" s="35">
        <f ca="1">OFFSET(Org_dat!$H$5,$H65,0)</f>
        <v>0.54</v>
      </c>
      <c r="P65" s="34">
        <f ca="1">OFFSET(Org_dat!$I$5,$H65,0)</f>
        <v>7282850.9300000006</v>
      </c>
      <c r="Q65" s="35">
        <f ca="1">OFFSET(Org_dat!$J$5,$H65,0)</f>
        <v>0.25674125923184038</v>
      </c>
      <c r="R65" s="35">
        <f ca="1">OFFSET(Org_dat!$K$5,$H65,0)</f>
        <v>0.47544677635525995</v>
      </c>
      <c r="S65" s="34">
        <f ca="1">OFFSET(Org_dat!$L$5,$H65,0)</f>
        <v>1879958.4000000001</v>
      </c>
      <c r="T65" s="35">
        <f ca="1">OFFSET(Org_dat!$M$5,$H65,0)</f>
        <v>0.20517270765908213</v>
      </c>
    </row>
    <row r="66" spans="2:20" x14ac:dyDescent="0.2">
      <c r="B66" s="342">
        <f>Org_dat!K62+(C66/100000)</f>
        <v>0.31759783091193533</v>
      </c>
      <c r="C66" s="31">
        <f>Org_dat!B62</f>
        <v>57</v>
      </c>
      <c r="D66" s="32" t="str">
        <f>Org_dat!C62</f>
        <v>MŠ O-Dubina, A.Gavlase</v>
      </c>
      <c r="E66" s="33">
        <f ca="1">OFFSET(Org_dat!$C62,0,OrgSortCriteria)</f>
        <v>21.427674604057525</v>
      </c>
      <c r="F66" s="33">
        <f t="shared" ca="1" si="8"/>
        <v>21.427674604375124</v>
      </c>
      <c r="G66" s="33">
        <f t="shared" ca="1" si="9"/>
        <v>67.034857946729943</v>
      </c>
      <c r="H66" s="31">
        <f t="shared" ca="1" si="10"/>
        <v>98</v>
      </c>
      <c r="J66" s="32" t="str">
        <f ca="1">OFFSET(Org_dat!$C$5,$H66,0)</f>
        <v>Technické služby Slezská Ostrava</v>
      </c>
      <c r="K66" s="158">
        <f ca="1">OFFSET(Org_dat!$D$5,$H66,0)</f>
        <v>67.034857945937972</v>
      </c>
      <c r="L66" s="34">
        <f ca="1">OFFSET(Org_dat!$E$5,$H66,0)</f>
        <v>17492700</v>
      </c>
      <c r="M66" s="34">
        <f ca="1">OFFSET(Org_dat!$F$5,$H66,0)</f>
        <v>6848549.21</v>
      </c>
      <c r="N66" s="35">
        <f ca="1">OFFSET(Org_dat!$G$5,$H66,0)</f>
        <v>0.39150898431917314</v>
      </c>
      <c r="O66" s="35">
        <f ca="1">OFFSET(Org_dat!$H$5,$H66,0)</f>
        <v>0.44</v>
      </c>
      <c r="P66" s="34">
        <f ca="1">OFFSET(Org_dat!$I$5,$H66,0)</f>
        <v>6088083.46</v>
      </c>
      <c r="Q66" s="35">
        <f ca="1">OFFSET(Org_dat!$J$5,$H66,0)</f>
        <v>0.34803566401984826</v>
      </c>
      <c r="R66" s="35">
        <f ca="1">OFFSET(Org_dat!$K$5,$H66,0)</f>
        <v>0.79099014549965518</v>
      </c>
      <c r="S66" s="34">
        <f ca="1">OFFSET(Org_dat!$L$5,$H66,0)</f>
        <v>372914.45999999996</v>
      </c>
      <c r="T66" s="35">
        <f ca="1">OFFSET(Org_dat!$M$5,$H66,0)</f>
        <v>5.7717780537530336E-2</v>
      </c>
    </row>
    <row r="67" spans="2:20" x14ac:dyDescent="0.2">
      <c r="B67" s="342">
        <f>Org_dat!K63+(C67/100000)</f>
        <v>0.35565079439323777</v>
      </c>
      <c r="C67" s="31">
        <f>Org_dat!B63</f>
        <v>58</v>
      </c>
      <c r="D67" s="32" t="str">
        <f>Org_dat!C63</f>
        <v>MŠ O-Dubina, F.Formana</v>
      </c>
      <c r="E67" s="33">
        <f ca="1">OFFSET(Org_dat!$C63,0,OrgSortCriteria)</f>
        <v>24.821571736869508</v>
      </c>
      <c r="F67" s="33">
        <f t="shared" ca="1" si="8"/>
        <v>24.82157173722516</v>
      </c>
      <c r="G67" s="33">
        <f t="shared" ca="1" si="9"/>
        <v>65.772721615454913</v>
      </c>
      <c r="H67" s="31">
        <f t="shared" ca="1" si="10"/>
        <v>112</v>
      </c>
      <c r="J67" s="32" t="str">
        <f ca="1">OFFSET(Org_dat!$C$5,$H67,0)</f>
        <v>ÚMOb Plesná</v>
      </c>
      <c r="K67" s="158">
        <f ca="1">OFFSET(Org_dat!$D$5,$H67,0)</f>
        <v>65.772721614999952</v>
      </c>
      <c r="L67" s="34">
        <f ca="1">OFFSET(Org_dat!$E$5,$H67,0)</f>
        <v>1350750</v>
      </c>
      <c r="M67" s="34">
        <f ca="1">OFFSET(Org_dat!$F$5,$H67,0)</f>
        <v>1041227.7</v>
      </c>
      <c r="N67" s="35">
        <f ca="1">OFFSET(Org_dat!$G$5,$H67,0)</f>
        <v>0.77085152692948355</v>
      </c>
      <c r="O67" s="35">
        <f ca="1">OFFSET(Org_dat!$H$5,$H67,0)</f>
        <v>0.13139999999999999</v>
      </c>
      <c r="P67" s="34">
        <f ca="1">OFFSET(Org_dat!$I$5,$H67,0)</f>
        <v>80550.649999999994</v>
      </c>
      <c r="Q67" s="35">
        <f ca="1">OFFSET(Org_dat!$J$5,$H67,0)</f>
        <v>5.963401813807144E-2</v>
      </c>
      <c r="R67" s="35">
        <f ca="1">OFFSET(Org_dat!$K$5,$H67,0)</f>
        <v>0.45383575447542956</v>
      </c>
      <c r="S67" s="34">
        <f ca="1">OFFSET(Org_dat!$L$5,$H67,0)</f>
        <v>81289.78</v>
      </c>
      <c r="T67" s="35">
        <f ca="1">OFFSET(Org_dat!$M$5,$H67,0)</f>
        <v>0.5022835146940724</v>
      </c>
    </row>
    <row r="68" spans="2:20" x14ac:dyDescent="0.2">
      <c r="B68" s="342">
        <f>Org_dat!K64+(C68/100000)</f>
        <v>0.1555253598014224</v>
      </c>
      <c r="C68" s="31">
        <f>Org_dat!B64</f>
        <v>59</v>
      </c>
      <c r="D68" s="32" t="str">
        <f>Org_dat!C64</f>
        <v>MŠ O-Hrabůvka, Adamusova</v>
      </c>
      <c r="E68" s="33">
        <f ca="1">OFFSET(Org_dat!$C64,0,OrgSortCriteria)</f>
        <v>28.493683908187819</v>
      </c>
      <c r="F68" s="33">
        <f t="shared" ca="1" si="8"/>
        <v>28.493683908343343</v>
      </c>
      <c r="G68" s="33">
        <f t="shared" ca="1" si="9"/>
        <v>65.162860020953104</v>
      </c>
      <c r="H68" s="31">
        <f t="shared" ca="1" si="10"/>
        <v>118</v>
      </c>
      <c r="J68" s="32" t="str">
        <f ca="1">OFFSET(Org_dat!$C$5,$H68,0)</f>
        <v>ÚMOb Slezská Ostrava</v>
      </c>
      <c r="K68" s="158">
        <f ca="1">OFFSET(Org_dat!$D$5,$H68,0)</f>
        <v>65.162860020452982</v>
      </c>
      <c r="L68" s="34">
        <f ca="1">OFFSET(Org_dat!$E$5,$H68,0)</f>
        <v>57479250</v>
      </c>
      <c r="M68" s="34">
        <f ca="1">OFFSET(Org_dat!$F$5,$H68,0)</f>
        <v>40495805.829999998</v>
      </c>
      <c r="N68" s="35">
        <f ca="1">OFFSET(Org_dat!$G$5,$H68,0)</f>
        <v>0.70452912711978666</v>
      </c>
      <c r="O68" s="35">
        <f ca="1">OFFSET(Org_dat!$H$5,$H68,0)</f>
        <v>0.21337085300724309</v>
      </c>
      <c r="P68" s="34">
        <f ca="1">OFFSET(Org_dat!$I$5,$H68,0)</f>
        <v>6119198.79</v>
      </c>
      <c r="Q68" s="35">
        <f ca="1">OFFSET(Org_dat!$J$5,$H68,0)</f>
        <v>0.10645926643092943</v>
      </c>
      <c r="R68" s="35">
        <f ca="1">OFFSET(Org_dat!$K$5,$H68,0)</f>
        <v>0.49894006107439404</v>
      </c>
      <c r="S68" s="34">
        <f ca="1">OFFSET(Org_dat!$L$5,$H68,0)</f>
        <v>4442394.68</v>
      </c>
      <c r="T68" s="35">
        <f ca="1">OFFSET(Org_dat!$M$5,$H68,0)</f>
        <v>0.42061784451546402</v>
      </c>
    </row>
    <row r="69" spans="2:20" x14ac:dyDescent="0.2">
      <c r="B69" s="342">
        <f>Org_dat!K65+(C69/100000)</f>
        <v>0.89293213889752809</v>
      </c>
      <c r="C69" s="31">
        <f>Org_dat!B65</f>
        <v>60</v>
      </c>
      <c r="D69" s="32" t="str">
        <f>Org_dat!C65</f>
        <v>MŠ O-Hulváky, Matrosova</v>
      </c>
      <c r="E69" s="33">
        <f ca="1">OFFSET(Org_dat!$C65,0,OrgSortCriteria)</f>
        <v>67.639293194323329</v>
      </c>
      <c r="F69" s="33">
        <f t="shared" ca="1" si="8"/>
        <v>67.639293195216268</v>
      </c>
      <c r="G69" s="33">
        <f t="shared" ca="1" si="9"/>
        <v>64.057308604736889</v>
      </c>
      <c r="H69" s="31">
        <f t="shared" ca="1" si="10"/>
        <v>30</v>
      </c>
      <c r="J69" s="32" t="str">
        <f ca="1">OFFSET(Org_dat!$C$5,$H69,0)</f>
        <v>Dům dětí a mládeže Poruba</v>
      </c>
      <c r="K69" s="158">
        <f ca="1">OFFSET(Org_dat!$D$5,$H69,0)</f>
        <v>64.057308604028407</v>
      </c>
      <c r="L69" s="34">
        <f ca="1">OFFSET(Org_dat!$E$5,$H69,0)</f>
        <v>3067500</v>
      </c>
      <c r="M69" s="34">
        <f ca="1">OFFSET(Org_dat!$F$5,$H69,0)</f>
        <v>1323105.1400000001</v>
      </c>
      <c r="N69" s="35">
        <f ca="1">OFFSET(Org_dat!$G$5,$H69,0)</f>
        <v>0.4313301189894051</v>
      </c>
      <c r="O69" s="35">
        <f ca="1">OFFSET(Org_dat!$H$5,$H69,0)</f>
        <v>0.14000000000000001</v>
      </c>
      <c r="P69" s="34">
        <f ca="1">OFFSET(Org_dat!$I$5,$H69,0)</f>
        <v>304127.92000000004</v>
      </c>
      <c r="Q69" s="35">
        <f ca="1">OFFSET(Org_dat!$J$5,$H69,0)</f>
        <v>9.9145206193969049E-2</v>
      </c>
      <c r="R69" s="35">
        <f ca="1">OFFSET(Org_dat!$K$5,$H69,0)</f>
        <v>0.70818004424263592</v>
      </c>
      <c r="S69" s="34">
        <f ca="1">OFFSET(Org_dat!$L$5,$H69,0)</f>
        <v>207318.79</v>
      </c>
      <c r="T69" s="35">
        <f ca="1">OFFSET(Org_dat!$M$5,$H69,0)</f>
        <v>0.40535755914824434</v>
      </c>
    </row>
    <row r="70" spans="2:20" x14ac:dyDescent="0.2">
      <c r="B70" s="342">
        <f>Org_dat!K66+(C70/100000)</f>
        <v>0.23109059181103347</v>
      </c>
      <c r="C70" s="31">
        <f>Org_dat!B66</f>
        <v>61</v>
      </c>
      <c r="D70" s="32" t="str">
        <f>Org_dat!C66</f>
        <v>MŠ O-Nová Bělá</v>
      </c>
      <c r="E70" s="33">
        <f ca="1">OFFSET(Org_dat!$C66,0,OrgSortCriteria)</f>
        <v>13.828835508662008</v>
      </c>
      <c r="F70" s="33">
        <f t="shared" ca="1" si="8"/>
        <v>13.828835508893098</v>
      </c>
      <c r="G70" s="33">
        <f t="shared" ca="1" si="9"/>
        <v>63.695279651446512</v>
      </c>
      <c r="H70" s="31">
        <f t="shared" ca="1" si="10"/>
        <v>120</v>
      </c>
      <c r="J70" s="32" t="str">
        <f ca="1">OFFSET(Org_dat!$C$5,$H70,0)</f>
        <v>ÚMOb Svinov</v>
      </c>
      <c r="K70" s="158">
        <f ca="1">OFFSET(Org_dat!$D$5,$H70,0)</f>
        <v>63.695279650958192</v>
      </c>
      <c r="L70" s="34">
        <f ca="1">OFFSET(Org_dat!$E$5,$H70,0)</f>
        <v>5530500</v>
      </c>
      <c r="M70" s="34">
        <f ca="1">OFFSET(Org_dat!$F$5,$H70,0)</f>
        <v>3812503.67</v>
      </c>
      <c r="N70" s="35">
        <f ca="1">OFFSET(Org_dat!$G$5,$H70,0)</f>
        <v>0.68935967272398513</v>
      </c>
      <c r="O70" s="35">
        <f ca="1">OFFSET(Org_dat!$H$5,$H70,0)</f>
        <v>0.14752125202248395</v>
      </c>
      <c r="P70" s="34">
        <f ca="1">OFFSET(Org_dat!$I$5,$H70,0)</f>
        <v>397426.08999999997</v>
      </c>
      <c r="Q70" s="35">
        <f ca="1">OFFSET(Org_dat!$J$5,$H70,0)</f>
        <v>7.1860788355483221E-2</v>
      </c>
      <c r="R70" s="35">
        <f ca="1">OFFSET(Org_dat!$K$5,$H70,0)</f>
        <v>0.48712160024598222</v>
      </c>
      <c r="S70" s="34">
        <f ca="1">OFFSET(Org_dat!$L$5,$H70,0)</f>
        <v>289934.5</v>
      </c>
      <c r="T70" s="35">
        <f ca="1">OFFSET(Org_dat!$M$5,$H70,0)</f>
        <v>0.42180844263998318</v>
      </c>
    </row>
    <row r="71" spans="2:20" x14ac:dyDescent="0.2">
      <c r="B71" s="342">
        <f>Org_dat!K67+(C71/100000)</f>
        <v>0.67754930661853874</v>
      </c>
      <c r="C71" s="31">
        <f>Org_dat!B67</f>
        <v>62</v>
      </c>
      <c r="D71" s="32" t="str">
        <f>Org_dat!C67</f>
        <v>MŠ O-Petřkovice</v>
      </c>
      <c r="E71" s="33">
        <f ca="1">OFFSET(Org_dat!$C67,0,OrgSortCriteria)</f>
        <v>47.403403738161465</v>
      </c>
      <c r="F71" s="33">
        <f t="shared" ca="1" si="8"/>
        <v>47.403403738839017</v>
      </c>
      <c r="G71" s="33">
        <f t="shared" ca="1" si="9"/>
        <v>63.157880436327808</v>
      </c>
      <c r="H71" s="31">
        <f t="shared" ca="1" si="10"/>
        <v>142</v>
      </c>
      <c r="J71" s="32" t="str">
        <f ca="1">OFFSET(Org_dat!$C$5,$H71,0)</f>
        <v>ZŠ O-Dubina, F.Formana</v>
      </c>
      <c r="K71" s="158">
        <f ca="1">OFFSET(Org_dat!$D$5,$H71,0)</f>
        <v>63.157880434782612</v>
      </c>
      <c r="L71" s="34">
        <f ca="1">OFFSET(Org_dat!$E$5,$H71,0)</f>
        <v>5382000</v>
      </c>
      <c r="M71" s="34">
        <f ca="1">OFFSET(Org_dat!$F$5,$H71,0)</f>
        <v>339914.25</v>
      </c>
      <c r="N71" s="35">
        <f ca="1">OFFSET(Org_dat!$G$5,$H71,0)</f>
        <v>6.3157608695652179E-2</v>
      </c>
      <c r="O71" s="35">
        <f ca="1">OFFSET(Org_dat!$H$5,$H71,0)</f>
        <v>0.20780000000000001</v>
      </c>
      <c r="P71" s="34">
        <f ca="1">OFFSET(Org_dat!$I$5,$H71,0)</f>
        <v>1726531.23</v>
      </c>
      <c r="Q71" s="35">
        <f ca="1">OFFSET(Org_dat!$J$5,$H71,0)</f>
        <v>0.32079732998885174</v>
      </c>
      <c r="R71" s="35">
        <f ca="1">OFFSET(Org_dat!$K$5,$H71,0)</f>
        <v>1.5437792588491419</v>
      </c>
      <c r="S71" s="34">
        <f ca="1">OFFSET(Org_dat!$L$5,$H71,0)</f>
        <v>647524.36</v>
      </c>
      <c r="T71" s="35">
        <f ca="1">OFFSET(Org_dat!$M$5,$H71,0)</f>
        <v>0.27275029393898903</v>
      </c>
    </row>
    <row r="72" spans="2:20" x14ac:dyDescent="0.2">
      <c r="B72" s="342">
        <f>Org_dat!K68+(C72/100000)</f>
        <v>0.3795889753707723</v>
      </c>
      <c r="C72" s="31">
        <f>Org_dat!B68</f>
        <v>63</v>
      </c>
      <c r="D72" s="32" t="str">
        <f>Org_dat!C68</f>
        <v>MŠ O-Plesná</v>
      </c>
      <c r="E72" s="33">
        <f ca="1">OFFSET(Org_dat!$C68,0,OrgSortCriteria)</f>
        <v>23.006360914103841</v>
      </c>
      <c r="F72" s="33">
        <f t="shared" ca="1" si="8"/>
        <v>23.00636091448343</v>
      </c>
      <c r="G72" s="33">
        <f t="shared" ca="1" si="9"/>
        <v>63.150548016433582</v>
      </c>
      <c r="H72" s="31">
        <f t="shared" ca="1" si="10"/>
        <v>90</v>
      </c>
      <c r="J72" s="32" t="str">
        <f ca="1">OFFSET(Org_dat!$C$5,$H72,0)</f>
        <v>Ostravské výstavy, a.s.</v>
      </c>
      <c r="K72" s="158">
        <f ca="1">OFFSET(Org_dat!$D$5,$H72,0)</f>
        <v>63.150548015545724</v>
      </c>
      <c r="L72" s="34">
        <f ca="1">OFFSET(Org_dat!$E$5,$H72,0)</f>
        <v>17976750</v>
      </c>
      <c r="M72" s="34">
        <f ca="1">OFFSET(Org_dat!$F$5,$H72,0)</f>
        <v>3571345.05</v>
      </c>
      <c r="N72" s="35">
        <f ca="1">OFFSET(Org_dat!$G$5,$H72,0)</f>
        <v>0.19866466686136258</v>
      </c>
      <c r="O72" s="35">
        <f ca="1">OFFSET(Org_dat!$H$5,$H72,0)</f>
        <v>0.13</v>
      </c>
      <c r="P72" s="34">
        <f ca="1">OFFSET(Org_dat!$I$5,$H72,0)</f>
        <v>2072794.45</v>
      </c>
      <c r="Q72" s="35">
        <f ca="1">OFFSET(Org_dat!$J$5,$H72,0)</f>
        <v>0.11530418179036811</v>
      </c>
      <c r="R72" s="35">
        <f ca="1">OFFSET(Org_dat!$K$5,$H72,0)</f>
        <v>0.88695524454129315</v>
      </c>
      <c r="S72" s="34">
        <f ca="1">OFFSET(Org_dat!$L$5,$H72,0)</f>
        <v>1131353.5</v>
      </c>
      <c r="T72" s="35">
        <f ca="1">OFFSET(Org_dat!$M$5,$H72,0)</f>
        <v>0.35309028099030193</v>
      </c>
    </row>
    <row r="73" spans="2:20" x14ac:dyDescent="0.2">
      <c r="B73" s="342">
        <f>Org_dat!K69+(C73/100000)</f>
        <v>0.8419707284413499</v>
      </c>
      <c r="C73" s="31">
        <f>Org_dat!B69</f>
        <v>64</v>
      </c>
      <c r="D73" s="32" t="str">
        <f>Org_dat!C69</f>
        <v>MŠ O-Poruba, Dětská</v>
      </c>
      <c r="E73" s="33">
        <f ca="1">OFFSET(Org_dat!$C69,0,OrgSortCriteria)</f>
        <v>84.792244170143832</v>
      </c>
      <c r="F73" s="33">
        <f t="shared" ca="1" si="8"/>
        <v>84.792244170985796</v>
      </c>
      <c r="G73" s="33">
        <f t="shared" ca="1" si="9"/>
        <v>61.617391305356485</v>
      </c>
      <c r="H73" s="31">
        <f t="shared" ca="1" si="10"/>
        <v>141</v>
      </c>
      <c r="J73" s="32" t="str">
        <f ca="1">OFFSET(Org_dat!$C$5,$H73,0)</f>
        <v>ZŠ MO a Přívoz, Gajdošova</v>
      </c>
      <c r="K73" s="158">
        <f ca="1">OFFSET(Org_dat!$D$5,$H73,0)</f>
        <v>61.617391304347827</v>
      </c>
      <c r="L73" s="34">
        <f ca="1">OFFSET(Org_dat!$E$5,$H73,0)</f>
        <v>741750</v>
      </c>
      <c r="M73" s="34">
        <f ca="1">OFFSET(Org_dat!$F$5,$H73,0)</f>
        <v>23994</v>
      </c>
      <c r="N73" s="35">
        <f ca="1">OFFSET(Org_dat!$G$5,$H73,0)</f>
        <v>3.2347826086956522E-2</v>
      </c>
      <c r="O73" s="35">
        <f ca="1">OFFSET(Org_dat!$H$5,$H73,0)</f>
        <v>5.6599999999999998E-2</v>
      </c>
      <c r="P73" s="34">
        <f ca="1">OFFSET(Org_dat!$I$5,$H73,0)</f>
        <v>42287.4</v>
      </c>
      <c r="Q73" s="35">
        <f ca="1">OFFSET(Org_dat!$J$5,$H73,0)</f>
        <v>5.7010313447927202E-2</v>
      </c>
      <c r="R73" s="35">
        <f ca="1">OFFSET(Org_dat!$K$5,$H73,0)</f>
        <v>1.0072493542036609</v>
      </c>
      <c r="S73" s="34">
        <f ca="1">OFFSET(Org_dat!$L$5,$H73,0)</f>
        <v>25463.16</v>
      </c>
      <c r="T73" s="35">
        <f ca="1">OFFSET(Org_dat!$M$5,$H73,0)</f>
        <v>0.375836893451508</v>
      </c>
    </row>
    <row r="74" spans="2:20" x14ac:dyDescent="0.2">
      <c r="B74" s="342">
        <f>Org_dat!K70+(C74/100000)</f>
        <v>0.91363305955840213</v>
      </c>
      <c r="C74" s="31">
        <f>Org_dat!B70</f>
        <v>65</v>
      </c>
      <c r="D74" s="32" t="str">
        <f>Org_dat!C70</f>
        <v>MŠ O-Poruba, Dvorní</v>
      </c>
      <c r="E74" s="33">
        <f ca="1">OFFSET(Org_dat!$C70,0,OrgSortCriteria)</f>
        <v>67.932747642768192</v>
      </c>
      <c r="F74" s="33">
        <f t="shared" ca="1" si="8"/>
        <v>67.932747643681822</v>
      </c>
      <c r="G74" s="33">
        <f t="shared" ref="G74:G105" ca="1" si="11">IF(ISERROR(LARGE($F$10:$F$185,C74)),0,LARGE($F$10:$F$185,C74))</f>
        <v>60.133179036282748</v>
      </c>
      <c r="H74" s="31">
        <f t="shared" ref="H74:H105" ca="1" si="12">MATCH(G74,$F$10:$F$185,0)</f>
        <v>116</v>
      </c>
      <c r="J74" s="32" t="str">
        <f ca="1">OFFSET(Org_dat!$C$5,$H74,0)</f>
        <v>ÚMOb Pustkovec</v>
      </c>
      <c r="K74" s="158">
        <f ca="1">OFFSET(Org_dat!$D$5,$H74,0)</f>
        <v>60.133179034630295</v>
      </c>
      <c r="L74" s="34">
        <f ca="1">OFFSET(Org_dat!$E$5,$H74,0)</f>
        <v>1869750</v>
      </c>
      <c r="M74" s="34">
        <f ca="1">OFFSET(Org_dat!$F$5,$H74,0)</f>
        <v>4980.2299999999996</v>
      </c>
      <c r="N74" s="35">
        <f ca="1">OFFSET(Org_dat!$G$5,$H74,0)</f>
        <v>2.6635806926059631E-3</v>
      </c>
      <c r="O74" s="35">
        <f ca="1">OFFSET(Org_dat!$H$5,$H74,0)</f>
        <v>0.19500000000000001</v>
      </c>
      <c r="P74" s="34">
        <f ca="1">OFFSET(Org_dat!$I$5,$H74,0)</f>
        <v>602064.22000000009</v>
      </c>
      <c r="Q74" s="35">
        <f ca="1">OFFSET(Org_dat!$J$5,$H74,0)</f>
        <v>0.322002524401658</v>
      </c>
      <c r="R74" s="35">
        <f ca="1">OFFSET(Org_dat!$K$5,$H74,0)</f>
        <v>1.6512949969315796</v>
      </c>
      <c r="S74" s="34">
        <f ca="1">OFFSET(Org_dat!$L$5,$H74,0)</f>
        <v>83026.61</v>
      </c>
      <c r="T74" s="35">
        <f ca="1">OFFSET(Org_dat!$M$5,$H74,0)</f>
        <v>0.12119066022238247</v>
      </c>
    </row>
    <row r="75" spans="2:20" x14ac:dyDescent="0.2">
      <c r="B75" s="342">
        <f>Org_dat!K71+(C75/100000)</f>
        <v>1.0912842053549532</v>
      </c>
      <c r="C75" s="31">
        <f>Org_dat!B71</f>
        <v>66</v>
      </c>
      <c r="D75" s="32" t="str">
        <f>Org_dat!C71</f>
        <v>MŠ O-Poruba, J.Šoupala</v>
      </c>
      <c r="E75" s="33">
        <f ca="1">OFFSET(Org_dat!$C71,0,OrgSortCriteria)</f>
        <v>82.395801460430235</v>
      </c>
      <c r="F75" s="33">
        <f t="shared" ref="F75:F138" ca="1" si="13">IF(ISERROR(IF(D75&lt;&gt;"",E75+$B75/1000000000,0)),0,IF(D75&lt;&gt;"",E75+$B75/1000000000,-999999999))</f>
        <v>82.395801461521515</v>
      </c>
      <c r="G75" s="33">
        <f t="shared" ca="1" si="11"/>
        <v>60.069015016053228</v>
      </c>
      <c r="H75" s="31">
        <f t="shared" ca="1" si="12"/>
        <v>148</v>
      </c>
      <c r="J75" s="32" t="str">
        <f ca="1">OFFSET(Org_dat!$C$5,$H75,0)</f>
        <v>ZŠ O-Muglinov</v>
      </c>
      <c r="K75" s="158">
        <f ca="1">OFFSET(Org_dat!$D$5,$H75,0)</f>
        <v>60.069015015015012</v>
      </c>
      <c r="L75" s="34">
        <f ca="1">OFFSET(Org_dat!$E$5,$H75,0)</f>
        <v>1248750</v>
      </c>
      <c r="M75" s="34">
        <f ca="1">OFFSET(Org_dat!$F$5,$H75,0)</f>
        <v>1723.65</v>
      </c>
      <c r="N75" s="35">
        <f ca="1">OFFSET(Org_dat!$G$5,$H75,0)</f>
        <v>1.3803003003003004E-3</v>
      </c>
      <c r="O75" s="35">
        <f ca="1">OFFSET(Org_dat!$H$5,$H75,0)</f>
        <v>0.21249999999999999</v>
      </c>
      <c r="P75" s="34">
        <f ca="1">OFFSET(Org_dat!$I$5,$H75,0)</f>
        <v>275108.10000000003</v>
      </c>
      <c r="Q75" s="35">
        <f ca="1">OFFSET(Org_dat!$J$5,$H75,0)</f>
        <v>0.22030678678678681</v>
      </c>
      <c r="R75" s="35">
        <f ca="1">OFFSET(Org_dat!$K$5,$H75,0)</f>
        <v>1.0367378201731143</v>
      </c>
      <c r="S75" s="34">
        <f ca="1">OFFSET(Org_dat!$L$5,$H75,0)</f>
        <v>194122.84</v>
      </c>
      <c r="T75" s="35">
        <f ca="1">OFFSET(Org_dat!$M$5,$H75,0)</f>
        <v>0.4137042625535306</v>
      </c>
    </row>
    <row r="76" spans="2:20" x14ac:dyDescent="0.2">
      <c r="B76" s="342">
        <f>Org_dat!K72+(C76/100000)</f>
        <v>0.74026494423008915</v>
      </c>
      <c r="C76" s="31">
        <f>Org_dat!B72</f>
        <v>67</v>
      </c>
      <c r="D76" s="32" t="str">
        <f>Org_dat!C72</f>
        <v>MŠ O-Poruba, Nezvalovo nám.</v>
      </c>
      <c r="E76" s="33">
        <f ca="1">OFFSET(Org_dat!$C72,0,OrgSortCriteria)</f>
        <v>84.375696653805349</v>
      </c>
      <c r="F76" s="33">
        <f t="shared" ca="1" si="13"/>
        <v>84.375696654545621</v>
      </c>
      <c r="G76" s="33">
        <f t="shared" ca="1" si="11"/>
        <v>57.595526208618686</v>
      </c>
      <c r="H76" s="31">
        <f t="shared" ca="1" si="12"/>
        <v>161</v>
      </c>
      <c r="J76" s="32" t="str">
        <f ca="1">OFFSET(Org_dat!$C$5,$H76,0)</f>
        <v>ZŠ O-Poruba, Ukrajinská</v>
      </c>
      <c r="K76" s="158">
        <f ca="1">OFFSET(Org_dat!$D$5,$H76,0)</f>
        <v>57.595526207728263</v>
      </c>
      <c r="L76" s="34">
        <f ca="1">OFFSET(Org_dat!$E$5,$H76,0)</f>
        <v>2571975</v>
      </c>
      <c r="M76" s="34">
        <f ca="1">OFFSET(Org_dat!$F$5,$H76,0)</f>
        <v>219468.53</v>
      </c>
      <c r="N76" s="35">
        <f ca="1">OFFSET(Org_dat!$G$5,$H76,0)</f>
        <v>8.5330739995528732E-2</v>
      </c>
      <c r="O76" s="35">
        <f ca="1">OFFSET(Org_dat!$H$5,$H76,0)</f>
        <v>0.18210000000000001</v>
      </c>
      <c r="P76" s="34">
        <f ca="1">OFFSET(Org_dat!$I$5,$H76,0)</f>
        <v>416283.11</v>
      </c>
      <c r="Q76" s="35">
        <f ca="1">OFFSET(Org_dat!$J$5,$H76,0)</f>
        <v>0.1618534822461338</v>
      </c>
      <c r="R76" s="35">
        <f ca="1">OFFSET(Org_dat!$K$5,$H76,0)</f>
        <v>0.88881648679919711</v>
      </c>
      <c r="S76" s="34">
        <f ca="1">OFFSET(Org_dat!$L$5,$H76,0)</f>
        <v>232015.27000000002</v>
      </c>
      <c r="T76" s="35">
        <f ca="1">OFFSET(Org_dat!$M$5,$H76,0)</f>
        <v>0.35788346409256799</v>
      </c>
    </row>
    <row r="77" spans="2:20" x14ac:dyDescent="0.2">
      <c r="B77" s="342">
        <f>Org_dat!K73+(C77/100000)</f>
        <v>0.67275075088343483</v>
      </c>
      <c r="C77" s="31">
        <f>Org_dat!B73</f>
        <v>68</v>
      </c>
      <c r="D77" s="32" t="str">
        <f>Org_dat!C73</f>
        <v>MŠ O-Poruba, Oty Synka</v>
      </c>
      <c r="E77" s="33">
        <f ca="1">OFFSET(Org_dat!$C73,0,OrgSortCriteria)</f>
        <v>49.80638177551716</v>
      </c>
      <c r="F77" s="33">
        <f t="shared" ca="1" si="13"/>
        <v>49.806381776189909</v>
      </c>
      <c r="G77" s="33">
        <f t="shared" ca="1" si="11"/>
        <v>57.187662594006113</v>
      </c>
      <c r="H77" s="31">
        <f t="shared" ca="1" si="12"/>
        <v>83</v>
      </c>
      <c r="J77" s="32" t="str">
        <f ca="1">OFFSET(Org_dat!$C$5,$H77,0)</f>
        <v>MŠ Varenská</v>
      </c>
      <c r="K77" s="158">
        <f ca="1">OFFSET(Org_dat!$D$5,$H77,0)</f>
        <v>57.187662593718819</v>
      </c>
      <c r="L77" s="34">
        <f ca="1">OFFSET(Org_dat!$E$5,$H77,0)</f>
        <v>1185750</v>
      </c>
      <c r="M77" s="34">
        <f ca="1">OFFSET(Org_dat!$F$5,$H77,0)</f>
        <v>1114749.46</v>
      </c>
      <c r="N77" s="35">
        <f ca="1">OFFSET(Org_dat!$G$5,$H77,0)</f>
        <v>0.94012183006535943</v>
      </c>
      <c r="O77" s="35">
        <f ca="1">OFFSET(Org_dat!$H$5,$H77,0)</f>
        <v>0.19120000000000001</v>
      </c>
      <c r="P77" s="34">
        <f ca="1">OFFSET(Org_dat!$I$5,$H77,0)</f>
        <v>64945.13</v>
      </c>
      <c r="Q77" s="35">
        <f ca="1">OFFSET(Org_dat!$J$5,$H77,0)</f>
        <v>5.4771351465317308E-2</v>
      </c>
      <c r="R77" s="35">
        <f ca="1">OFFSET(Org_dat!$K$5,$H77,0)</f>
        <v>0.28646104322864696</v>
      </c>
      <c r="S77" s="34">
        <f ca="1">OFFSET(Org_dat!$L$5,$H77,0)</f>
        <v>23798.02</v>
      </c>
      <c r="T77" s="35">
        <f ca="1">OFFSET(Org_dat!$M$5,$H77,0)</f>
        <v>0.26816740221639646</v>
      </c>
    </row>
    <row r="78" spans="2:20" x14ac:dyDescent="0.2">
      <c r="B78" s="342">
        <f>Org_dat!K74+(C78/100000)</f>
        <v>0.30438199119470583</v>
      </c>
      <c r="C78" s="31">
        <f>Org_dat!B74</f>
        <v>69</v>
      </c>
      <c r="D78" s="32" t="str">
        <f>Org_dat!C74</f>
        <v>MŠ O-Poruba, Sokolovská</v>
      </c>
      <c r="E78" s="33">
        <f ca="1">OFFSET(Org_dat!$C74,0,OrgSortCriteria)</f>
        <v>28.288517479253578</v>
      </c>
      <c r="F78" s="33">
        <f t="shared" ca="1" si="13"/>
        <v>28.28851747955796</v>
      </c>
      <c r="G78" s="33">
        <f t="shared" ca="1" si="11"/>
        <v>56.154218610993297</v>
      </c>
      <c r="H78" s="31">
        <f t="shared" ca="1" si="12"/>
        <v>4</v>
      </c>
      <c r="J78" s="32" t="str">
        <f ca="1">OFFSET(Org_dat!$C$5,$H78,0)</f>
        <v>Městská nemocnice Ostrava</v>
      </c>
      <c r="K78" s="158">
        <f ca="1">OFFSET(Org_dat!$D$5,$H78,0)</f>
        <v>56.154218610267009</v>
      </c>
      <c r="L78" s="34">
        <f ca="1">OFFSET(Org_dat!$E$5,$H78,0)</f>
        <v>406783500</v>
      </c>
      <c r="M78" s="34">
        <f ca="1">OFFSET(Org_dat!$F$5,$H78,0)</f>
        <v>102342680.73</v>
      </c>
      <c r="N78" s="35">
        <f ca="1">OFFSET(Org_dat!$G$5,$H78,0)</f>
        <v>0.2515900490801618</v>
      </c>
      <c r="O78" s="35">
        <f ca="1">OFFSET(Org_dat!$H$5,$H78,0)</f>
        <v>6.6600000000000006E-2</v>
      </c>
      <c r="P78" s="34">
        <f ca="1">OFFSET(Org_dat!$I$5,$H78,0)</f>
        <v>19675277.859999999</v>
      </c>
      <c r="Q78" s="35">
        <f ca="1">OFFSET(Org_dat!$J$5,$H78,0)</f>
        <v>4.8367934933447397E-2</v>
      </c>
      <c r="R78" s="35">
        <f ca="1">OFFSET(Org_dat!$K$5,$H78,0)</f>
        <v>0.72624526927098187</v>
      </c>
      <c r="S78" s="34">
        <f ca="1">OFFSET(Org_dat!$L$5,$H78,0)</f>
        <v>5813958.5700000003</v>
      </c>
      <c r="T78" s="35">
        <f ca="1">OFFSET(Org_dat!$M$5,$H78,0)</f>
        <v>0.22809465422656447</v>
      </c>
    </row>
    <row r="79" spans="2:20" x14ac:dyDescent="0.2">
      <c r="B79" s="342">
        <f>Org_dat!K75+(C79/100000)</f>
        <v>0.64253874617169549</v>
      </c>
      <c r="C79" s="31">
        <f>Org_dat!B75</f>
        <v>70</v>
      </c>
      <c r="D79" s="32" t="str">
        <f>Org_dat!C75</f>
        <v>MŠ O-Poruba, Ukrajinská</v>
      </c>
      <c r="E79" s="33">
        <f ca="1">OFFSET(Org_dat!$C75,0,OrgSortCriteria)</f>
        <v>68.129625391357919</v>
      </c>
      <c r="F79" s="33">
        <f t="shared" ca="1" si="13"/>
        <v>68.129625392000463</v>
      </c>
      <c r="G79" s="33">
        <f t="shared" ca="1" si="11"/>
        <v>55.908816480826253</v>
      </c>
      <c r="H79" s="31">
        <f t="shared" ca="1" si="12"/>
        <v>170</v>
      </c>
      <c r="J79" s="32" t="str">
        <f ca="1">OFFSET(Org_dat!$C$5,$H79,0)</f>
        <v>ZŠ Ostrava, Nádražní</v>
      </c>
      <c r="K79" s="158">
        <f ca="1">OFFSET(Org_dat!$D$5,$H79,0)</f>
        <v>55.90881647989346</v>
      </c>
      <c r="L79" s="34">
        <f ca="1">OFFSET(Org_dat!$E$5,$H79,0)</f>
        <v>1906125</v>
      </c>
      <c r="M79" s="34">
        <f ca="1">OFFSET(Org_dat!$F$5,$H79,0)</f>
        <v>1645.6</v>
      </c>
      <c r="N79" s="35">
        <f ca="1">OFFSET(Org_dat!$G$5,$H79,0)</f>
        <v>8.6332218506131547E-4</v>
      </c>
      <c r="O79" s="35">
        <f ca="1">OFFSET(Org_dat!$H$5,$H79,0)</f>
        <v>0.13189999999999999</v>
      </c>
      <c r="P79" s="34">
        <f ca="1">OFFSET(Org_dat!$I$5,$H79,0)</f>
        <v>234093.73</v>
      </c>
      <c r="Q79" s="35">
        <f ca="1">OFFSET(Org_dat!$J$5,$H79,0)</f>
        <v>0.12281132139812448</v>
      </c>
      <c r="R79" s="35">
        <f ca="1">OFFSET(Org_dat!$K$5,$H79,0)</f>
        <v>0.93109417284400664</v>
      </c>
      <c r="S79" s="34">
        <f ca="1">OFFSET(Org_dat!$L$5,$H79,0)</f>
        <v>178688.03</v>
      </c>
      <c r="T79" s="35">
        <f ca="1">OFFSET(Org_dat!$M$5,$H79,0)</f>
        <v>0.43288741731223779</v>
      </c>
    </row>
    <row r="80" spans="2:20" x14ac:dyDescent="0.2">
      <c r="B80" s="342">
        <f>Org_dat!K76+(C80/100000)</f>
        <v>0.67130184960732175</v>
      </c>
      <c r="C80" s="31">
        <f>Org_dat!B76</f>
        <v>71</v>
      </c>
      <c r="D80" s="32" t="str">
        <f>Org_dat!C76</f>
        <v>MŠ O-Poruba, V.Makovského</v>
      </c>
      <c r="E80" s="33">
        <f ca="1">OFFSET(Org_dat!$C76,0,OrgSortCriteria)</f>
        <v>80.235510976439315</v>
      </c>
      <c r="F80" s="33">
        <f t="shared" ca="1" si="13"/>
        <v>80.235510977110621</v>
      </c>
      <c r="G80" s="33">
        <f t="shared" ca="1" si="11"/>
        <v>55.55857870323706</v>
      </c>
      <c r="H80" s="31">
        <f t="shared" ca="1" si="12"/>
        <v>150</v>
      </c>
      <c r="J80" s="32" t="str">
        <f ca="1">OFFSET(Org_dat!$C$5,$H80,0)</f>
        <v>ZŠ O-Petřkovice</v>
      </c>
      <c r="K80" s="158">
        <f ca="1">OFFSET(Org_dat!$D$5,$H80,0)</f>
        <v>55.55857870241833</v>
      </c>
      <c r="L80" s="34">
        <f ca="1">OFFSET(Org_dat!$E$5,$H80,0)</f>
        <v>2501250</v>
      </c>
      <c r="M80" s="34">
        <f ca="1">OFFSET(Org_dat!$F$5,$H80,0)</f>
        <v>326397.2</v>
      </c>
      <c r="N80" s="35">
        <f ca="1">OFFSET(Org_dat!$G$5,$H80,0)</f>
        <v>0.13049363318340831</v>
      </c>
      <c r="O80" s="35">
        <f ca="1">OFFSET(Org_dat!$H$5,$H80,0)</f>
        <v>0.29160000000000003</v>
      </c>
      <c r="P80" s="34">
        <f ca="1">OFFSET(Org_dat!$I$5,$H80,0)</f>
        <v>596059.73</v>
      </c>
      <c r="Q80" s="35">
        <f ca="1">OFFSET(Org_dat!$J$5,$H80,0)</f>
        <v>0.23830473963018489</v>
      </c>
      <c r="R80" s="35">
        <f ca="1">OFFSET(Org_dat!$K$5,$H80,0)</f>
        <v>0.81723161738746519</v>
      </c>
      <c r="S80" s="34">
        <f ca="1">OFFSET(Org_dat!$L$5,$H80,0)</f>
        <v>263794.46000000002</v>
      </c>
      <c r="T80" s="35">
        <f ca="1">OFFSET(Org_dat!$M$5,$H80,0)</f>
        <v>0.30678975931954233</v>
      </c>
    </row>
    <row r="81" spans="2:20" x14ac:dyDescent="0.2">
      <c r="B81" s="342">
        <f>Org_dat!K77+(C81/100000)</f>
        <v>0.39585746391149401</v>
      </c>
      <c r="C81" s="31">
        <f>Org_dat!B77</f>
        <v>72</v>
      </c>
      <c r="D81" s="32" t="str">
        <f>Org_dat!C77</f>
        <v>MŠ O-Radvanice</v>
      </c>
      <c r="E81" s="33">
        <f ca="1">OFFSET(Org_dat!$C77,0,OrgSortCriteria)</f>
        <v>25.114844500825999</v>
      </c>
      <c r="F81" s="33">
        <f t="shared" ca="1" si="13"/>
        <v>25.114844501221857</v>
      </c>
      <c r="G81" s="33">
        <f t="shared" ca="1" si="11"/>
        <v>52.945650291533589</v>
      </c>
      <c r="H81" s="31">
        <f t="shared" ca="1" si="12"/>
        <v>160</v>
      </c>
      <c r="J81" s="32" t="str">
        <f ca="1">OFFSET(Org_dat!$C$5,$H81,0)</f>
        <v>ZŠ O-Poruba, Porubská 832</v>
      </c>
      <c r="K81" s="158">
        <f ca="1">OFFSET(Org_dat!$D$5,$H81,0)</f>
        <v>52.945650290813866</v>
      </c>
      <c r="L81" s="34">
        <f ca="1">OFFSET(Org_dat!$E$5,$H81,0)</f>
        <v>3784500</v>
      </c>
      <c r="M81" s="34">
        <f ca="1">OFFSET(Org_dat!$F$5,$H81,0)</f>
        <v>746182.76</v>
      </c>
      <c r="N81" s="35">
        <f ca="1">OFFSET(Org_dat!$G$5,$H81,0)</f>
        <v>0.19716812260536398</v>
      </c>
      <c r="O81" s="35">
        <f ca="1">OFFSET(Org_dat!$H$5,$H81,0)</f>
        <v>0.25209999999999999</v>
      </c>
      <c r="P81" s="34">
        <f ca="1">OFFSET(Org_dat!$I$5,$H81,0)</f>
        <v>685139.21</v>
      </c>
      <c r="Q81" s="35">
        <f ca="1">OFFSET(Org_dat!$J$5,$H81,0)</f>
        <v>0.18103823754789272</v>
      </c>
      <c r="R81" s="35">
        <f ca="1">OFFSET(Org_dat!$K$5,$H81,0)</f>
        <v>0.71812073600909443</v>
      </c>
      <c r="S81" s="34">
        <f ca="1">OFFSET(Org_dat!$L$5,$H81,0)</f>
        <v>213736.25</v>
      </c>
      <c r="T81" s="35">
        <f ca="1">OFFSET(Org_dat!$M$5,$H81,0)</f>
        <v>0.23778182797425576</v>
      </c>
    </row>
    <row r="82" spans="2:20" x14ac:dyDescent="0.2">
      <c r="B82" s="342">
        <f>Org_dat!K78+(C82/100000)</f>
        <v>0.13931343467465204</v>
      </c>
      <c r="C82" s="31">
        <f>Org_dat!B78</f>
        <v>73</v>
      </c>
      <c r="D82" s="32" t="str">
        <f>Org_dat!C78</f>
        <v>MŠ O-Stará Bělá</v>
      </c>
      <c r="E82" s="33">
        <f ca="1">OFFSET(Org_dat!$C78,0,OrgSortCriteria)</f>
        <v>8.4484606259336683</v>
      </c>
      <c r="F82" s="33">
        <f t="shared" ca="1" si="13"/>
        <v>8.4484606260729809</v>
      </c>
      <c r="G82" s="33">
        <f t="shared" ca="1" si="11"/>
        <v>52.839160077184509</v>
      </c>
      <c r="H82" s="31">
        <f t="shared" ca="1" si="12"/>
        <v>19</v>
      </c>
      <c r="J82" s="32" t="str">
        <f ca="1">OFFSET(Org_dat!$C$5,$H82,0)</f>
        <v>ZOO Ostrava</v>
      </c>
      <c r="K82" s="158">
        <f ca="1">OFFSET(Org_dat!$D$5,$H82,0)</f>
        <v>52.839160076495837</v>
      </c>
      <c r="L82" s="34">
        <f ca="1">OFFSET(Org_dat!$E$5,$H82,0)</f>
        <v>21897750</v>
      </c>
      <c r="M82" s="34">
        <f ca="1">OFFSET(Org_dat!$F$5,$H82,0)</f>
        <v>5049782.1900000004</v>
      </c>
      <c r="N82" s="35">
        <f ca="1">OFFSET(Org_dat!$G$5,$H82,0)</f>
        <v>0.23060735418022402</v>
      </c>
      <c r="O82" s="35">
        <f ca="1">OFFSET(Org_dat!$H$5,$H82,0)</f>
        <v>0.28270000000000001</v>
      </c>
      <c r="P82" s="34">
        <f ca="1">OFFSET(Org_dat!$I$5,$H82,0)</f>
        <v>4262030.47</v>
      </c>
      <c r="Q82" s="35">
        <f ca="1">OFFSET(Org_dat!$J$5,$H82,0)</f>
        <v>0.19463326003813175</v>
      </c>
      <c r="R82" s="35">
        <f ca="1">OFFSET(Org_dat!$K$5,$H82,0)</f>
        <v>0.68847987279141054</v>
      </c>
      <c r="S82" s="34">
        <f ca="1">OFFSET(Org_dat!$L$5,$H82,0)</f>
        <v>1508873.52</v>
      </c>
      <c r="T82" s="35">
        <f ca="1">OFFSET(Org_dat!$M$5,$H82,0)</f>
        <v>0.26146224622946812</v>
      </c>
    </row>
    <row r="83" spans="2:20" x14ac:dyDescent="0.2">
      <c r="B83" s="342">
        <f>Org_dat!K79+(C83/100000)</f>
        <v>0.60653870454389558</v>
      </c>
      <c r="C83" s="31">
        <f>Org_dat!B79</f>
        <v>74</v>
      </c>
      <c r="D83" s="32" t="str">
        <f>Org_dat!C79</f>
        <v>MŠ O-Vítkovice</v>
      </c>
      <c r="E83" s="33">
        <f ca="1">OFFSET(Org_dat!$C79,0,OrgSortCriteria)</f>
        <v>36.792804771563993</v>
      </c>
      <c r="F83" s="33">
        <f t="shared" ca="1" si="13"/>
        <v>36.792804772170534</v>
      </c>
      <c r="G83" s="33">
        <f t="shared" ca="1" si="11"/>
        <v>52.739010098764695</v>
      </c>
      <c r="H83" s="31">
        <f t="shared" ca="1" si="12"/>
        <v>113</v>
      </c>
      <c r="J83" s="32" t="str">
        <f ca="1">OFFSET(Org_dat!$C$5,$H83,0)</f>
        <v>ÚMOb Polanka n/O</v>
      </c>
      <c r="K83" s="158">
        <f ca="1">OFFSET(Org_dat!$D$5,$H83,0)</f>
        <v>52.739010098517852</v>
      </c>
      <c r="L83" s="34">
        <f ca="1">OFFSET(Org_dat!$E$5,$H83,0)</f>
        <v>4490250</v>
      </c>
      <c r="M83" s="34">
        <f ca="1">OFFSET(Org_dat!$F$5,$H83,0)</f>
        <v>3412246.09</v>
      </c>
      <c r="N83" s="35">
        <f ca="1">OFFSET(Org_dat!$G$5,$H83,0)</f>
        <v>0.75992340960970994</v>
      </c>
      <c r="O83" s="35">
        <f ca="1">OFFSET(Org_dat!$H$5,$H83,0)</f>
        <v>0.12054742985739865</v>
      </c>
      <c r="P83" s="34">
        <f ca="1">OFFSET(Org_dat!$I$5,$H83,0)</f>
        <v>133002.06</v>
      </c>
      <c r="Q83" s="35">
        <f ca="1">OFFSET(Org_dat!$J$5,$H83,0)</f>
        <v>2.9620190412560546E-2</v>
      </c>
      <c r="R83" s="35">
        <f ca="1">OFFSET(Org_dat!$K$5,$H83,0)</f>
        <v>0.24571399363387253</v>
      </c>
      <c r="S83" s="34">
        <f ca="1">OFFSET(Org_dat!$L$5,$H83,0)</f>
        <v>116717.22</v>
      </c>
      <c r="T83" s="35">
        <f ca="1">OFFSET(Org_dat!$M$5,$H83,0)</f>
        <v>0.46739370704576755</v>
      </c>
    </row>
    <row r="84" spans="2:20" x14ac:dyDescent="0.2">
      <c r="B84" s="342">
        <f>Org_dat!K80+(C84/100000)</f>
        <v>0.58005734856007951</v>
      </c>
      <c r="C84" s="31">
        <f>Org_dat!B80</f>
        <v>75</v>
      </c>
      <c r="D84" s="32" t="str">
        <f>Org_dat!C80</f>
        <v>MŠ Poděbradova</v>
      </c>
      <c r="E84" s="33">
        <f ca="1">OFFSET(Org_dat!$C80,0,OrgSortCriteria)</f>
        <v>34.758440913604773</v>
      </c>
      <c r="F84" s="33">
        <f t="shared" ca="1" si="13"/>
        <v>34.758440914184831</v>
      </c>
      <c r="G84" s="33">
        <f t="shared" ca="1" si="11"/>
        <v>52.125351974126147</v>
      </c>
      <c r="H84" s="31">
        <f t="shared" ca="1" si="12"/>
        <v>155</v>
      </c>
      <c r="J84" s="32" t="str">
        <f ca="1">OFFSET(Org_dat!$C$5,$H84,0)</f>
        <v>ZŠ O-Poruba, I.Sekaniny</v>
      </c>
      <c r="K84" s="158">
        <f ca="1">OFFSET(Org_dat!$D$5,$H84,0)</f>
        <v>52.125351973501722</v>
      </c>
      <c r="L84" s="34">
        <f ca="1">OFFSET(Org_dat!$E$5,$H84,0)</f>
        <v>4153200</v>
      </c>
      <c r="M84" s="34">
        <f ca="1">OFFSET(Org_dat!$F$5,$H84,0)</f>
        <v>1225436.07</v>
      </c>
      <c r="N84" s="35">
        <f ca="1">OFFSET(Org_dat!$G$5,$H84,0)</f>
        <v>0.29505828517769433</v>
      </c>
      <c r="O84" s="35">
        <f ca="1">OFFSET(Org_dat!$H$5,$H84,0)</f>
        <v>0.24529999999999999</v>
      </c>
      <c r="P84" s="34">
        <f ca="1">OFFSET(Org_dat!$I$5,$H84,0)</f>
        <v>634571.51</v>
      </c>
      <c r="Q84" s="35">
        <f ca="1">OFFSET(Org_dat!$J$5,$H84,0)</f>
        <v>0.15279098285659251</v>
      </c>
      <c r="R84" s="35">
        <f ca="1">OFFSET(Org_dat!$K$5,$H84,0)</f>
        <v>0.62287396191028344</v>
      </c>
      <c r="S84" s="34">
        <f ca="1">OFFSET(Org_dat!$L$5,$H84,0)</f>
        <v>180059.25</v>
      </c>
      <c r="T84" s="35">
        <f ca="1">OFFSET(Org_dat!$M$5,$H84,0)</f>
        <v>0.22103173467203718</v>
      </c>
    </row>
    <row r="85" spans="2:20" x14ac:dyDescent="0.2">
      <c r="B85" s="342">
        <f>Org_dat!K81+(C85/100000)</f>
        <v>0.17596341962609144</v>
      </c>
      <c r="C85" s="31">
        <f>Org_dat!B81</f>
        <v>76</v>
      </c>
      <c r="D85" s="32" t="str">
        <f>Org_dat!C81</f>
        <v>MŠ Polanka</v>
      </c>
      <c r="E85" s="33">
        <f ca="1">OFFSET(Org_dat!$C81,0,OrgSortCriteria)</f>
        <v>11.055118700941959</v>
      </c>
      <c r="F85" s="33">
        <f t="shared" ca="1" si="13"/>
        <v>11.055118701117923</v>
      </c>
      <c r="G85" s="33">
        <f t="shared" ca="1" si="11"/>
        <v>51.946022139858663</v>
      </c>
      <c r="H85" s="31">
        <f t="shared" ca="1" si="12"/>
        <v>100</v>
      </c>
      <c r="J85" s="32" t="str">
        <f ca="1">OFFSET(Org_dat!$C$5,$H85,0)</f>
        <v>ÚMOb Hošťálkovice</v>
      </c>
      <c r="K85" s="158">
        <f ca="1">OFFSET(Org_dat!$D$5,$H85,0)</f>
        <v>51.946022139584002</v>
      </c>
      <c r="L85" s="34">
        <f ca="1">OFFSET(Org_dat!$E$5,$H85,0)</f>
        <v>2634000</v>
      </c>
      <c r="M85" s="34">
        <f ca="1">OFFSET(Org_dat!$F$5,$H85,0)</f>
        <v>1871528.37</v>
      </c>
      <c r="N85" s="35">
        <f ca="1">OFFSET(Org_dat!$G$5,$H85,0)</f>
        <v>0.7105270956719818</v>
      </c>
      <c r="O85" s="35">
        <f ca="1">OFFSET(Org_dat!$H$5,$H85,0)</f>
        <v>0.11961456907126954</v>
      </c>
      <c r="P85" s="34">
        <f ca="1">OFFSET(Org_dat!$I$5,$H85,0)</f>
        <v>86220.98</v>
      </c>
      <c r="Q85" s="35">
        <f ca="1">OFFSET(Org_dat!$J$5,$H85,0)</f>
        <v>3.2733857251328775E-2</v>
      </c>
      <c r="R85" s="35">
        <f ca="1">OFFSET(Org_dat!$K$5,$H85,0)</f>
        <v>0.27366112259974851</v>
      </c>
      <c r="S85" s="34">
        <f ca="1">OFFSET(Org_dat!$L$5,$H85,0)</f>
        <v>52602.020000000004</v>
      </c>
      <c r="T85" s="35">
        <f ca="1">OFFSET(Org_dat!$M$5,$H85,0)</f>
        <v>0.37891430094436801</v>
      </c>
    </row>
    <row r="86" spans="2:20" x14ac:dyDescent="0.2">
      <c r="B86" s="342">
        <f>Org_dat!K82+(C86/100000)</f>
        <v>0.12261740361275336</v>
      </c>
      <c r="C86" s="31">
        <f>Org_dat!B82</f>
        <v>77</v>
      </c>
      <c r="D86" s="32" t="str">
        <f>Org_dat!C82</f>
        <v>MŠ Repinova</v>
      </c>
      <c r="E86" s="33">
        <f ca="1">OFFSET(Org_dat!$C82,0,OrgSortCriteria)</f>
        <v>7.5159933880359198</v>
      </c>
      <c r="F86" s="33">
        <f t="shared" ca="1" si="13"/>
        <v>7.5159933881585372</v>
      </c>
      <c r="G86" s="33">
        <f t="shared" ca="1" si="11"/>
        <v>50.849370914488532</v>
      </c>
      <c r="H86" s="31">
        <f t="shared" ca="1" si="12"/>
        <v>110</v>
      </c>
      <c r="J86" s="32" t="str">
        <f ca="1">OFFSET(Org_dat!$C$5,$H86,0)</f>
        <v>ÚMOb Ostrava-Jih</v>
      </c>
      <c r="K86" s="158">
        <f ca="1">OFFSET(Org_dat!$D$5,$H86,0)</f>
        <v>50.84937091364872</v>
      </c>
      <c r="L86" s="34">
        <f ca="1">OFFSET(Org_dat!$E$5,$H86,0)</f>
        <v>182180250</v>
      </c>
      <c r="M86" s="34">
        <f ca="1">OFFSET(Org_dat!$F$5,$H86,0)</f>
        <v>1918758.69</v>
      </c>
      <c r="N86" s="35">
        <f ca="1">OFFSET(Org_dat!$G$5,$H86,0)</f>
        <v>1.0532199236744927E-2</v>
      </c>
      <c r="O86" s="35">
        <f ca="1">OFFSET(Org_dat!$H$5,$H86,0)</f>
        <v>0.24460000000000001</v>
      </c>
      <c r="P86" s="34">
        <f ca="1">OFFSET(Org_dat!$I$5,$H86,0)</f>
        <v>37374118.360000007</v>
      </c>
      <c r="Q86" s="35">
        <f ca="1">OFFSET(Org_dat!$J$5,$H86,0)</f>
        <v>0.20514912214688477</v>
      </c>
      <c r="R86" s="35">
        <f ca="1">OFFSET(Org_dat!$K$5,$H86,0)</f>
        <v>0.83871268253019127</v>
      </c>
      <c r="S86" s="34">
        <f ca="1">OFFSET(Org_dat!$L$5,$H86,0)</f>
        <v>8105218.8399999999</v>
      </c>
      <c r="T86" s="35">
        <f ca="1">OFFSET(Org_dat!$M$5,$H86,0)</f>
        <v>0.17821761131558442</v>
      </c>
    </row>
    <row r="87" spans="2:20" x14ac:dyDescent="0.2">
      <c r="B87" s="342">
        <f>Org_dat!K83+(C87/100000)</f>
        <v>0.64488729398172973</v>
      </c>
      <c r="C87" s="31">
        <f>Org_dat!B83</f>
        <v>78</v>
      </c>
      <c r="D87" s="32" t="str">
        <f>Org_dat!C83</f>
        <v>MŠ Sládečkova</v>
      </c>
      <c r="E87" s="33">
        <f ca="1">OFFSET(Org_dat!$C83,0,OrgSortCriteria)</f>
        <v>38.646437638903784</v>
      </c>
      <c r="F87" s="33">
        <f t="shared" ca="1" si="13"/>
        <v>38.646437639548672</v>
      </c>
      <c r="G87" s="33">
        <f t="shared" ca="1" si="11"/>
        <v>50.783528091656613</v>
      </c>
      <c r="H87" s="31">
        <f t="shared" ca="1" si="12"/>
        <v>16</v>
      </c>
      <c r="J87" s="32" t="str">
        <f ca="1">OFFSET(Org_dat!$C$5,$H87,0)</f>
        <v>Ostravské komunikace</v>
      </c>
      <c r="K87" s="158">
        <f ca="1">OFFSET(Org_dat!$D$5,$H87,0)</f>
        <v>50.783528090882385</v>
      </c>
      <c r="L87" s="34">
        <f ca="1">OFFSET(Org_dat!$E$5,$H87,0)</f>
        <v>143431374</v>
      </c>
      <c r="M87" s="34">
        <f ca="1">OFFSET(Org_dat!$F$5,$H87,0)</f>
        <v>12448514.27</v>
      </c>
      <c r="N87" s="35">
        <f ca="1">OFFSET(Org_dat!$G$5,$H87,0)</f>
        <v>8.6790734292205823E-2</v>
      </c>
      <c r="O87" s="35">
        <f ca="1">OFFSET(Org_dat!$H$5,$H87,0)</f>
        <v>0.21</v>
      </c>
      <c r="P87" s="34">
        <f ca="1">OFFSET(Org_dat!$I$5,$H87,0)</f>
        <v>23315339.240000002</v>
      </c>
      <c r="Q87" s="35">
        <f ca="1">OFFSET(Org_dat!$J$5,$H87,0)</f>
        <v>0.16255396981695233</v>
      </c>
      <c r="R87" s="35">
        <f ca="1">OFFSET(Org_dat!$K$5,$H87,0)</f>
        <v>0.77406652293786826</v>
      </c>
      <c r="S87" s="34">
        <f ca="1">OFFSET(Org_dat!$L$5,$H87,0)</f>
        <v>1405369.1</v>
      </c>
      <c r="T87" s="35">
        <f ca="1">OFFSET(Org_dat!$M$5,$H87,0)</f>
        <v>5.6849871802662107E-2</v>
      </c>
    </row>
    <row r="88" spans="2:20" x14ac:dyDescent="0.2">
      <c r="B88" s="342">
        <f>Org_dat!K84+(C88/100000)</f>
        <v>0.22846987754662759</v>
      </c>
      <c r="C88" s="31">
        <f>Org_dat!B84</f>
        <v>79</v>
      </c>
      <c r="D88" s="32" t="str">
        <f>Org_dat!C84</f>
        <v>MŠ Staňkova</v>
      </c>
      <c r="E88" s="33">
        <f ca="1">OFFSET(Org_dat!$C84,0,OrgSortCriteria)</f>
        <v>30.405631744520285</v>
      </c>
      <c r="F88" s="33">
        <f t="shared" ca="1" si="13"/>
        <v>30.405631744748757</v>
      </c>
      <c r="G88" s="33">
        <f t="shared" ca="1" si="11"/>
        <v>49.806381776189909</v>
      </c>
      <c r="H88" s="31">
        <f t="shared" ca="1" si="12"/>
        <v>68</v>
      </c>
      <c r="J88" s="32" t="str">
        <f ca="1">OFFSET(Org_dat!$C$5,$H88,0)</f>
        <v>MŠ O-Poruba, Oty Synka</v>
      </c>
      <c r="K88" s="158">
        <f ca="1">OFFSET(Org_dat!$D$5,$H88,0)</f>
        <v>49.80638177551716</v>
      </c>
      <c r="L88" s="34">
        <f ca="1">OFFSET(Org_dat!$E$5,$H88,0)</f>
        <v>2596500</v>
      </c>
      <c r="M88" s="34">
        <f ca="1">OFFSET(Org_dat!$F$5,$H88,0)</f>
        <v>492407.36</v>
      </c>
      <c r="N88" s="35">
        <f ca="1">OFFSET(Org_dat!$G$5,$H88,0)</f>
        <v>0.18964273445022145</v>
      </c>
      <c r="O88" s="35">
        <f ca="1">OFFSET(Org_dat!$H$5,$H88,0)</f>
        <v>0.27629999999999999</v>
      </c>
      <c r="P88" s="34">
        <f ca="1">OFFSET(Org_dat!$I$5,$H88,0)</f>
        <v>482152.26</v>
      </c>
      <c r="Q88" s="35">
        <f ca="1">OFFSET(Org_dat!$J$5,$H88,0)</f>
        <v>0.18569314846909302</v>
      </c>
      <c r="R88" s="35">
        <f ca="1">OFFSET(Org_dat!$K$5,$H88,0)</f>
        <v>0.67207075088343482</v>
      </c>
      <c r="S88" s="34">
        <f ca="1">OFFSET(Org_dat!$L$5,$H88,0)</f>
        <v>121610.4</v>
      </c>
      <c r="T88" s="35">
        <f ca="1">OFFSET(Org_dat!$M$5,$H88,0)</f>
        <v>0.20142086958474706</v>
      </c>
    </row>
    <row r="89" spans="2:20" x14ac:dyDescent="0.2">
      <c r="B89" s="342">
        <f>Org_dat!K85+(C89/100000)</f>
        <v>5.3980429691477448E-2</v>
      </c>
      <c r="C89" s="31">
        <f>Org_dat!B85</f>
        <v>80</v>
      </c>
      <c r="D89" s="32" t="str">
        <f>Org_dat!C85</f>
        <v>MŠ Šafaříkova</v>
      </c>
      <c r="E89" s="33">
        <f ca="1">OFFSET(Org_dat!$C85,0,OrgSortCriteria)</f>
        <v>3.1908257814886469</v>
      </c>
      <c r="F89" s="33">
        <f t="shared" ca="1" si="13"/>
        <v>3.1908257815426273</v>
      </c>
      <c r="G89" s="33">
        <f t="shared" ca="1" si="11"/>
        <v>49.727549464434503</v>
      </c>
      <c r="H89" s="31">
        <f t="shared" ca="1" si="12"/>
        <v>20</v>
      </c>
      <c r="J89" s="32" t="str">
        <f ca="1">OFFSET(Org_dat!$C$5,$H89,0)</f>
        <v>ZŠ a MŠ MO a Přívoz, Ostrčilova</v>
      </c>
      <c r="K89" s="158">
        <f ca="1">OFFSET(Org_dat!$D$5,$H89,0)</f>
        <v>49.727549463895855</v>
      </c>
      <c r="L89" s="34">
        <f ca="1">OFFSET(Org_dat!$E$5,$H89,0)</f>
        <v>9281250</v>
      </c>
      <c r="M89" s="34">
        <f ca="1">OFFSET(Org_dat!$F$5,$H89,0)</f>
        <v>3233689.21</v>
      </c>
      <c r="N89" s="35">
        <f ca="1">OFFSET(Org_dat!$G$5,$H89,0)</f>
        <v>0.34841095865319865</v>
      </c>
      <c r="O89" s="35">
        <f ca="1">OFFSET(Org_dat!$H$5,$H89,0)</f>
        <v>0.23549999999999999</v>
      </c>
      <c r="P89" s="34">
        <f ca="1">OFFSET(Org_dat!$I$5,$H89,0)</f>
        <v>1176908.73</v>
      </c>
      <c r="Q89" s="35">
        <f ca="1">OFFSET(Org_dat!$J$5,$H89,0)</f>
        <v>0.12680498101010101</v>
      </c>
      <c r="R89" s="35">
        <f ca="1">OFFSET(Org_dat!$K$5,$H89,0)</f>
        <v>0.53845002552059873</v>
      </c>
      <c r="S89" s="34">
        <f ca="1">OFFSET(Org_dat!$L$5,$H89,0)</f>
        <v>497536.33</v>
      </c>
      <c r="T89" s="35">
        <f ca="1">OFFSET(Org_dat!$M$5,$H89,0)</f>
        <v>0.29713505798751022</v>
      </c>
    </row>
    <row r="90" spans="2:20" x14ac:dyDescent="0.2">
      <c r="B90" s="342">
        <f>Org_dat!K86+(C90/100000)</f>
        <v>9.9845535196459792E-2</v>
      </c>
      <c r="C90" s="31">
        <f>Org_dat!B86</f>
        <v>81</v>
      </c>
      <c r="D90" s="32" t="str">
        <f>Org_dat!C86</f>
        <v>MŠ Špálova</v>
      </c>
      <c r="E90" s="33">
        <f ca="1">OFFSET(Org_dat!$C86,0,OrgSortCriteria)</f>
        <v>5.9421321117875872</v>
      </c>
      <c r="F90" s="33">
        <f t="shared" ca="1" si="13"/>
        <v>5.9421321118874326</v>
      </c>
      <c r="G90" s="33">
        <f t="shared" ca="1" si="11"/>
        <v>49.564392668824667</v>
      </c>
      <c r="H90" s="31">
        <f t="shared" ca="1" si="12"/>
        <v>92</v>
      </c>
      <c r="J90" s="32" t="str">
        <f ca="1">OFFSET(Org_dat!$C$5,$H90,0)</f>
        <v>OVANET a.s.</v>
      </c>
      <c r="K90" s="158">
        <f ca="1">OFFSET(Org_dat!$D$5,$H90,0)</f>
        <v>49.564392667998611</v>
      </c>
      <c r="L90" s="34">
        <f ca="1">OFFSET(Org_dat!$E$5,$H90,0)</f>
        <v>23649750</v>
      </c>
      <c r="M90" s="34">
        <f ca="1">OFFSET(Org_dat!$F$5,$H90,0)</f>
        <v>26635.11</v>
      </c>
      <c r="N90" s="35">
        <f ca="1">OFFSET(Org_dat!$G$5,$H90,0)</f>
        <v>1.1262322011860591E-3</v>
      </c>
      <c r="O90" s="35">
        <f ca="1">OFFSET(Org_dat!$H$5,$H90,0)</f>
        <v>0.02</v>
      </c>
      <c r="P90" s="34">
        <f ca="1">OFFSET(Org_dat!$I$5,$H90,0)</f>
        <v>390284.58</v>
      </c>
      <c r="Q90" s="35">
        <f ca="1">OFFSET(Org_dat!$J$5,$H90,0)</f>
        <v>1.6502693685979768E-2</v>
      </c>
      <c r="R90" s="35">
        <f ca="1">OFFSET(Org_dat!$K$5,$H90,0)</f>
        <v>0.8251346842989884</v>
      </c>
      <c r="S90" s="34">
        <f ca="1">OFFSET(Org_dat!$L$5,$H90,0)</f>
        <v>249376.1</v>
      </c>
      <c r="T90" s="35">
        <f ca="1">OFFSET(Org_dat!$M$5,$H90,0)</f>
        <v>0.38985685348050469</v>
      </c>
    </row>
    <row r="91" spans="2:20" x14ac:dyDescent="0.2">
      <c r="B91" s="342">
        <f>Org_dat!K87+(C91/100000)</f>
        <v>0.24242024853851207</v>
      </c>
      <c r="C91" s="31">
        <f>Org_dat!B87</f>
        <v>82</v>
      </c>
      <c r="D91" s="32" t="str">
        <f>Org_dat!C87</f>
        <v>MŠ U Dvoru</v>
      </c>
      <c r="E91" s="33">
        <f ca="1">OFFSET(Org_dat!$C87,0,OrgSortCriteria)</f>
        <v>14.496014912310725</v>
      </c>
      <c r="F91" s="33">
        <f t="shared" ca="1" si="13"/>
        <v>14.496014912553145</v>
      </c>
      <c r="G91" s="33">
        <f t="shared" ca="1" si="11"/>
        <v>49.482177135685269</v>
      </c>
      <c r="H91" s="31">
        <f t="shared" ca="1" si="12"/>
        <v>108</v>
      </c>
      <c r="J91" s="32" t="str">
        <f ca="1">OFFSET(Org_dat!$C$5,$H91,0)</f>
        <v>ÚMOb Nová Bělá</v>
      </c>
      <c r="K91" s="158">
        <f ca="1">OFFSET(Org_dat!$D$5,$H91,0)</f>
        <v>49.482177135214926</v>
      </c>
      <c r="L91" s="34">
        <f ca="1">OFFSET(Org_dat!$E$5,$H91,0)</f>
        <v>1770750</v>
      </c>
      <c r="M91" s="34">
        <f ca="1">OFFSET(Org_dat!$F$5,$H91,0)</f>
        <v>755269.79</v>
      </c>
      <c r="N91" s="35">
        <f ca="1">OFFSET(Org_dat!$G$5,$H91,0)</f>
        <v>0.42652536495835103</v>
      </c>
      <c r="O91" s="35">
        <f ca="1">OFFSET(Org_dat!$H$5,$H91,0)</f>
        <v>0.25188134348452557</v>
      </c>
      <c r="P91" s="34">
        <f ca="1">OFFSET(Org_dat!$I$5,$H91,0)</f>
        <v>209301.12</v>
      </c>
      <c r="Q91" s="35">
        <f ca="1">OFFSET(Org_dat!$J$5,$H91,0)</f>
        <v>0.11819913595933926</v>
      </c>
      <c r="R91" s="35">
        <f ca="1">OFFSET(Org_dat!$K$5,$H91,0)</f>
        <v>0.4692651481216229</v>
      </c>
      <c r="S91" s="34">
        <f ca="1">OFFSET(Org_dat!$L$5,$H91,0)</f>
        <v>151125.16</v>
      </c>
      <c r="T91" s="35">
        <f ca="1">OFFSET(Org_dat!$M$5,$H91,0)</f>
        <v>0.41929561851039271</v>
      </c>
    </row>
    <row r="92" spans="2:20" x14ac:dyDescent="0.2">
      <c r="B92" s="342">
        <f>Org_dat!K88+(C92/100000)</f>
        <v>0.28729104322864696</v>
      </c>
      <c r="C92" s="31">
        <f>Org_dat!B88</f>
        <v>83</v>
      </c>
      <c r="D92" s="32" t="str">
        <f>Org_dat!C88</f>
        <v>MŠ Varenská</v>
      </c>
      <c r="E92" s="33">
        <f ca="1">OFFSET(Org_dat!$C88,0,OrgSortCriteria)</f>
        <v>57.187662593718819</v>
      </c>
      <c r="F92" s="33">
        <f t="shared" ca="1" si="13"/>
        <v>57.187662594006113</v>
      </c>
      <c r="G92" s="33">
        <f t="shared" ca="1" si="11"/>
        <v>48.71401951112108</v>
      </c>
      <c r="H92" s="31">
        <f t="shared" ca="1" si="12"/>
        <v>156</v>
      </c>
      <c r="J92" s="32" t="str">
        <f ca="1">OFFSET(Org_dat!$C$5,$H92,0)</f>
        <v>ZŠ O-Poruba, J.Šoupala</v>
      </c>
      <c r="K92" s="158">
        <f ca="1">OFFSET(Org_dat!$D$5,$H92,0)</f>
        <v>48.714019510700993</v>
      </c>
      <c r="L92" s="34">
        <f ca="1">OFFSET(Org_dat!$E$5,$H92,0)</f>
        <v>3188250</v>
      </c>
      <c r="M92" s="34">
        <f ca="1">OFFSET(Org_dat!$F$5,$H92,0)</f>
        <v>1505019.56</v>
      </c>
      <c r="N92" s="35">
        <f ca="1">OFFSET(Org_dat!$G$5,$H92,0)</f>
        <v>0.47205192817376307</v>
      </c>
      <c r="O92" s="35">
        <f ca="1">OFFSET(Org_dat!$H$5,$H92,0)</f>
        <v>0.1983</v>
      </c>
      <c r="P92" s="34">
        <f ca="1">OFFSET(Org_dat!$I$5,$H92,0)</f>
        <v>264603.24</v>
      </c>
      <c r="Q92" s="35">
        <f ca="1">OFFSET(Org_dat!$J$5,$H92,0)</f>
        <v>8.2993253352152435E-2</v>
      </c>
      <c r="R92" s="35">
        <f ca="1">OFFSET(Org_dat!$K$5,$H92,0)</f>
        <v>0.41852371836688068</v>
      </c>
      <c r="S92" s="34">
        <f ca="1">OFFSET(Org_dat!$L$5,$H92,0)</f>
        <v>103440.95</v>
      </c>
      <c r="T92" s="35">
        <f ca="1">OFFSET(Org_dat!$M$5,$H92,0)</f>
        <v>0.2810557884367092</v>
      </c>
    </row>
    <row r="93" spans="2:20" x14ac:dyDescent="0.2">
      <c r="B93" s="342">
        <f>Org_dat!K89+(C93/100000)</f>
        <v>0.12794756860493992</v>
      </c>
      <c r="C93" s="31">
        <f>Org_dat!B89</f>
        <v>84</v>
      </c>
      <c r="D93" s="32" t="str">
        <f>Org_dat!C89</f>
        <v>MŠ Volgogradská</v>
      </c>
      <c r="E93" s="33">
        <f ca="1">OFFSET(Org_dat!$C89,0,OrgSortCriteria)</f>
        <v>8.0848557781013977</v>
      </c>
      <c r="F93" s="33">
        <f t="shared" ca="1" si="13"/>
        <v>8.0848557782293451</v>
      </c>
      <c r="G93" s="33">
        <f t="shared" ca="1" si="11"/>
        <v>48.229147206771891</v>
      </c>
      <c r="H93" s="31">
        <f t="shared" ca="1" si="12"/>
        <v>107</v>
      </c>
      <c r="J93" s="32" t="str">
        <f ca="1">OFFSET(Org_dat!$C$5,$H93,0)</f>
        <v>ÚMOb Moravská Ostrava a Přívoz</v>
      </c>
      <c r="K93" s="158">
        <f ca="1">OFFSET(Org_dat!$D$5,$H93,0)</f>
        <v>48.229147206247077</v>
      </c>
      <c r="L93" s="34">
        <f ca="1">OFFSET(Org_dat!$E$5,$H93,0)</f>
        <v>48529500</v>
      </c>
      <c r="M93" s="34">
        <f ca="1">OFFSET(Org_dat!$F$5,$H93,0)</f>
        <v>16310119.01</v>
      </c>
      <c r="N93" s="35">
        <f ca="1">OFFSET(Org_dat!$G$5,$H93,0)</f>
        <v>0.33608668974541256</v>
      </c>
      <c r="O93" s="35">
        <f ca="1">OFFSET(Org_dat!$H$5,$H93,0)</f>
        <v>0.13648221985178036</v>
      </c>
      <c r="P93" s="34">
        <f ca="1">OFFSET(Org_dat!$I$5,$H93,0)</f>
        <v>3468992.35</v>
      </c>
      <c r="Q93" s="35">
        <f ca="1">OFFSET(Org_dat!$J$5,$H93,0)</f>
        <v>7.1482136638539445E-2</v>
      </c>
      <c r="R93" s="35">
        <f ca="1">OFFSET(Org_dat!$K$5,$H93,0)</f>
        <v>0.52374687864960745</v>
      </c>
      <c r="S93" s="34">
        <f ca="1">OFFSET(Org_dat!$L$5,$H93,0)</f>
        <v>1714301.9100000001</v>
      </c>
      <c r="T93" s="35">
        <f ca="1">OFFSET(Org_dat!$M$5,$H93,0)</f>
        <v>0.33073598063483284</v>
      </c>
    </row>
    <row r="94" spans="2:20" x14ac:dyDescent="0.2">
      <c r="B94" s="342">
        <f>Org_dat!K90+(C94/100000)</f>
        <v>0.1641640125473052</v>
      </c>
      <c r="C94" s="31">
        <f>Org_dat!B90</f>
        <v>85</v>
      </c>
      <c r="D94" s="32" t="str">
        <f>Org_dat!C90</f>
        <v>MŠ Za Školou</v>
      </c>
      <c r="E94" s="33">
        <f ca="1">OFFSET(Org_dat!$C90,0,OrgSortCriteria)</f>
        <v>10.453103508231532</v>
      </c>
      <c r="F94" s="33">
        <f t="shared" ca="1" si="13"/>
        <v>10.453103508395696</v>
      </c>
      <c r="G94" s="33">
        <f t="shared" ca="1" si="11"/>
        <v>47.689102598838353</v>
      </c>
      <c r="H94" s="31">
        <f t="shared" ca="1" si="12"/>
        <v>46</v>
      </c>
      <c r="J94" s="32" t="str">
        <f ca="1">OFFSET(Org_dat!$C$5,$H94,0)</f>
        <v>MŠ Gen.Janka</v>
      </c>
      <c r="K94" s="158">
        <f ca="1">OFFSET(Org_dat!$D$5,$H94,0)</f>
        <v>47.689102598123057</v>
      </c>
      <c r="L94" s="34">
        <f ca="1">OFFSET(Org_dat!$E$5,$H94,0)</f>
        <v>974925</v>
      </c>
      <c r="M94" s="34">
        <f ca="1">OFFSET(Org_dat!$F$5,$H94,0)</f>
        <v>93572.82</v>
      </c>
      <c r="N94" s="35">
        <f ca="1">OFFSET(Org_dat!$G$5,$H94,0)</f>
        <v>9.5979506115855068E-2</v>
      </c>
      <c r="O94" s="35">
        <f ca="1">OFFSET(Org_dat!$H$5,$H94,0)</f>
        <v>0.1789</v>
      </c>
      <c r="P94" s="34">
        <f ca="1">OFFSET(Org_dat!$I$5,$H94,0)</f>
        <v>124677.37</v>
      </c>
      <c r="Q94" s="35">
        <f ca="1">OFFSET(Org_dat!$J$5,$H94,0)</f>
        <v>0.12788406287663154</v>
      </c>
      <c r="R94" s="35">
        <f ca="1">OFFSET(Org_dat!$K$5,$H94,0)</f>
        <v>0.71483545487217182</v>
      </c>
      <c r="S94" s="34">
        <f ca="1">OFFSET(Org_dat!$L$5,$H94,0)</f>
        <v>38922.899999999994</v>
      </c>
      <c r="T94" s="35">
        <f ca="1">OFFSET(Org_dat!$M$5,$H94,0)</f>
        <v>0.23791464402839921</v>
      </c>
    </row>
    <row r="95" spans="2:20" x14ac:dyDescent="0.2">
      <c r="B95" s="342">
        <f>Org_dat!K91+(C95/100000)</f>
        <v>8.5999999999999998E-4</v>
      </c>
      <c r="C95" s="31">
        <f>Org_dat!B91</f>
        <v>86</v>
      </c>
      <c r="D95" s="32" t="str">
        <f>Org_dat!C91</f>
        <v>MŠ Zámostní</v>
      </c>
      <c r="E95" s="33">
        <f ca="1">OFFSET(Org_dat!$C91,0,OrgSortCriteria)</f>
        <v>0</v>
      </c>
      <c r="F95" s="33">
        <f t="shared" ca="1" si="13"/>
        <v>8.5999999999999997E-13</v>
      </c>
      <c r="G95" s="33">
        <f t="shared" ca="1" si="11"/>
        <v>47.403403738839017</v>
      </c>
      <c r="H95" s="31">
        <f t="shared" ca="1" si="12"/>
        <v>62</v>
      </c>
      <c r="J95" s="32" t="str">
        <f ca="1">OFFSET(Org_dat!$C$5,$H95,0)</f>
        <v>MŠ O-Petřkovice</v>
      </c>
      <c r="K95" s="158">
        <f ca="1">OFFSET(Org_dat!$D$5,$H95,0)</f>
        <v>47.403403738161465</v>
      </c>
      <c r="L95" s="34">
        <f ca="1">OFFSET(Org_dat!$E$5,$H95,0)</f>
        <v>746520</v>
      </c>
      <c r="M95" s="34">
        <f ca="1">OFFSET(Org_dat!$F$5,$H95,0)</f>
        <v>101342.26</v>
      </c>
      <c r="N95" s="35">
        <f ca="1">OFFSET(Org_dat!$G$5,$H95,0)</f>
        <v>0.13575290682098268</v>
      </c>
      <c r="O95" s="35">
        <f ca="1">OFFSET(Org_dat!$H$5,$H95,0)</f>
        <v>0.3286</v>
      </c>
      <c r="P95" s="34">
        <f ca="1">OFFSET(Org_dat!$I$5,$H95,0)</f>
        <v>166055.14000000001</v>
      </c>
      <c r="Q95" s="35">
        <f ca="1">OFFSET(Org_dat!$J$5,$H95,0)</f>
        <v>0.22243897015485187</v>
      </c>
      <c r="R95" s="35">
        <f ca="1">OFFSET(Org_dat!$K$5,$H95,0)</f>
        <v>0.67692930661853878</v>
      </c>
      <c r="S95" s="34">
        <f ca="1">OFFSET(Org_dat!$L$5,$H95,0)</f>
        <v>85361.8</v>
      </c>
      <c r="T95" s="35">
        <f ca="1">OFFSET(Org_dat!$M$5,$H95,0)</f>
        <v>0.33952286588167052</v>
      </c>
    </row>
    <row r="96" spans="2:20" x14ac:dyDescent="0.2">
      <c r="B96" s="342">
        <f>Org_dat!K92+(C96/100000)</f>
        <v>1.0322035060358483</v>
      </c>
      <c r="C96" s="31">
        <f>Org_dat!B92</f>
        <v>87</v>
      </c>
      <c r="D96" s="32" t="str">
        <f>Org_dat!C92</f>
        <v>MŠ Zelená</v>
      </c>
      <c r="E96" s="33">
        <f ca="1">OFFSET(Org_dat!$C92,0,OrgSortCriteria)</f>
        <v>70.723126412240902</v>
      </c>
      <c r="F96" s="33">
        <f t="shared" ca="1" si="13"/>
        <v>70.723126413273107</v>
      </c>
      <c r="G96" s="33">
        <f t="shared" ca="1" si="11"/>
        <v>47.256431873747744</v>
      </c>
      <c r="H96" s="31">
        <f t="shared" ca="1" si="12"/>
        <v>15</v>
      </c>
      <c r="J96" s="32" t="str">
        <f ca="1">OFFSET(Org_dat!$C$5,$H96,0)</f>
        <v>Komorní scéna Aréna</v>
      </c>
      <c r="K96" s="158">
        <f ca="1">OFFSET(Org_dat!$D$5,$H96,0)</f>
        <v>47.25643187356556</v>
      </c>
      <c r="L96" s="34">
        <f ca="1">OFFSET(Org_dat!$E$5,$H96,0)</f>
        <v>3837000</v>
      </c>
      <c r="M96" s="34">
        <f ca="1">OFFSET(Org_dat!$F$5,$H96,0)</f>
        <v>2788310.3</v>
      </c>
      <c r="N96" s="35">
        <f ca="1">OFFSET(Org_dat!$G$5,$H96,0)</f>
        <v>0.7266902006776127</v>
      </c>
      <c r="O96" s="35">
        <f ca="1">OFFSET(Org_dat!$H$5,$H96,0)</f>
        <v>8.9867162672331385E-2</v>
      </c>
      <c r="P96" s="34">
        <f ca="1">OFFSET(Org_dat!$I$5,$H96,0)</f>
        <v>62768.340000000004</v>
      </c>
      <c r="Q96" s="35">
        <f ca="1">OFFSET(Org_dat!$J$5,$H96,0)</f>
        <v>1.6358702111024238E-2</v>
      </c>
      <c r="R96" s="35">
        <f ca="1">OFFSET(Org_dat!$K$5,$H96,0)</f>
        <v>0.18203203066141549</v>
      </c>
      <c r="S96" s="34">
        <f ca="1">OFFSET(Org_dat!$L$5,$H96,0)</f>
        <v>74613.41</v>
      </c>
      <c r="T96" s="35">
        <f ca="1">OFFSET(Org_dat!$M$5,$H96,0)</f>
        <v>0.54311005646674326</v>
      </c>
    </row>
    <row r="97" spans="2:20" x14ac:dyDescent="0.2">
      <c r="B97" s="342">
        <f>Org_dat!K93+(C97/100000)</f>
        <v>0.10756451423209017</v>
      </c>
      <c r="C97" s="31">
        <f>Org_dat!B93</f>
        <v>88</v>
      </c>
      <c r="D97" s="32" t="str">
        <f>Org_dat!C93</f>
        <v>Ostravské městské lesy</v>
      </c>
      <c r="E97" s="33">
        <f ca="1">OFFSET(Org_dat!$C93,0,OrgSortCriteria)</f>
        <v>46.401070853925411</v>
      </c>
      <c r="F97" s="33">
        <f t="shared" ca="1" si="13"/>
        <v>46.401070854032973</v>
      </c>
      <c r="G97" s="33">
        <f t="shared" ca="1" si="11"/>
        <v>46.401070854032973</v>
      </c>
      <c r="H97" s="31">
        <f t="shared" ca="1" si="12"/>
        <v>88</v>
      </c>
      <c r="J97" s="32" t="str">
        <f ca="1">OFFSET(Org_dat!$C$5,$H97,0)</f>
        <v>Ostravské městské lesy</v>
      </c>
      <c r="K97" s="158">
        <f ca="1">OFFSET(Org_dat!$D$5,$H97,0)</f>
        <v>46.401070853925411</v>
      </c>
      <c r="L97" s="34">
        <f ca="1">OFFSET(Org_dat!$E$5,$H97,0)</f>
        <v>38636829</v>
      </c>
      <c r="M97" s="34">
        <f ca="1">OFFSET(Org_dat!$F$5,$H97,0)</f>
        <v>37632044.159999996</v>
      </c>
      <c r="N97" s="35">
        <f ca="1">OFFSET(Org_dat!$G$5,$H97,0)</f>
        <v>0.97399411737438379</v>
      </c>
      <c r="O97" s="35">
        <f ca="1">OFFSET(Org_dat!$H$5,$H97,0)</f>
        <v>0.03</v>
      </c>
      <c r="P97" s="34">
        <f ca="1">OFFSET(Org_dat!$I$5,$H97,0)</f>
        <v>123658.54000000001</v>
      </c>
      <c r="Q97" s="35">
        <f ca="1">OFFSET(Org_dat!$J$5,$H97,0)</f>
        <v>3.2005354269627048E-3</v>
      </c>
      <c r="R97" s="35">
        <f ca="1">OFFSET(Org_dat!$K$5,$H97,0)</f>
        <v>0.10668451423209016</v>
      </c>
      <c r="S97" s="34">
        <f ca="1">OFFSET(Org_dat!$L$5,$H97,0)</f>
        <v>154884.12</v>
      </c>
      <c r="T97" s="35">
        <f ca="1">OFFSET(Org_dat!$M$5,$H97,0)</f>
        <v>0.5560517013803199</v>
      </c>
    </row>
    <row r="98" spans="2:20" x14ac:dyDescent="0.2">
      <c r="B98" s="342">
        <f>Org_dat!K94+(C98/100000)</f>
        <v>1.1269063548148623</v>
      </c>
      <c r="C98" s="31">
        <f>Org_dat!B94</f>
        <v>89</v>
      </c>
      <c r="D98" s="32" t="str">
        <f>Org_dat!C94</f>
        <v>Ostravské muzeum</v>
      </c>
      <c r="E98" s="33">
        <f ca="1">OFFSET(Org_dat!$C94,0,OrgSortCriteria)</f>
        <v>95.108989870030584</v>
      </c>
      <c r="F98" s="33">
        <f t="shared" ca="1" si="13"/>
        <v>95.10898987115749</v>
      </c>
      <c r="G98" s="33">
        <f t="shared" ca="1" si="11"/>
        <v>45.883222624114836</v>
      </c>
      <c r="H98" s="31">
        <f t="shared" ca="1" si="12"/>
        <v>25</v>
      </c>
      <c r="J98" s="32" t="str">
        <f ca="1">OFFSET(Org_dat!$C$5,$H98,0)</f>
        <v>DK POKLAD</v>
      </c>
      <c r="K98" s="158">
        <f ca="1">OFFSET(Org_dat!$D$5,$H98,0)</f>
        <v>45.883222623349866</v>
      </c>
      <c r="L98" s="34">
        <f ca="1">OFFSET(Org_dat!$E$5,$H98,0)</f>
        <v>1598250</v>
      </c>
      <c r="M98" s="34">
        <f ca="1">OFFSET(Org_dat!$F$5,$H98,0)</f>
        <v>0</v>
      </c>
      <c r="N98" s="35">
        <f ca="1">OFFSET(Org_dat!$G$5,$H98,0)</f>
        <v>0</v>
      </c>
      <c r="O98" s="35">
        <f ca="1">OFFSET(Org_dat!$H$5,$H98,0)</f>
        <v>7.5300000000000006E-2</v>
      </c>
      <c r="P98" s="34">
        <f ca="1">OFFSET(Org_dat!$I$5,$H98,0)</f>
        <v>92032.74</v>
      </c>
      <c r="Q98" s="35">
        <f ca="1">OFFSET(Org_dat!$J$5,$H98,0)</f>
        <v>5.7583444392304083E-2</v>
      </c>
      <c r="R98" s="35">
        <f ca="1">OFFSET(Org_dat!$K$5,$H98,0)</f>
        <v>0.76472037705583107</v>
      </c>
      <c r="S98" s="34">
        <f ca="1">OFFSET(Org_dat!$L$5,$H98,0)</f>
        <v>67887</v>
      </c>
      <c r="T98" s="35">
        <f ca="1">OFFSET(Org_dat!$M$5,$H98,0)</f>
        <v>0.42450669316996142</v>
      </c>
    </row>
    <row r="99" spans="2:20" x14ac:dyDescent="0.2">
      <c r="B99" s="342">
        <f>Org_dat!K95+(C99/100000)</f>
        <v>0.88785524454129316</v>
      </c>
      <c r="C99" s="31">
        <f>Org_dat!B95</f>
        <v>90</v>
      </c>
      <c r="D99" s="32" t="str">
        <f>Org_dat!C95</f>
        <v>Ostravské výstavy, a.s.</v>
      </c>
      <c r="E99" s="33">
        <f ca="1">OFFSET(Org_dat!$C95,0,OrgSortCriteria)</f>
        <v>63.150548015545724</v>
      </c>
      <c r="F99" s="33">
        <f t="shared" ca="1" si="13"/>
        <v>63.150548016433582</v>
      </c>
      <c r="G99" s="33">
        <f t="shared" ca="1" si="11"/>
        <v>45.629835329864704</v>
      </c>
      <c r="H99" s="31">
        <f t="shared" ca="1" si="12"/>
        <v>145</v>
      </c>
      <c r="J99" s="32" t="str">
        <f ca="1">OFFSET(Org_dat!$C$5,$H99,0)</f>
        <v>ZŠ O-Hrabůvka, Provaznická</v>
      </c>
      <c r="K99" s="158">
        <f ca="1">OFFSET(Org_dat!$D$5,$H99,0)</f>
        <v>45.629835329305863</v>
      </c>
      <c r="L99" s="34">
        <f ca="1">OFFSET(Org_dat!$E$5,$H99,0)</f>
        <v>2984529</v>
      </c>
      <c r="M99" s="34">
        <f ca="1">OFFSET(Org_dat!$F$5,$H99,0)</f>
        <v>727408.93</v>
      </c>
      <c r="N99" s="35">
        <f ca="1">OFFSET(Org_dat!$G$5,$H99,0)</f>
        <v>0.24372654110581604</v>
      </c>
      <c r="O99" s="35">
        <f ca="1">OFFSET(Org_dat!$H$5,$H99,0)</f>
        <v>0.15709999999999999</v>
      </c>
      <c r="P99" s="34">
        <f ca="1">OFFSET(Org_dat!$I$5,$H99,0)</f>
        <v>261344.02000000002</v>
      </c>
      <c r="Q99" s="35">
        <f ca="1">OFFSET(Org_dat!$J$5,$H99,0)</f>
        <v>8.7566252497462749E-2</v>
      </c>
      <c r="R99" s="35">
        <f ca="1">OFFSET(Org_dat!$K$5,$H99,0)</f>
        <v>0.55739180456691761</v>
      </c>
      <c r="S99" s="34">
        <f ca="1">OFFSET(Org_dat!$L$5,$H99,0)</f>
        <v>68611.25</v>
      </c>
      <c r="T99" s="35">
        <f ca="1">OFFSET(Org_dat!$M$5,$H99,0)</f>
        <v>0.20794106425395176</v>
      </c>
    </row>
    <row r="100" spans="2:20" x14ac:dyDescent="0.2">
      <c r="B100" s="342">
        <f>Org_dat!K96+(C100/100000)</f>
        <v>8.936071689120452E-2</v>
      </c>
      <c r="C100" s="31">
        <f>Org_dat!B96</f>
        <v>91</v>
      </c>
      <c r="D100" s="32" t="str">
        <f>Org_dat!C96</f>
        <v>Ostravský informační servis</v>
      </c>
      <c r="E100" s="33">
        <f ca="1">OFFSET(Org_dat!$C96,0,OrgSortCriteria)</f>
        <v>39.885669594932587</v>
      </c>
      <c r="F100" s="33">
        <f t="shared" ca="1" si="13"/>
        <v>39.885669595021945</v>
      </c>
      <c r="G100" s="33">
        <f t="shared" ca="1" si="11"/>
        <v>44.206626118081033</v>
      </c>
      <c r="H100" s="31">
        <f t="shared" ca="1" si="12"/>
        <v>146</v>
      </c>
      <c r="J100" s="32" t="str">
        <f ca="1">OFFSET(Org_dat!$C$5,$H100,0)</f>
        <v>ZŠ O-Mar.Hory, Gen.Janka</v>
      </c>
      <c r="K100" s="158">
        <f ca="1">OFFSET(Org_dat!$D$5,$H100,0)</f>
        <v>44.206626117458867</v>
      </c>
      <c r="L100" s="34">
        <f ca="1">OFFSET(Org_dat!$E$5,$H100,0)</f>
        <v>3658006.4250000007</v>
      </c>
      <c r="M100" s="34">
        <f ca="1">OFFSET(Org_dat!$F$5,$H100,0)</f>
        <v>509524.53</v>
      </c>
      <c r="N100" s="35">
        <f ca="1">OFFSET(Org_dat!$G$5,$H100,0)</f>
        <v>0.13929022281583334</v>
      </c>
      <c r="O100" s="35">
        <f ca="1">OFFSET(Org_dat!$H$5,$H100,0)</f>
        <v>0.19589999999999999</v>
      </c>
      <c r="P100" s="34">
        <f ca="1">OFFSET(Org_dat!$I$5,$H100,0)</f>
        <v>444797.14</v>
      </c>
      <c r="Q100" s="35">
        <f ca="1">OFFSET(Org_dat!$J$5,$H100,0)</f>
        <v>0.1215955053988184</v>
      </c>
      <c r="R100" s="35">
        <f ca="1">OFFSET(Org_dat!$K$5,$H100,0)</f>
        <v>0.6207019162777867</v>
      </c>
      <c r="S100" s="34">
        <f ca="1">OFFSET(Org_dat!$L$5,$H100,0)</f>
        <v>95473.03</v>
      </c>
      <c r="T100" s="35">
        <f ca="1">OFFSET(Org_dat!$M$5,$H100,0)</f>
        <v>0.17671349502786723</v>
      </c>
    </row>
    <row r="101" spans="2:20" x14ac:dyDescent="0.2">
      <c r="B101" s="342">
        <f>Org_dat!K97+(C101/100000)</f>
        <v>0.82605468429898843</v>
      </c>
      <c r="C101" s="31">
        <f>Org_dat!B97</f>
        <v>92</v>
      </c>
      <c r="D101" s="32" t="str">
        <f>Org_dat!C97</f>
        <v>OVANET a.s.</v>
      </c>
      <c r="E101" s="33">
        <f ca="1">OFFSET(Org_dat!$C97,0,OrgSortCriteria)</f>
        <v>49.564392667998611</v>
      </c>
      <c r="F101" s="33">
        <f t="shared" ca="1" si="13"/>
        <v>49.564392668824667</v>
      </c>
      <c r="G101" s="33">
        <f t="shared" ca="1" si="11"/>
        <v>43.860496142002503</v>
      </c>
      <c r="H101" s="31">
        <f t="shared" ca="1" si="12"/>
        <v>121</v>
      </c>
      <c r="J101" s="32" t="str">
        <f ca="1">OFFSET(Org_dat!$C$5,$H101,0)</f>
        <v>ÚMOb Třebovice</v>
      </c>
      <c r="K101" s="158">
        <f ca="1">OFFSET(Org_dat!$D$5,$H101,0)</f>
        <v>43.860496141785795</v>
      </c>
      <c r="L101" s="34">
        <f ca="1">OFFSET(Org_dat!$E$5,$H101,0)</f>
        <v>2544000</v>
      </c>
      <c r="M101" s="34">
        <f ca="1">OFFSET(Org_dat!$F$5,$H101,0)</f>
        <v>1573740.9300000002</v>
      </c>
      <c r="N101" s="35">
        <f ca="1">OFFSET(Org_dat!$G$5,$H101,0)</f>
        <v>0.6186088561320755</v>
      </c>
      <c r="O101" s="35">
        <f ca="1">OFFSET(Org_dat!$H$5,$H101,0)</f>
        <v>0.32468997749544032</v>
      </c>
      <c r="P101" s="34">
        <f ca="1">OFFSET(Org_dat!$I$5,$H101,0)</f>
        <v>178006.16999999998</v>
      </c>
      <c r="Q101" s="35">
        <f ca="1">OFFSET(Org_dat!$J$5,$H101,0)</f>
        <v>6.9970978773584894E-2</v>
      </c>
      <c r="R101" s="35">
        <f ca="1">OFFSET(Org_dat!$K$5,$H101,0)</f>
        <v>0.21550088891970037</v>
      </c>
      <c r="S101" s="34">
        <f ca="1">OFFSET(Org_dat!$L$5,$H101,0)</f>
        <v>154200.00999999998</v>
      </c>
      <c r="T101" s="35">
        <f ca="1">OFFSET(Org_dat!$M$5,$H101,0)</f>
        <v>0.46416960093879051</v>
      </c>
    </row>
    <row r="102" spans="2:20" x14ac:dyDescent="0.2">
      <c r="B102" s="342">
        <f>Org_dat!K98+(C102/100000)</f>
        <v>1.5484474638625227</v>
      </c>
      <c r="C102" s="31">
        <f>Org_dat!B98</f>
        <v>93</v>
      </c>
      <c r="D102" s="32" t="str">
        <f>Org_dat!C98</f>
        <v>Středisko volného času Korunka</v>
      </c>
      <c r="E102" s="33">
        <f ca="1">OFFSET(Org_dat!$C98,0,OrgSortCriteria)</f>
        <v>100</v>
      </c>
      <c r="F102" s="33">
        <f t="shared" ca="1" si="13"/>
        <v>100.00000000154844</v>
      </c>
      <c r="G102" s="33">
        <f t="shared" ca="1" si="11"/>
        <v>42.574760502869189</v>
      </c>
      <c r="H102" s="31">
        <f t="shared" ca="1" si="12"/>
        <v>56</v>
      </c>
      <c r="J102" s="32" t="str">
        <f ca="1">OFFSET(Org_dat!$C$5,$H102,0)</f>
        <v>MŠ O-Bartovice</v>
      </c>
      <c r="K102" s="158">
        <f ca="1">OFFSET(Org_dat!$D$5,$H102,0)</f>
        <v>42.574760502159052</v>
      </c>
      <c r="L102" s="34">
        <f ca="1">OFFSET(Org_dat!$E$5,$H102,0)</f>
        <v>453750</v>
      </c>
      <c r="M102" s="34">
        <f ca="1">OFFSET(Org_dat!$F$5,$H102,0)</f>
        <v>0</v>
      </c>
      <c r="N102" s="35">
        <f ca="1">OFFSET(Org_dat!$G$5,$H102,0)</f>
        <v>0</v>
      </c>
      <c r="O102" s="35">
        <f ca="1">OFFSET(Org_dat!$H$5,$H102,0)</f>
        <v>0.1734</v>
      </c>
      <c r="P102" s="34">
        <f ca="1">OFFSET(Org_dat!$I$5,$H102,0)</f>
        <v>55829.88</v>
      </c>
      <c r="Q102" s="35">
        <f ca="1">OFFSET(Org_dat!$J$5,$H102,0)</f>
        <v>0.12304105785123966</v>
      </c>
      <c r="R102" s="35">
        <f ca="1">OFFSET(Org_dat!$K$5,$H102,0)</f>
        <v>0.70957934170265091</v>
      </c>
      <c r="S102" s="34">
        <f ca="1">OFFSET(Org_dat!$L$5,$H102,0)</f>
        <v>50117.31</v>
      </c>
      <c r="T102" s="35">
        <f ca="1">OFFSET(Org_dat!$M$5,$H102,0)</f>
        <v>0.47304048365983087</v>
      </c>
    </row>
    <row r="103" spans="2:20" x14ac:dyDescent="0.2">
      <c r="B103" s="342">
        <f>Org_dat!K99+(C103/100000)</f>
        <v>1.2122174924624132</v>
      </c>
      <c r="C103" s="31">
        <f>Org_dat!B99</f>
        <v>94</v>
      </c>
      <c r="D103" s="32" t="str">
        <f>Org_dat!C99</f>
        <v>Středisko volného času O-Zábřeh</v>
      </c>
      <c r="E103" s="33">
        <f ca="1">OFFSET(Org_dat!$C99,0,OrgSortCriteria)</f>
        <v>100</v>
      </c>
      <c r="F103" s="33">
        <f t="shared" ca="1" si="13"/>
        <v>100.00000000121221</v>
      </c>
      <c r="G103" s="33">
        <f t="shared" ca="1" si="11"/>
        <v>42.098317015125943</v>
      </c>
      <c r="H103" s="31">
        <f t="shared" ca="1" si="12"/>
        <v>135</v>
      </c>
      <c r="J103" s="32" t="str">
        <f ca="1">OFFSET(Org_dat!$C$5,$H103,0)</f>
        <v>ZŠ a MŠ O-Zábřeh, Horymírova</v>
      </c>
      <c r="K103" s="158">
        <f ca="1">OFFSET(Org_dat!$D$5,$H103,0)</f>
        <v>42.098317014736267</v>
      </c>
      <c r="L103" s="34">
        <f ca="1">OFFSET(Org_dat!$E$5,$H103,0)</f>
        <v>5623725</v>
      </c>
      <c r="M103" s="34">
        <f ca="1">OFFSET(Org_dat!$F$5,$H103,0)</f>
        <v>2114397.35</v>
      </c>
      <c r="N103" s="35">
        <f ca="1">OFFSET(Org_dat!$G$5,$H103,0)</f>
        <v>0.37597808392124438</v>
      </c>
      <c r="O103" s="35">
        <f ca="1">OFFSET(Org_dat!$H$5,$H103,0)</f>
        <v>0.24879999999999999</v>
      </c>
      <c r="P103" s="34">
        <f ca="1">OFFSET(Org_dat!$I$5,$H103,0)</f>
        <v>543335.62</v>
      </c>
      <c r="Q103" s="35">
        <f ca="1">OFFSET(Org_dat!$J$5,$H103,0)</f>
        <v>9.6614898488101744E-2</v>
      </c>
      <c r="R103" s="35">
        <f ca="1">OFFSET(Org_dat!$K$5,$H103,0)</f>
        <v>0.38832354697790089</v>
      </c>
      <c r="S103" s="34">
        <f ca="1">OFFSET(Org_dat!$L$5,$H103,0)</f>
        <v>151719.46</v>
      </c>
      <c r="T103" s="35">
        <f ca="1">OFFSET(Org_dat!$M$5,$H103,0)</f>
        <v>0.21828408188887707</v>
      </c>
    </row>
    <row r="104" spans="2:20" x14ac:dyDescent="0.2">
      <c r="B104" s="342">
        <f>Org_dat!K100+(C104/100000)</f>
        <v>0.75088666120642578</v>
      </c>
      <c r="C104" s="31">
        <f>Org_dat!B100</f>
        <v>95</v>
      </c>
      <c r="D104" s="32" t="str">
        <f>Org_dat!C100</f>
        <v>Středisko volného času Ostrava</v>
      </c>
      <c r="E104" s="33">
        <f ca="1">OFFSET(Org_dat!$C100,0,OrgSortCriteria)</f>
        <v>84.996199672385544</v>
      </c>
      <c r="F104" s="33">
        <f t="shared" ca="1" si="13"/>
        <v>84.996199673136431</v>
      </c>
      <c r="G104" s="33">
        <f t="shared" ca="1" si="11"/>
        <v>39.976073963108348</v>
      </c>
      <c r="H104" s="31">
        <f t="shared" ca="1" si="12"/>
        <v>22</v>
      </c>
      <c r="J104" s="32" t="str">
        <f ca="1">OFFSET(Org_dat!$C$5,$H104,0)</f>
        <v>ZŠ a MŠ O-Hrabůvka, A.Kučery</v>
      </c>
      <c r="K104" s="158">
        <f ca="1">OFFSET(Org_dat!$D$5,$H104,0)</f>
        <v>39.976073962703225</v>
      </c>
      <c r="L104" s="34">
        <f ca="1">OFFSET(Org_dat!$E$5,$H104,0)</f>
        <v>9648874.5</v>
      </c>
      <c r="M104" s="34">
        <f ca="1">OFFSET(Org_dat!$F$5,$H104,0)</f>
        <v>3026257.21</v>
      </c>
      <c r="N104" s="35">
        <f ca="1">OFFSET(Org_dat!$G$5,$H104,0)</f>
        <v>0.31363836372832915</v>
      </c>
      <c r="O104" s="35">
        <f ca="1">OFFSET(Org_dat!$H$5,$H104,0)</f>
        <v>0.2606</v>
      </c>
      <c r="P104" s="34">
        <f ca="1">OFFSET(Org_dat!$I$5,$H104,0)</f>
        <v>1018126.24</v>
      </c>
      <c r="Q104" s="35">
        <f ca="1">OFFSET(Org_dat!$J$5,$H104,0)</f>
        <v>0.10551761658833887</v>
      </c>
      <c r="R104" s="35">
        <f ca="1">OFFSET(Org_dat!$K$5,$H104,0)</f>
        <v>0.4049025962714462</v>
      </c>
      <c r="S104" s="34">
        <f ca="1">OFFSET(Org_dat!$L$5,$H104,0)</f>
        <v>310264.09999999998</v>
      </c>
      <c r="T104" s="35">
        <f ca="1">OFFSET(Org_dat!$M$5,$H104,0)</f>
        <v>0.23356395379990494</v>
      </c>
    </row>
    <row r="105" spans="2:20" x14ac:dyDescent="0.2">
      <c r="B105" s="342">
        <f>Org_dat!K101+(C105/100000)</f>
        <v>0.87322002748380134</v>
      </c>
      <c r="C105" s="31">
        <f>Org_dat!B101</f>
        <v>96</v>
      </c>
      <c r="D105" s="32" t="str">
        <f>Org_dat!C101</f>
        <v>Technické služby Moravská Ostrava a Přívoz</v>
      </c>
      <c r="E105" s="33">
        <f ca="1">OFFSET(Org_dat!$C101,0,OrgSortCriteria)</f>
        <v>92.335601649028092</v>
      </c>
      <c r="F105" s="33">
        <f t="shared" ca="1" si="13"/>
        <v>92.335601649901307</v>
      </c>
      <c r="G105" s="33">
        <f t="shared" ca="1" si="11"/>
        <v>39.885669595021945</v>
      </c>
      <c r="H105" s="31">
        <f t="shared" ca="1" si="12"/>
        <v>91</v>
      </c>
      <c r="J105" s="32" t="str">
        <f ca="1">OFFSET(Org_dat!$C$5,$H105,0)</f>
        <v>Ostravský informační servis</v>
      </c>
      <c r="K105" s="158">
        <f ca="1">OFFSET(Org_dat!$D$5,$H105,0)</f>
        <v>39.885669594932587</v>
      </c>
      <c r="L105" s="34">
        <f ca="1">OFFSET(Org_dat!$E$5,$H105,0)</f>
        <v>4448025</v>
      </c>
      <c r="M105" s="34">
        <f ca="1">OFFSET(Org_dat!$F$5,$H105,0)</f>
        <v>3076131.91</v>
      </c>
      <c r="N105" s="35">
        <f ca="1">OFFSET(Org_dat!$G$5,$H105,0)</f>
        <v>0.69157253162920629</v>
      </c>
      <c r="O105" s="35">
        <f ca="1">OFFSET(Org_dat!$H$5,$H105,0)</f>
        <v>0.13</v>
      </c>
      <c r="P105" s="34">
        <f ca="1">OFFSET(Org_dat!$I$5,$H105,0)</f>
        <v>51146.03</v>
      </c>
      <c r="Q105" s="35">
        <f ca="1">OFFSET(Org_dat!$J$5,$H105,0)</f>
        <v>1.1498593195856588E-2</v>
      </c>
      <c r="R105" s="35">
        <f ca="1">OFFSET(Org_dat!$K$5,$H105,0)</f>
        <v>8.8450716891204526E-2</v>
      </c>
      <c r="S105" s="34">
        <f ca="1">OFFSET(Org_dat!$L$5,$H105,0)</f>
        <v>76209.009999999995</v>
      </c>
      <c r="T105" s="35">
        <f ca="1">OFFSET(Org_dat!$M$5,$H105,0)</f>
        <v>0.59839806889464286</v>
      </c>
    </row>
    <row r="106" spans="2:20" x14ac:dyDescent="0.2">
      <c r="B106" s="342">
        <f>Org_dat!K102+(C106/100000)</f>
        <v>0.59065722928832265</v>
      </c>
      <c r="C106" s="31">
        <f>Org_dat!B102</f>
        <v>97</v>
      </c>
      <c r="D106" s="32" t="str">
        <f>Org_dat!C102</f>
        <v>Technické služby O-Jih</v>
      </c>
      <c r="E106" s="33">
        <f ca="1">OFFSET(Org_dat!$C102,0,OrgSortCriteria)</f>
        <v>36.985645725508796</v>
      </c>
      <c r="F106" s="33">
        <f t="shared" ca="1" si="13"/>
        <v>36.985645726099456</v>
      </c>
      <c r="G106" s="33">
        <f t="shared" ref="G106:G137" ca="1" si="14">IF(ISERROR(LARGE($F$10:$F$185,C106)),0,LARGE($F$10:$F$185,C106))</f>
        <v>38.646437639548672</v>
      </c>
      <c r="H106" s="31">
        <f t="shared" ref="H106:H137" ca="1" si="15">MATCH(G106,$F$10:$F$185,0)</f>
        <v>78</v>
      </c>
      <c r="J106" s="32" t="str">
        <f ca="1">OFFSET(Org_dat!$C$5,$H106,0)</f>
        <v>MŠ Sládečkova</v>
      </c>
      <c r="K106" s="158">
        <f ca="1">OFFSET(Org_dat!$D$5,$H106,0)</f>
        <v>38.646437638903784</v>
      </c>
      <c r="L106" s="34">
        <f ca="1">OFFSET(Org_dat!$E$5,$H106,0)</f>
        <v>536100</v>
      </c>
      <c r="M106" s="34">
        <f ca="1">OFFSET(Org_dat!$F$5,$H106,0)</f>
        <v>0</v>
      </c>
      <c r="N106" s="35">
        <f ca="1">OFFSET(Org_dat!$G$5,$H106,0)</f>
        <v>0</v>
      </c>
      <c r="O106" s="35">
        <f ca="1">OFFSET(Org_dat!$H$5,$H106,0)</f>
        <v>0.26350000000000001</v>
      </c>
      <c r="P106" s="34">
        <f ca="1">OFFSET(Org_dat!$I$5,$H106,0)</f>
        <v>90988.11</v>
      </c>
      <c r="Q106" s="35">
        <f ca="1">OFFSET(Org_dat!$J$5,$H106,0)</f>
        <v>0.16972227196418579</v>
      </c>
      <c r="R106" s="35">
        <f ca="1">OFFSET(Org_dat!$K$5,$H106,0)</f>
        <v>0.64410729398172972</v>
      </c>
      <c r="S106" s="34">
        <f ca="1">OFFSET(Org_dat!$L$5,$H106,0)</f>
        <v>66245.399999999994</v>
      </c>
      <c r="T106" s="35">
        <f ca="1">OFFSET(Org_dat!$M$5,$H106,0)</f>
        <v>0.42131858533209615</v>
      </c>
    </row>
    <row r="107" spans="2:20" x14ac:dyDescent="0.2">
      <c r="B107" s="342">
        <f>Org_dat!K103+(C107/100000)</f>
        <v>0.79197014549965516</v>
      </c>
      <c r="C107" s="31">
        <f>Org_dat!B103</f>
        <v>98</v>
      </c>
      <c r="D107" s="32" t="str">
        <f>Org_dat!C103</f>
        <v>Technické služby Slezská Ostrava</v>
      </c>
      <c r="E107" s="33">
        <f ca="1">OFFSET(Org_dat!$C103,0,OrgSortCriteria)</f>
        <v>67.034857945937972</v>
      </c>
      <c r="F107" s="33">
        <f t="shared" ca="1" si="13"/>
        <v>67.034857946729943</v>
      </c>
      <c r="G107" s="33">
        <f t="shared" ca="1" si="14"/>
        <v>37.738448536804555</v>
      </c>
      <c r="H107" s="31">
        <f t="shared" ca="1" si="15"/>
        <v>152</v>
      </c>
      <c r="J107" s="32" t="str">
        <f ca="1">OFFSET(Org_dat!$C$5,$H107,0)</f>
        <v>ZŠ O-Poruba, A.Hrdličky</v>
      </c>
      <c r="K107" s="158">
        <f ca="1">OFFSET(Org_dat!$D$5,$H107,0)</f>
        <v>37.738448536616609</v>
      </c>
      <c r="L107" s="34">
        <f ca="1">OFFSET(Org_dat!$E$5,$H107,0)</f>
        <v>3593250</v>
      </c>
      <c r="M107" s="34">
        <f ca="1">OFFSET(Org_dat!$F$5,$H107,0)</f>
        <v>1908236.42</v>
      </c>
      <c r="N107" s="35">
        <f ca="1">OFFSET(Org_dat!$G$5,$H107,0)</f>
        <v>0.53106141237041671</v>
      </c>
      <c r="O107" s="35">
        <f ca="1">OFFSET(Org_dat!$H$5,$H107,0)</f>
        <v>0.22869999999999999</v>
      </c>
      <c r="P107" s="34">
        <f ca="1">OFFSET(Org_dat!$I$5,$H107,0)</f>
        <v>153197.96999999997</v>
      </c>
      <c r="Q107" s="35">
        <f ca="1">OFFSET(Org_dat!$J$5,$H107,0)</f>
        <v>4.2634932164475052E-2</v>
      </c>
      <c r="R107" s="35">
        <f ca="1">OFFSET(Org_dat!$K$5,$H107,0)</f>
        <v>0.18642296530159622</v>
      </c>
      <c r="S107" s="34">
        <f ca="1">OFFSET(Org_dat!$L$5,$H107,0)</f>
        <v>84431.76</v>
      </c>
      <c r="T107" s="35">
        <f ca="1">OFFSET(Org_dat!$M$5,$H107,0)</f>
        <v>0.35530806688203537</v>
      </c>
    </row>
    <row r="108" spans="2:20" x14ac:dyDescent="0.2">
      <c r="B108" s="342">
        <f>Org_dat!K104+(C108/100000)</f>
        <v>0.34079771793126284</v>
      </c>
      <c r="C108" s="31">
        <f>Org_dat!B104</f>
        <v>99</v>
      </c>
      <c r="D108" s="32" t="str">
        <f>Org_dat!C104</f>
        <v>Technický dvůr O-Svinov</v>
      </c>
      <c r="E108" s="33">
        <f ca="1">OFFSET(Org_dat!$C104,0,OrgSortCriteria)</f>
        <v>29.160551521645615</v>
      </c>
      <c r="F108" s="33">
        <f t="shared" ca="1" si="13"/>
        <v>29.160551521986413</v>
      </c>
      <c r="G108" s="33">
        <f t="shared" ca="1" si="14"/>
        <v>37.344994310547769</v>
      </c>
      <c r="H108" s="31">
        <f t="shared" ca="1" si="15"/>
        <v>104</v>
      </c>
      <c r="J108" s="32" t="str">
        <f ca="1">OFFSET(Org_dat!$C$5,$H108,0)</f>
        <v>ÚMOb Mariánské Hory a Hulváky</v>
      </c>
      <c r="K108" s="158">
        <f ca="1">OFFSET(Org_dat!$D$5,$H108,0)</f>
        <v>37.344994310493171</v>
      </c>
      <c r="L108" s="34">
        <f ca="1">OFFSET(Org_dat!$E$5,$H108,0)</f>
        <v>53414250</v>
      </c>
      <c r="M108" s="34">
        <f ca="1">OFFSET(Org_dat!$F$5,$H108,0)</f>
        <v>36462224.850000001</v>
      </c>
      <c r="N108" s="35">
        <f ca="1">OFFSET(Org_dat!$G$5,$H108,0)</f>
        <v>0.6826310366615651</v>
      </c>
      <c r="O108" s="35">
        <f ca="1">OFFSET(Org_dat!$H$5,$H108,0)</f>
        <v>0.18018404777970171</v>
      </c>
      <c r="P108" s="34">
        <f ca="1">OFFSET(Org_dat!$I$5,$H108,0)</f>
        <v>515457.37</v>
      </c>
      <c r="Q108" s="35">
        <f ca="1">OFFSET(Org_dat!$J$5,$H108,0)</f>
        <v>9.6501845481308818E-3</v>
      </c>
      <c r="R108" s="35">
        <f ca="1">OFFSET(Org_dat!$K$5,$H108,0)</f>
        <v>5.3557374623582003E-2</v>
      </c>
      <c r="S108" s="34">
        <f ca="1">OFFSET(Org_dat!$L$5,$H108,0)</f>
        <v>677826.56000000006</v>
      </c>
      <c r="T108" s="35">
        <f ca="1">OFFSET(Org_dat!$M$5,$H108,0)</f>
        <v>0.56803460011398965</v>
      </c>
    </row>
    <row r="109" spans="2:20" x14ac:dyDescent="0.2">
      <c r="B109" s="342">
        <f>Org_dat!K105+(C109/100000)</f>
        <v>0.27466112259974851</v>
      </c>
      <c r="C109" s="31">
        <f>Org_dat!B105</f>
        <v>100</v>
      </c>
      <c r="D109" s="32" t="str">
        <f>Org_dat!C105</f>
        <v>ÚMOb Hošťálkovice</v>
      </c>
      <c r="E109" s="33">
        <f ca="1">OFFSET(Org_dat!$C105,0,OrgSortCriteria)</f>
        <v>51.946022139584002</v>
      </c>
      <c r="F109" s="33">
        <f t="shared" ca="1" si="13"/>
        <v>51.946022139858663</v>
      </c>
      <c r="G109" s="33">
        <f t="shared" ca="1" si="14"/>
        <v>36.985645726099456</v>
      </c>
      <c r="H109" s="31">
        <f t="shared" ca="1" si="15"/>
        <v>97</v>
      </c>
      <c r="J109" s="32" t="str">
        <f ca="1">OFFSET(Org_dat!$C$5,$H109,0)</f>
        <v>Technické služby O-Jih</v>
      </c>
      <c r="K109" s="158">
        <f ca="1">OFFSET(Org_dat!$D$5,$H109,0)</f>
        <v>36.985645725508796</v>
      </c>
      <c r="L109" s="34">
        <f ca="1">OFFSET(Org_dat!$E$5,$H109,0)</f>
        <v>2673750</v>
      </c>
      <c r="M109" s="34">
        <f ca="1">OFFSET(Org_dat!$F$5,$H109,0)</f>
        <v>85795.93</v>
      </c>
      <c r="N109" s="35">
        <f ca="1">OFFSET(Org_dat!$G$5,$H109,0)</f>
        <v>3.2088239364188871E-2</v>
      </c>
      <c r="O109" s="35">
        <f ca="1">OFFSET(Org_dat!$H$5,$H109,0)</f>
        <v>7.8393831087387525E-2</v>
      </c>
      <c r="P109" s="34">
        <f ca="1">OFFSET(Org_dat!$I$5,$H109,0)</f>
        <v>123601.69</v>
      </c>
      <c r="Q109" s="35">
        <f ca="1">OFFSET(Org_dat!$J$5,$H109,0)</f>
        <v>4.6227841047218325E-2</v>
      </c>
      <c r="R109" s="35">
        <f ca="1">OFFSET(Org_dat!$K$5,$H109,0)</f>
        <v>0.58968722928832262</v>
      </c>
      <c r="S109" s="34">
        <f ca="1">OFFSET(Org_dat!$L$5,$H109,0)</f>
        <v>10222.84</v>
      </c>
      <c r="T109" s="35">
        <f ca="1">OFFSET(Org_dat!$M$5,$H109,0)</f>
        <v>7.6389881585984282E-2</v>
      </c>
    </row>
    <row r="110" spans="2:20" x14ac:dyDescent="0.2">
      <c r="B110" s="342">
        <f>Org_dat!K106+(C110/100000)</f>
        <v>0.15866387483738495</v>
      </c>
      <c r="C110" s="31">
        <f>Org_dat!B106</f>
        <v>101</v>
      </c>
      <c r="D110" s="32" t="str">
        <f>Org_dat!C106</f>
        <v>ÚMOb Hrabová</v>
      </c>
      <c r="E110" s="33">
        <f ca="1">OFFSET(Org_dat!$C106,0,OrgSortCriteria)</f>
        <v>9.5215624291432999</v>
      </c>
      <c r="F110" s="33">
        <f t="shared" ca="1" si="13"/>
        <v>9.5215624293019641</v>
      </c>
      <c r="G110" s="33">
        <f t="shared" ca="1" si="14"/>
        <v>36.792804772170534</v>
      </c>
      <c r="H110" s="31">
        <f t="shared" ca="1" si="15"/>
        <v>74</v>
      </c>
      <c r="J110" s="32" t="str">
        <f ca="1">OFFSET(Org_dat!$C$5,$H110,0)</f>
        <v>MŠ O-Vítkovice</v>
      </c>
      <c r="K110" s="158">
        <f ca="1">OFFSET(Org_dat!$D$5,$H110,0)</f>
        <v>36.792804771563993</v>
      </c>
      <c r="L110" s="34">
        <f ca="1">OFFSET(Org_dat!$E$5,$H110,0)</f>
        <v>1460625</v>
      </c>
      <c r="M110" s="34">
        <f ca="1">OFFSET(Org_dat!$F$5,$H110,0)</f>
        <v>12996.13</v>
      </c>
      <c r="N110" s="35">
        <f ca="1">OFFSET(Org_dat!$G$5,$H110,0)</f>
        <v>8.8976499786050482E-3</v>
      </c>
      <c r="O110" s="35">
        <f ca="1">OFFSET(Org_dat!$H$5,$H110,0)</f>
        <v>0.26200000000000001</v>
      </c>
      <c r="P110" s="34">
        <f ca="1">OFFSET(Org_dat!$I$5,$H110,0)</f>
        <v>231829.32</v>
      </c>
      <c r="Q110" s="35">
        <f ca="1">OFFSET(Org_dat!$J$5,$H110,0)</f>
        <v>0.15871926059050065</v>
      </c>
      <c r="R110" s="35">
        <f ca="1">OFFSET(Org_dat!$K$5,$H110,0)</f>
        <v>0.60579870454389562</v>
      </c>
      <c r="S110" s="34">
        <f ca="1">OFFSET(Org_dat!$L$5,$H110,0)</f>
        <v>167627.41999999998</v>
      </c>
      <c r="T110" s="35">
        <f ca="1">OFFSET(Org_dat!$M$5,$H110,0)</f>
        <v>0.41963848200433418</v>
      </c>
    </row>
    <row r="111" spans="2:20" x14ac:dyDescent="0.2">
      <c r="B111" s="342">
        <f>Org_dat!K107+(C111/100000)</f>
        <v>0.50815089406472858</v>
      </c>
      <c r="C111" s="31">
        <f>Org_dat!B107</f>
        <v>102</v>
      </c>
      <c r="D111" s="32" t="str">
        <f>Org_dat!C107</f>
        <v>ÚMOb Krásné Pole</v>
      </c>
      <c r="E111" s="33">
        <f ca="1">OFFSET(Org_dat!$C107,0,OrgSortCriteria)</f>
        <v>70.427853643883708</v>
      </c>
      <c r="F111" s="33">
        <f t="shared" ca="1" si="13"/>
        <v>70.42785364439186</v>
      </c>
      <c r="G111" s="33">
        <f t="shared" ca="1" si="14"/>
        <v>36.360535792734346</v>
      </c>
      <c r="H111" s="31">
        <f t="shared" ca="1" si="15"/>
        <v>115</v>
      </c>
      <c r="J111" s="32" t="str">
        <f ca="1">OFFSET(Org_dat!$C$5,$H111,0)</f>
        <v>ÚMOb Proskovice</v>
      </c>
      <c r="K111" s="158">
        <f ca="1">OFFSET(Org_dat!$D$5,$H111,0)</f>
        <v>36.360535792476952</v>
      </c>
      <c r="L111" s="34">
        <f ca="1">OFFSET(Org_dat!$E$5,$H111,0)</f>
        <v>2559750</v>
      </c>
      <c r="M111" s="34">
        <f ca="1">OFFSET(Org_dat!$F$5,$H111,0)</f>
        <v>1074376.24</v>
      </c>
      <c r="N111" s="35">
        <f ca="1">OFFSET(Org_dat!$G$5,$H111,0)</f>
        <v>0.4197192069538041</v>
      </c>
      <c r="O111" s="35">
        <f ca="1">OFFSET(Org_dat!$H$5,$H111,0)</f>
        <v>0.27362467245610628</v>
      </c>
      <c r="P111" s="34">
        <f ca="1">OFFSET(Org_dat!$I$5,$H111,0)</f>
        <v>179475.3</v>
      </c>
      <c r="Q111" s="35">
        <f ca="1">OFFSET(Org_dat!$J$5,$H111,0)</f>
        <v>7.0114386170524456E-2</v>
      </c>
      <c r="R111" s="35">
        <f ca="1">OFFSET(Org_dat!$K$5,$H111,0)</f>
        <v>0.25624292407977911</v>
      </c>
      <c r="S111" s="34">
        <f ca="1">OFFSET(Org_dat!$L$5,$H111,0)</f>
        <v>138862.12</v>
      </c>
      <c r="T111" s="35">
        <f ca="1">OFFSET(Org_dat!$M$5,$H111,0)</f>
        <v>0.43621048383190392</v>
      </c>
    </row>
    <row r="112" spans="2:20" x14ac:dyDescent="0.2">
      <c r="B112" s="342">
        <f>Org_dat!K108+(C112/100000)</f>
        <v>0.60495530613267445</v>
      </c>
      <c r="C112" s="31">
        <f>Org_dat!B108</f>
        <v>103</v>
      </c>
      <c r="D112" s="32" t="str">
        <f>Org_dat!C108</f>
        <v>ÚMOb Lhotka</v>
      </c>
      <c r="E112" s="33">
        <f ca="1">OFFSET(Org_dat!$C108,0,OrgSortCriteria)</f>
        <v>36.235518367960466</v>
      </c>
      <c r="F112" s="33">
        <f t="shared" ca="1" si="13"/>
        <v>36.235518368565423</v>
      </c>
      <c r="G112" s="33">
        <f t="shared" ca="1" si="14"/>
        <v>36.235518368565423</v>
      </c>
      <c r="H112" s="31">
        <f t="shared" ca="1" si="15"/>
        <v>103</v>
      </c>
      <c r="J112" s="32" t="str">
        <f ca="1">OFFSET(Org_dat!$C$5,$H112,0)</f>
        <v>ÚMOb Lhotka</v>
      </c>
      <c r="K112" s="158">
        <f ca="1">OFFSET(Org_dat!$D$5,$H112,0)</f>
        <v>36.235518367960466</v>
      </c>
      <c r="L112" s="34">
        <f ca="1">OFFSET(Org_dat!$E$5,$H112,0)</f>
        <v>1380750</v>
      </c>
      <c r="M112" s="34">
        <f ca="1">OFFSET(Org_dat!$F$5,$H112,0)</f>
        <v>0</v>
      </c>
      <c r="N112" s="35">
        <f ca="1">OFFSET(Org_dat!$G$5,$H112,0)</f>
        <v>0</v>
      </c>
      <c r="O112" s="35">
        <f ca="1">OFFSET(Org_dat!$H$5,$H112,0)</f>
        <v>0.18939041492615671</v>
      </c>
      <c r="P112" s="34">
        <f ca="1">OFFSET(Org_dat!$I$5,$H112,0)</f>
        <v>157926.96</v>
      </c>
      <c r="Q112" s="35">
        <f ca="1">OFFSET(Org_dat!$J$5,$H112,0)</f>
        <v>0.11437766431287344</v>
      </c>
      <c r="R112" s="35">
        <f ca="1">OFFSET(Org_dat!$K$5,$H112,0)</f>
        <v>0.60392530613267448</v>
      </c>
      <c r="S112" s="34">
        <f ca="1">OFFSET(Org_dat!$L$5,$H112,0)</f>
        <v>126192.6</v>
      </c>
      <c r="T112" s="35">
        <f ca="1">OFFSET(Org_dat!$M$5,$H112,0)</f>
        <v>0.44415315862096932</v>
      </c>
    </row>
    <row r="113" spans="2:20" x14ac:dyDescent="0.2">
      <c r="B113" s="342">
        <f>Org_dat!K109+(C113/100000)</f>
        <v>5.4597374623582003E-2</v>
      </c>
      <c r="C113" s="31">
        <f>Org_dat!B109</f>
        <v>104</v>
      </c>
      <c r="D113" s="32" t="str">
        <f>Org_dat!C109</f>
        <v>ÚMOb Mariánské Hory a Hulváky</v>
      </c>
      <c r="E113" s="33">
        <f ca="1">OFFSET(Org_dat!$C109,0,OrgSortCriteria)</f>
        <v>37.344994310493171</v>
      </c>
      <c r="F113" s="33">
        <f t="shared" ca="1" si="13"/>
        <v>37.344994310547769</v>
      </c>
      <c r="G113" s="33">
        <f t="shared" ca="1" si="14"/>
        <v>34.758440914184831</v>
      </c>
      <c r="H113" s="31">
        <f t="shared" ca="1" si="15"/>
        <v>75</v>
      </c>
      <c r="J113" s="32" t="str">
        <f ca="1">OFFSET(Org_dat!$C$5,$H113,0)</f>
        <v>MŠ Poděbradova</v>
      </c>
      <c r="K113" s="158">
        <f ca="1">OFFSET(Org_dat!$D$5,$H113,0)</f>
        <v>34.758440913604773</v>
      </c>
      <c r="L113" s="34">
        <f ca="1">OFFSET(Org_dat!$E$5,$H113,0)</f>
        <v>755250</v>
      </c>
      <c r="M113" s="34">
        <f ca="1">OFFSET(Org_dat!$F$5,$H113,0)</f>
        <v>0</v>
      </c>
      <c r="N113" s="35">
        <f ca="1">OFFSET(Org_dat!$G$5,$H113,0)</f>
        <v>0</v>
      </c>
      <c r="O113" s="35">
        <f ca="1">OFFSET(Org_dat!$H$5,$H113,0)</f>
        <v>0.24</v>
      </c>
      <c r="P113" s="34">
        <f ca="1">OFFSET(Org_dat!$I$5,$H113,0)</f>
        <v>105005.25</v>
      </c>
      <c r="Q113" s="35">
        <f ca="1">OFFSET(Org_dat!$J$5,$H113,0)</f>
        <v>0.13903376365441908</v>
      </c>
      <c r="R113" s="35">
        <f ca="1">OFFSET(Org_dat!$K$5,$H113,0)</f>
        <v>0.57930734856007948</v>
      </c>
      <c r="S113" s="34">
        <f ca="1">OFFSET(Org_dat!$L$5,$H113,0)</f>
        <v>83090.070000000007</v>
      </c>
      <c r="T113" s="35">
        <f ca="1">OFFSET(Org_dat!$M$5,$H113,0)</f>
        <v>0.44174448359480717</v>
      </c>
    </row>
    <row r="114" spans="2:20" x14ac:dyDescent="0.2">
      <c r="B114" s="342">
        <f>Org_dat!K110+(C114/100000)</f>
        <v>0.4105821655572926</v>
      </c>
      <c r="C114" s="31">
        <f>Org_dat!B110</f>
        <v>105</v>
      </c>
      <c r="D114" s="32" t="str">
        <f>Org_dat!C110</f>
        <v>ÚMOb Martinov</v>
      </c>
      <c r="E114" s="33">
        <f ca="1">OFFSET(Org_dat!$C110,0,OrgSortCriteria)</f>
        <v>25.161744079145432</v>
      </c>
      <c r="F114" s="33">
        <f t="shared" ca="1" si="13"/>
        <v>25.161744079556016</v>
      </c>
      <c r="G114" s="33">
        <f t="shared" ca="1" si="14"/>
        <v>34.28882151863386</v>
      </c>
      <c r="H114" s="31">
        <f t="shared" ca="1" si="15"/>
        <v>139</v>
      </c>
      <c r="J114" s="32" t="str">
        <f ca="1">OFFSET(Org_dat!$C$5,$H114,0)</f>
        <v>ZŠ a waldorfská ZŠ O-Poruba</v>
      </c>
      <c r="K114" s="158">
        <f ca="1">OFFSET(Org_dat!$D$5,$H114,0)</f>
        <v>34.288821518398493</v>
      </c>
      <c r="L114" s="34">
        <f ca="1">OFFSET(Org_dat!$E$5,$H114,0)</f>
        <v>4924500</v>
      </c>
      <c r="M114" s="34">
        <f ca="1">OFFSET(Org_dat!$F$5,$H114,0)</f>
        <v>1994446.38</v>
      </c>
      <c r="N114" s="35">
        <f ca="1">OFFSET(Org_dat!$G$5,$H114,0)</f>
        <v>0.4050048492232714</v>
      </c>
      <c r="O114" s="35">
        <f ca="1">OFFSET(Org_dat!$H$5,$H114,0)</f>
        <v>0.1893</v>
      </c>
      <c r="P114" s="34">
        <f ca="1">OFFSET(Org_dat!$I$5,$H114,0)</f>
        <v>218114.56</v>
      </c>
      <c r="Q114" s="35">
        <f ca="1">OFFSET(Org_dat!$J$5,$H114,0)</f>
        <v>4.4291716925576201E-2</v>
      </c>
      <c r="R114" s="35">
        <f ca="1">OFFSET(Org_dat!$K$5,$H114,0)</f>
        <v>0.23397631762058216</v>
      </c>
      <c r="S114" s="34">
        <f ca="1">OFFSET(Org_dat!$L$5,$H114,0)</f>
        <v>94681.010000000009</v>
      </c>
      <c r="T114" s="35">
        <f ca="1">OFFSET(Org_dat!$M$5,$H114,0)</f>
        <v>0.30269293775484096</v>
      </c>
    </row>
    <row r="115" spans="2:20" x14ac:dyDescent="0.2">
      <c r="B115" s="342">
        <f>Org_dat!K111+(C115/100000)</f>
        <v>0.40523097257073104</v>
      </c>
      <c r="C115" s="31">
        <f>Org_dat!B111</f>
        <v>106</v>
      </c>
      <c r="D115" s="32" t="str">
        <f>Org_dat!C111</f>
        <v>ÚMOb Michálkovice</v>
      </c>
      <c r="E115" s="33">
        <f ca="1">OFFSET(Org_dat!$C111,0,OrgSortCriteria)</f>
        <v>24.871883310430331</v>
      </c>
      <c r="F115" s="33">
        <f t="shared" ca="1" si="13"/>
        <v>24.87188331083556</v>
      </c>
      <c r="G115" s="33">
        <f t="shared" ca="1" si="14"/>
        <v>33.422867694865403</v>
      </c>
      <c r="H115" s="31">
        <f t="shared" ca="1" si="15"/>
        <v>124</v>
      </c>
      <c r="J115" s="32" t="str">
        <f ca="1">OFFSET(Org_dat!$C$5,$H115,0)</f>
        <v>ZŠ a MŠ O-Dubina, V.Košaře</v>
      </c>
      <c r="K115" s="158">
        <f ca="1">OFFSET(Org_dat!$D$5,$H115,0)</f>
        <v>33.4228676946653</v>
      </c>
      <c r="L115" s="34">
        <f ca="1">OFFSET(Org_dat!$E$5,$H115,0)</f>
        <v>3524250</v>
      </c>
      <c r="M115" s="34">
        <f ca="1">OFFSET(Org_dat!$F$5,$H115,0)</f>
        <v>1514812.88</v>
      </c>
      <c r="N115" s="35">
        <f ca="1">OFFSET(Org_dat!$G$5,$H115,0)</f>
        <v>0.42982560261048447</v>
      </c>
      <c r="O115" s="35">
        <f ca="1">OFFSET(Org_dat!$H$5,$H115,0)</f>
        <v>0.13850000000000001</v>
      </c>
      <c r="P115" s="34">
        <f ca="1">OFFSET(Org_dat!$I$5,$H115,0)</f>
        <v>97065.18</v>
      </c>
      <c r="Q115" s="35">
        <f ca="1">OFFSET(Org_dat!$J$5,$H115,0)</f>
        <v>2.7542081293892316E-2</v>
      </c>
      <c r="R115" s="35">
        <f ca="1">OFFSET(Org_dat!$K$5,$H115,0)</f>
        <v>0.19885979273568458</v>
      </c>
      <c r="S115" s="34">
        <f ca="1">OFFSET(Org_dat!$L$5,$H115,0)</f>
        <v>93781.89</v>
      </c>
      <c r="T115" s="35">
        <f ca="1">OFFSET(Org_dat!$M$5,$H115,0)</f>
        <v>0.4913981126354206</v>
      </c>
    </row>
    <row r="116" spans="2:20" x14ac:dyDescent="0.2">
      <c r="B116" s="342">
        <f>Org_dat!K112+(C116/100000)</f>
        <v>0.52481687864960747</v>
      </c>
      <c r="C116" s="31">
        <f>Org_dat!B112</f>
        <v>107</v>
      </c>
      <c r="D116" s="32" t="str">
        <f>Org_dat!C112</f>
        <v>ÚMOb Moravská Ostrava a Přívoz</v>
      </c>
      <c r="E116" s="33">
        <f ca="1">OFFSET(Org_dat!$C112,0,OrgSortCriteria)</f>
        <v>48.229147206247077</v>
      </c>
      <c r="F116" s="33">
        <f t="shared" ca="1" si="13"/>
        <v>48.229147206771891</v>
      </c>
      <c r="G116" s="33">
        <f t="shared" ca="1" si="14"/>
        <v>32.629367225985042</v>
      </c>
      <c r="H116" s="31">
        <f t="shared" ca="1" si="15"/>
        <v>168</v>
      </c>
      <c r="J116" s="32" t="str">
        <f ca="1">OFFSET(Org_dat!$C$5,$H116,0)</f>
        <v>ZŠ Ostrava, Gebauerova</v>
      </c>
      <c r="K116" s="158">
        <f ca="1">OFFSET(Org_dat!$D$5,$H116,0)</f>
        <v>32.629367225439537</v>
      </c>
      <c r="L116" s="34">
        <f ca="1">OFFSET(Org_dat!$E$5,$H116,0)</f>
        <v>2154987.9975000001</v>
      </c>
      <c r="M116" s="34">
        <f ca="1">OFFSET(Org_dat!$F$5,$H116,0)</f>
        <v>0</v>
      </c>
      <c r="N116" s="35">
        <f ca="1">OFFSET(Org_dat!$G$5,$H116,0)</f>
        <v>0</v>
      </c>
      <c r="O116" s="35">
        <f ca="1">OFFSET(Org_dat!$H$5,$H116,0)</f>
        <v>6.8400000000000002E-2</v>
      </c>
      <c r="P116" s="34">
        <f ca="1">OFFSET(Org_dat!$I$5,$H116,0)</f>
        <v>80160.12</v>
      </c>
      <c r="Q116" s="35">
        <f ca="1">OFFSET(Org_dat!$J$5,$H116,0)</f>
        <v>3.7197478637001083E-2</v>
      </c>
      <c r="R116" s="35">
        <f ca="1">OFFSET(Org_dat!$K$5,$H116,0)</f>
        <v>0.54382278709065901</v>
      </c>
      <c r="S116" s="34">
        <f ca="1">OFFSET(Org_dat!$L$5,$H116,0)</f>
        <v>74951.55</v>
      </c>
      <c r="T116" s="35">
        <f ca="1">OFFSET(Org_dat!$M$5,$H116,0)</f>
        <v>0.4832102574873961</v>
      </c>
    </row>
    <row r="117" spans="2:20" x14ac:dyDescent="0.2">
      <c r="B117" s="342">
        <f>Org_dat!K113+(C117/100000)</f>
        <v>0.47034514812162292</v>
      </c>
      <c r="C117" s="31">
        <f>Org_dat!B113</f>
        <v>108</v>
      </c>
      <c r="D117" s="32" t="str">
        <f>Org_dat!C113</f>
        <v>ÚMOb Nová Bělá</v>
      </c>
      <c r="E117" s="33">
        <f ca="1">OFFSET(Org_dat!$C113,0,OrgSortCriteria)</f>
        <v>49.482177135214926</v>
      </c>
      <c r="F117" s="33">
        <f t="shared" ca="1" si="13"/>
        <v>49.482177135685269</v>
      </c>
      <c r="G117" s="33">
        <f t="shared" ca="1" si="14"/>
        <v>32.311107100975413</v>
      </c>
      <c r="H117" s="31">
        <f t="shared" ca="1" si="15"/>
        <v>140</v>
      </c>
      <c r="J117" s="32" t="str">
        <f ca="1">OFFSET(Org_dat!$C$5,$H117,0)</f>
        <v>ZŠ gen.Z.Škarvady, O-Poruba</v>
      </c>
      <c r="K117" s="158">
        <f ca="1">OFFSET(Org_dat!$D$5,$H117,0)</f>
        <v>32.311107100551993</v>
      </c>
      <c r="L117" s="34">
        <f ca="1">OFFSET(Org_dat!$E$5,$H117,0)</f>
        <v>4275750</v>
      </c>
      <c r="M117" s="34">
        <f ca="1">OFFSET(Org_dat!$F$5,$H117,0)</f>
        <v>597745.62</v>
      </c>
      <c r="N117" s="35">
        <f ca="1">OFFSET(Org_dat!$G$5,$H117,0)</f>
        <v>0.13979901069987721</v>
      </c>
      <c r="O117" s="35">
        <f ca="1">OFFSET(Org_dat!$H$5,$H117,0)</f>
        <v>0.32400000000000001</v>
      </c>
      <c r="P117" s="34">
        <f ca="1">OFFSET(Org_dat!$I$5,$H117,0)</f>
        <v>584641.44999999995</v>
      </c>
      <c r="Q117" s="35">
        <f ca="1">OFFSET(Org_dat!$J$5,$H117,0)</f>
        <v>0.13673424545401391</v>
      </c>
      <c r="R117" s="35">
        <f ca="1">OFFSET(Org_dat!$K$5,$H117,0)</f>
        <v>0.42201927609263551</v>
      </c>
      <c r="S117" s="34">
        <f ca="1">OFFSET(Org_dat!$L$5,$H117,0)</f>
        <v>108747.6</v>
      </c>
      <c r="T117" s="35">
        <f ca="1">OFFSET(Org_dat!$M$5,$H117,0)</f>
        <v>0.15683489665722297</v>
      </c>
    </row>
    <row r="118" spans="2:20" x14ac:dyDescent="0.2">
      <c r="B118" s="342">
        <f>Org_dat!K114+(C118/100000)</f>
        <v>0.33972875874638758</v>
      </c>
      <c r="C118" s="31">
        <f>Org_dat!B114</f>
        <v>109</v>
      </c>
      <c r="D118" s="32" t="str">
        <f>Org_dat!C114</f>
        <v>ÚMOb Nová Ves</v>
      </c>
      <c r="E118" s="33">
        <f ca="1">OFFSET(Org_dat!$C114,0,OrgSortCriteria)</f>
        <v>20.360331809699456</v>
      </c>
      <c r="F118" s="33">
        <f t="shared" ca="1" si="13"/>
        <v>20.360331810039185</v>
      </c>
      <c r="G118" s="33">
        <f t="shared" ca="1" si="14"/>
        <v>32.184941338752871</v>
      </c>
      <c r="H118" s="31">
        <f t="shared" ca="1" si="15"/>
        <v>38</v>
      </c>
      <c r="J118" s="32" t="str">
        <f ca="1">OFFSET(Org_dat!$C$5,$H118,0)</f>
        <v>Kulturní zařízení Ostrava-Jih</v>
      </c>
      <c r="K118" s="158">
        <f ca="1">OFFSET(Org_dat!$D$5,$H118,0)</f>
        <v>32.184941338218231</v>
      </c>
      <c r="L118" s="34">
        <f ca="1">OFFSET(Org_dat!$E$5,$H118,0)</f>
        <v>7850250</v>
      </c>
      <c r="M118" s="34">
        <f ca="1">OFFSET(Org_dat!$F$5,$H118,0)</f>
        <v>20322.240000000002</v>
      </c>
      <c r="N118" s="35">
        <f ca="1">OFFSET(Org_dat!$G$5,$H118,0)</f>
        <v>2.5887379382822204E-3</v>
      </c>
      <c r="O118" s="35">
        <f ca="1">OFFSET(Org_dat!$H$5,$H118,0)</f>
        <v>5.5250729854665399E-2</v>
      </c>
      <c r="P118" s="34">
        <f ca="1">OFFSET(Org_dat!$I$5,$H118,0)</f>
        <v>231724.99</v>
      </c>
      <c r="Q118" s="35">
        <f ca="1">OFFSET(Org_dat!$J$5,$H118,0)</f>
        <v>2.9518166937358682E-2</v>
      </c>
      <c r="R118" s="35">
        <f ca="1">OFFSET(Org_dat!$K$5,$H118,0)</f>
        <v>0.53425840735506869</v>
      </c>
      <c r="S118" s="34">
        <f ca="1">OFFSET(Org_dat!$L$5,$H118,0)</f>
        <v>187770.09999999998</v>
      </c>
      <c r="T118" s="35">
        <f ca="1">OFFSET(Org_dat!$M$5,$H118,0)</f>
        <v>0.44760976820968273</v>
      </c>
    </row>
    <row r="119" spans="2:20" x14ac:dyDescent="0.2">
      <c r="B119" s="342">
        <f>Org_dat!K115+(C119/100000)</f>
        <v>0.83981268253019126</v>
      </c>
      <c r="C119" s="31">
        <f>Org_dat!B115</f>
        <v>110</v>
      </c>
      <c r="D119" s="32" t="str">
        <f>Org_dat!C115</f>
        <v>ÚMOb Ostrava-Jih</v>
      </c>
      <c r="E119" s="33">
        <f ca="1">OFFSET(Org_dat!$C115,0,OrgSortCriteria)</f>
        <v>50.84937091364872</v>
      </c>
      <c r="F119" s="33">
        <f t="shared" ca="1" si="13"/>
        <v>50.849370914488532</v>
      </c>
      <c r="G119" s="33">
        <f t="shared" ca="1" si="14"/>
        <v>31.451694673675707</v>
      </c>
      <c r="H119" s="31">
        <f t="shared" ca="1" si="15"/>
        <v>130</v>
      </c>
      <c r="J119" s="32" t="str">
        <f ca="1">OFFSET(Org_dat!$C$5,$H119,0)</f>
        <v>ZŠ a MŠ O-Lhotka</v>
      </c>
      <c r="K119" s="158">
        <f ca="1">OFFSET(Org_dat!$D$5,$H119,0)</f>
        <v>31.451694673150211</v>
      </c>
      <c r="L119" s="34">
        <f ca="1">OFFSET(Org_dat!$E$5,$H119,0)</f>
        <v>987750</v>
      </c>
      <c r="M119" s="34">
        <f ca="1">OFFSET(Org_dat!$F$5,$H119,0)</f>
        <v>0</v>
      </c>
      <c r="N119" s="35">
        <f ca="1">OFFSET(Org_dat!$G$5,$H119,0)</f>
        <v>0</v>
      </c>
      <c r="O119" s="35">
        <f ca="1">OFFSET(Org_dat!$H$5,$H119,0)</f>
        <v>0.1507</v>
      </c>
      <c r="P119" s="34">
        <f ca="1">OFFSET(Org_dat!$I$5,$H119,0)</f>
        <v>78028.47</v>
      </c>
      <c r="Q119" s="35">
        <f ca="1">OFFSET(Org_dat!$J$5,$H119,0)</f>
        <v>7.899617312072893E-2</v>
      </c>
      <c r="R119" s="35">
        <f ca="1">OFFSET(Org_dat!$K$5,$H119,0)</f>
        <v>0.52419491121917017</v>
      </c>
      <c r="S119" s="34">
        <f ca="1">OFFSET(Org_dat!$L$5,$H119,0)</f>
        <v>79924.23</v>
      </c>
      <c r="T119" s="35">
        <f ca="1">OFFSET(Org_dat!$M$5,$H119,0)</f>
        <v>0.5060010370193101</v>
      </c>
    </row>
    <row r="120" spans="2:20" x14ac:dyDescent="0.2">
      <c r="B120" s="342">
        <f>Org_dat!K116+(C120/100000)</f>
        <v>0.51379526721786883</v>
      </c>
      <c r="C120" s="31">
        <f>Org_dat!B116</f>
        <v>111</v>
      </c>
      <c r="D120" s="32" t="str">
        <f>Org_dat!C116</f>
        <v>ÚMOb Petřkovice</v>
      </c>
      <c r="E120" s="33">
        <f ca="1">OFFSET(Org_dat!$C116,0,OrgSortCriteria)</f>
        <v>31.011775573424881</v>
      </c>
      <c r="F120" s="33">
        <f t="shared" ca="1" si="13"/>
        <v>31.011775573938678</v>
      </c>
      <c r="G120" s="33">
        <f t="shared" ca="1" si="14"/>
        <v>31.011775573938678</v>
      </c>
      <c r="H120" s="31">
        <f t="shared" ca="1" si="15"/>
        <v>111</v>
      </c>
      <c r="J120" s="32" t="str">
        <f ca="1">OFFSET(Org_dat!$C$5,$H120,0)</f>
        <v>ÚMOb Petřkovice</v>
      </c>
      <c r="K120" s="158">
        <f ca="1">OFFSET(Org_dat!$D$5,$H120,0)</f>
        <v>31.011775573424881</v>
      </c>
      <c r="L120" s="34">
        <f ca="1">OFFSET(Org_dat!$E$5,$H120,0)</f>
        <v>2806500</v>
      </c>
      <c r="M120" s="34">
        <f ca="1">OFFSET(Org_dat!$F$5,$H120,0)</f>
        <v>14069.52</v>
      </c>
      <c r="N120" s="35">
        <f ca="1">OFFSET(Org_dat!$G$5,$H120,0)</f>
        <v>5.0131908070550511E-3</v>
      </c>
      <c r="O120" s="35">
        <f ca="1">OFFSET(Org_dat!$H$5,$H120,0)</f>
        <v>0.24720811950192934</v>
      </c>
      <c r="P120" s="34">
        <f ca="1">OFFSET(Org_dat!$I$5,$H120,0)</f>
        <v>355695.7</v>
      </c>
      <c r="Q120" s="35">
        <f ca="1">OFFSET(Org_dat!$J$5,$H120,0)</f>
        <v>0.12673996080527347</v>
      </c>
      <c r="R120" s="35">
        <f ca="1">OFFSET(Org_dat!$K$5,$H120,0)</f>
        <v>0.51268526721786878</v>
      </c>
      <c r="S120" s="34">
        <f ca="1">OFFSET(Org_dat!$L$5,$H120,0)</f>
        <v>277294.11</v>
      </c>
      <c r="T120" s="35">
        <f ca="1">OFFSET(Org_dat!$M$5,$H120,0)</f>
        <v>0.43807041696295229</v>
      </c>
    </row>
    <row r="121" spans="2:20" x14ac:dyDescent="0.2">
      <c r="B121" s="342">
        <f>Org_dat!K117+(C121/100000)</f>
        <v>0.45495575447542957</v>
      </c>
      <c r="C121" s="31">
        <f>Org_dat!B117</f>
        <v>112</v>
      </c>
      <c r="D121" s="32" t="str">
        <f>Org_dat!C117</f>
        <v>ÚMOb Plesná</v>
      </c>
      <c r="E121" s="33">
        <f ca="1">OFFSET(Org_dat!$C117,0,OrgSortCriteria)</f>
        <v>65.772721614999952</v>
      </c>
      <c r="F121" s="33">
        <f t="shared" ca="1" si="13"/>
        <v>65.772721615454913</v>
      </c>
      <c r="G121" s="33">
        <f t="shared" ca="1" si="14"/>
        <v>30.913588628320483</v>
      </c>
      <c r="H121" s="31">
        <f t="shared" ca="1" si="15"/>
        <v>14</v>
      </c>
      <c r="J121" s="32" t="str">
        <f ca="1">OFFSET(Org_dat!$C$5,$H121,0)</f>
        <v>Dům kultury Akord</v>
      </c>
      <c r="K121" s="158">
        <f ca="1">OFFSET(Org_dat!$D$5,$H121,0)</f>
        <v>30.913588627992631</v>
      </c>
      <c r="L121" s="34">
        <f ca="1">OFFSET(Org_dat!$E$5,$H121,0)</f>
        <v>10860000</v>
      </c>
      <c r="M121" s="34">
        <f ca="1">OFFSET(Org_dat!$F$5,$H121,0)</f>
        <v>2443682.0099999998</v>
      </c>
      <c r="N121" s="35">
        <f ca="1">OFFSET(Org_dat!$G$5,$H121,0)</f>
        <v>0.22501675966850826</v>
      </c>
      <c r="O121" s="35">
        <f ca="1">OFFSET(Org_dat!$H$5,$H121,0)</f>
        <v>0.15</v>
      </c>
      <c r="P121" s="34">
        <f ca="1">OFFSET(Org_dat!$I$5,$H121,0)</f>
        <v>533843.67999999993</v>
      </c>
      <c r="Q121" s="35">
        <f ca="1">OFFSET(Org_dat!$J$5,$H121,0)</f>
        <v>4.9156876611418043E-2</v>
      </c>
      <c r="R121" s="35">
        <f ca="1">OFFSET(Org_dat!$K$5,$H121,0)</f>
        <v>0.32771251074278696</v>
      </c>
      <c r="S121" s="34">
        <f ca="1">OFFSET(Org_dat!$L$5,$H121,0)</f>
        <v>274639.5</v>
      </c>
      <c r="T121" s="35">
        <f ca="1">OFFSET(Org_dat!$M$5,$H121,0)</f>
        <v>0.33969723402285257</v>
      </c>
    </row>
    <row r="122" spans="2:20" x14ac:dyDescent="0.2">
      <c r="B122" s="342">
        <f>Org_dat!K118+(C122/100000)</f>
        <v>0.24684399363387252</v>
      </c>
      <c r="C122" s="31">
        <f>Org_dat!B118</f>
        <v>113</v>
      </c>
      <c r="D122" s="32" t="str">
        <f>Org_dat!C118</f>
        <v>ÚMOb Polanka n/O</v>
      </c>
      <c r="E122" s="33">
        <f ca="1">OFFSET(Org_dat!$C118,0,OrgSortCriteria)</f>
        <v>52.739010098517852</v>
      </c>
      <c r="F122" s="33">
        <f t="shared" ca="1" si="13"/>
        <v>52.739010098764695</v>
      </c>
      <c r="G122" s="33">
        <f t="shared" ca="1" si="14"/>
        <v>30.522779311982216</v>
      </c>
      <c r="H122" s="31">
        <f t="shared" ca="1" si="15"/>
        <v>128</v>
      </c>
      <c r="J122" s="32" t="str">
        <f ca="1">OFFSET(Org_dat!$C$5,$H122,0)</f>
        <v>ZŠ a MŠ O-Hrabůvka, Mitušova 16</v>
      </c>
      <c r="K122" s="158">
        <f ca="1">OFFSET(Org_dat!$D$5,$H122,0)</f>
        <v>30.522779311554487</v>
      </c>
      <c r="L122" s="34">
        <f ca="1">OFFSET(Org_dat!$E$5,$H122,0)</f>
        <v>10031250</v>
      </c>
      <c r="M122" s="34">
        <f ca="1">OFFSET(Org_dat!$F$5,$H122,0)</f>
        <v>990251.98</v>
      </c>
      <c r="N122" s="35">
        <f ca="1">OFFSET(Org_dat!$G$5,$H122,0)</f>
        <v>9.8716708286604365E-2</v>
      </c>
      <c r="O122" s="35">
        <f ca="1">OFFSET(Org_dat!$H$5,$H122,0)</f>
        <v>0.20019999999999999</v>
      </c>
      <c r="P122" s="34">
        <f ca="1">OFFSET(Org_dat!$I$5,$H122,0)</f>
        <v>856419</v>
      </c>
      <c r="Q122" s="35">
        <f ca="1">OFFSET(Org_dat!$J$5,$H122,0)</f>
        <v>8.537510280373832E-2</v>
      </c>
      <c r="R122" s="35">
        <f ca="1">OFFSET(Org_dat!$K$5,$H122,0)</f>
        <v>0.42644906495373786</v>
      </c>
      <c r="S122" s="34">
        <f ca="1">OFFSET(Org_dat!$L$5,$H122,0)</f>
        <v>197717.29</v>
      </c>
      <c r="T122" s="35">
        <f ca="1">OFFSET(Org_dat!$M$5,$H122,0)</f>
        <v>0.18756330834602042</v>
      </c>
    </row>
    <row r="123" spans="2:20" x14ac:dyDescent="0.2">
      <c r="B123" s="342">
        <f>Org_dat!K119+(C123/100000)</f>
        <v>2.3142236330297101</v>
      </c>
      <c r="C123" s="31">
        <f>Org_dat!B119</f>
        <v>114</v>
      </c>
      <c r="D123" s="32" t="str">
        <f>Org_dat!C119</f>
        <v>ÚMOb Poruba</v>
      </c>
      <c r="E123" s="33">
        <f ca="1">OFFSET(Org_dat!$C119,0,OrgSortCriteria)</f>
        <v>76.14231742301088</v>
      </c>
      <c r="F123" s="33">
        <f t="shared" ca="1" si="13"/>
        <v>76.142317425325103</v>
      </c>
      <c r="G123" s="33">
        <f t="shared" ca="1" si="14"/>
        <v>30.405631744748757</v>
      </c>
      <c r="H123" s="31">
        <f t="shared" ca="1" si="15"/>
        <v>79</v>
      </c>
      <c r="J123" s="32" t="str">
        <f ca="1">OFFSET(Org_dat!$C$5,$H123,0)</f>
        <v>MŠ Staňkova</v>
      </c>
      <c r="K123" s="158">
        <f ca="1">OFFSET(Org_dat!$D$5,$H123,0)</f>
        <v>30.405631744520285</v>
      </c>
      <c r="L123" s="34">
        <f ca="1">OFFSET(Org_dat!$E$5,$H123,0)</f>
        <v>2259486</v>
      </c>
      <c r="M123" s="34">
        <f ca="1">OFFSET(Org_dat!$F$5,$H123,0)</f>
        <v>756694.59</v>
      </c>
      <c r="N123" s="35">
        <f ca="1">OFFSET(Org_dat!$G$5,$H123,0)</f>
        <v>0.33489678183445259</v>
      </c>
      <c r="O123" s="35">
        <f ca="1">OFFSET(Org_dat!$H$5,$H123,0)</f>
        <v>0.2737</v>
      </c>
      <c r="P123" s="34">
        <f ca="1">OFFSET(Org_dat!$I$5,$H123,0)</f>
        <v>140802.09</v>
      </c>
      <c r="Q123" s="35">
        <f ca="1">OFFSET(Org_dat!$J$5,$H123,0)</f>
        <v>6.2315982484511964E-2</v>
      </c>
      <c r="R123" s="35">
        <f ca="1">OFFSET(Org_dat!$K$5,$H123,0)</f>
        <v>0.22767987754662758</v>
      </c>
      <c r="S123" s="34">
        <f ca="1">OFFSET(Org_dat!$L$5,$H123,0)</f>
        <v>68845.55</v>
      </c>
      <c r="T123" s="35">
        <f ca="1">OFFSET(Org_dat!$M$5,$H123,0)</f>
        <v>0.32838695441551358</v>
      </c>
    </row>
    <row r="124" spans="2:20" x14ac:dyDescent="0.2">
      <c r="B124" s="342">
        <f>Org_dat!K120+(C124/100000)</f>
        <v>0.2573929240797791</v>
      </c>
      <c r="C124" s="31">
        <f>Org_dat!B120</f>
        <v>115</v>
      </c>
      <c r="D124" s="32" t="str">
        <f>Org_dat!C120</f>
        <v>ÚMOb Proskovice</v>
      </c>
      <c r="E124" s="33">
        <f ca="1">OFFSET(Org_dat!$C120,0,OrgSortCriteria)</f>
        <v>36.360535792476952</v>
      </c>
      <c r="F124" s="33">
        <f t="shared" ca="1" si="13"/>
        <v>36.360535792734346</v>
      </c>
      <c r="G124" s="33">
        <f t="shared" ca="1" si="14"/>
        <v>29.795377352332434</v>
      </c>
      <c r="H124" s="31">
        <f t="shared" ca="1" si="15"/>
        <v>147</v>
      </c>
      <c r="J124" s="32" t="str">
        <f ca="1">OFFSET(Org_dat!$C$5,$H124,0)</f>
        <v>ZŠ O-Michálkovice</v>
      </c>
      <c r="K124" s="158">
        <f ca="1">OFFSET(Org_dat!$D$5,$H124,0)</f>
        <v>29.795377351834375</v>
      </c>
      <c r="L124" s="34">
        <f ca="1">OFFSET(Org_dat!$E$5,$H124,0)</f>
        <v>2646375</v>
      </c>
      <c r="M124" s="34">
        <f ca="1">OFFSET(Org_dat!$F$5,$H124,0)</f>
        <v>0</v>
      </c>
      <c r="N124" s="35">
        <f ca="1">OFFSET(Org_dat!$G$5,$H124,0)</f>
        <v>0</v>
      </c>
      <c r="O124" s="35">
        <f ca="1">OFFSET(Org_dat!$H$5,$H124,0)</f>
        <v>0.26329999999999998</v>
      </c>
      <c r="P124" s="34">
        <f ca="1">OFFSET(Org_dat!$I$5,$H124,0)</f>
        <v>346018.95</v>
      </c>
      <c r="Q124" s="35">
        <f ca="1">OFFSET(Org_dat!$J$5,$H124,0)</f>
        <v>0.13075204761229986</v>
      </c>
      <c r="R124" s="35">
        <f ca="1">OFFSET(Org_dat!$K$5,$H124,0)</f>
        <v>0.49658962253057293</v>
      </c>
      <c r="S124" s="34">
        <f ca="1">OFFSET(Org_dat!$L$5,$H124,0)</f>
        <v>253214.55</v>
      </c>
      <c r="T124" s="35">
        <f ca="1">OFFSET(Org_dat!$M$5,$H124,0)</f>
        <v>0.42256407560658737</v>
      </c>
    </row>
    <row r="125" spans="2:20" x14ac:dyDescent="0.2">
      <c r="B125" s="342">
        <f>Org_dat!K121+(C125/100000)</f>
        <v>1.6524549969315796</v>
      </c>
      <c r="C125" s="31">
        <f>Org_dat!B121</f>
        <v>116</v>
      </c>
      <c r="D125" s="32" t="str">
        <f>Org_dat!C121</f>
        <v>ÚMOb Pustkovec</v>
      </c>
      <c r="E125" s="33">
        <f ca="1">OFFSET(Org_dat!$C121,0,OrgSortCriteria)</f>
        <v>60.133179034630295</v>
      </c>
      <c r="F125" s="33">
        <f t="shared" ca="1" si="13"/>
        <v>60.133179036282748</v>
      </c>
      <c r="G125" s="33">
        <f t="shared" ca="1" si="14"/>
        <v>29.786458344493273</v>
      </c>
      <c r="H125" s="31">
        <f t="shared" ca="1" si="15"/>
        <v>172</v>
      </c>
      <c r="J125" s="32" t="str">
        <f ca="1">OFFSET(Org_dat!$C$5,$H125,0)</f>
        <v>ZŠ Slezská Ostrava, Bohumínská</v>
      </c>
      <c r="K125" s="158">
        <f ca="1">OFFSET(Org_dat!$D$5,$H125,0)</f>
        <v>29.786458344357044</v>
      </c>
      <c r="L125" s="34">
        <f ca="1">OFFSET(Org_dat!$E$5,$H125,0)</f>
        <v>5332200</v>
      </c>
      <c r="M125" s="34">
        <f ca="1">OFFSET(Org_dat!$F$5,$H125,0)</f>
        <v>2315865.0100000002</v>
      </c>
      <c r="N125" s="35">
        <f ca="1">OFFSET(Org_dat!$G$5,$H125,0)</f>
        <v>0.43431698173361843</v>
      </c>
      <c r="O125" s="35">
        <f ca="1">OFFSET(Org_dat!$H$5,$H125,0)</f>
        <v>0.2571</v>
      </c>
      <c r="P125" s="34">
        <f ca="1">OFFSET(Org_dat!$I$5,$H125,0)</f>
        <v>184401.13</v>
      </c>
      <c r="Q125" s="35">
        <f ca="1">OFFSET(Org_dat!$J$5,$H125,0)</f>
        <v>3.4582560669142191E-2</v>
      </c>
      <c r="R125" s="35">
        <f ca="1">OFFSET(Org_dat!$K$5,$H125,0)</f>
        <v>0.13451015429460209</v>
      </c>
      <c r="S125" s="34">
        <f ca="1">OFFSET(Org_dat!$L$5,$H125,0)</f>
        <v>127867.93</v>
      </c>
      <c r="T125" s="35">
        <f ca="1">OFFSET(Org_dat!$M$5,$H125,0)</f>
        <v>0.40947998498474358</v>
      </c>
    </row>
    <row r="126" spans="2:20" x14ac:dyDescent="0.2">
      <c r="B126" s="342">
        <f>Org_dat!K122+(C126/100000)</f>
        <v>0.25249879050008295</v>
      </c>
      <c r="C126" s="31">
        <f>Org_dat!B122</f>
        <v>117</v>
      </c>
      <c r="D126" s="32" t="str">
        <f>Org_dat!C122</f>
        <v>ÚMOb Radvanice a Bartovice</v>
      </c>
      <c r="E126" s="33">
        <f ca="1">OFFSET(Org_dat!$C122,0,OrgSortCriteria)</f>
        <v>15.086912575258046</v>
      </c>
      <c r="F126" s="33">
        <f t="shared" ca="1" si="13"/>
        <v>15.086912575510544</v>
      </c>
      <c r="G126" s="33">
        <f t="shared" ca="1" si="14"/>
        <v>29.451125463172897</v>
      </c>
      <c r="H126" s="31">
        <f t="shared" ca="1" si="15"/>
        <v>42</v>
      </c>
      <c r="J126" s="32" t="str">
        <f ca="1">OFFSET(Org_dat!$C$5,$H126,0)</f>
        <v>MŠ Bohumínská</v>
      </c>
      <c r="K126" s="158">
        <f ca="1">OFFSET(Org_dat!$D$5,$H126,0)</f>
        <v>29.451125462682352</v>
      </c>
      <c r="L126" s="34">
        <f ca="1">OFFSET(Org_dat!$E$5,$H126,0)</f>
        <v>1439625</v>
      </c>
      <c r="M126" s="34">
        <f ca="1">OFFSET(Org_dat!$F$5,$H126,0)</f>
        <v>1254.77</v>
      </c>
      <c r="N126" s="35">
        <f ca="1">OFFSET(Org_dat!$G$5,$H126,0)</f>
        <v>8.7159503342884429E-4</v>
      </c>
      <c r="O126" s="35">
        <f ca="1">OFFSET(Org_dat!$H$5,$H126,0)</f>
        <v>0.1037</v>
      </c>
      <c r="P126" s="34">
        <f ca="1">OFFSET(Org_dat!$I$5,$H126,0)</f>
        <v>73170.44</v>
      </c>
      <c r="Q126" s="35">
        <f ca="1">OFFSET(Org_dat!$J$5,$H126,0)</f>
        <v>5.0826041503863856E-2</v>
      </c>
      <c r="R126" s="35">
        <f ca="1">OFFSET(Org_dat!$K$5,$H126,0)</f>
        <v>0.49012576185018186</v>
      </c>
      <c r="S126" s="34">
        <f ca="1">OFFSET(Org_dat!$L$5,$H126,0)</f>
        <v>58006.96</v>
      </c>
      <c r="T126" s="35">
        <f ca="1">OFFSET(Org_dat!$M$5,$H126,0)</f>
        <v>0.44220239157049918</v>
      </c>
    </row>
    <row r="127" spans="2:20" x14ac:dyDescent="0.2">
      <c r="B127" s="342">
        <f>Org_dat!K123+(C127/100000)</f>
        <v>0.500120061074394</v>
      </c>
      <c r="C127" s="31">
        <f>Org_dat!B123</f>
        <v>118</v>
      </c>
      <c r="D127" s="32" t="str">
        <f>Org_dat!C123</f>
        <v>ÚMOb Slezská Ostrava</v>
      </c>
      <c r="E127" s="33">
        <f ca="1">OFFSET(Org_dat!$C123,0,OrgSortCriteria)</f>
        <v>65.162860020452982</v>
      </c>
      <c r="F127" s="33">
        <f t="shared" ca="1" si="13"/>
        <v>65.162860020953104</v>
      </c>
      <c r="G127" s="33">
        <f t="shared" ca="1" si="14"/>
        <v>29.170213567435091</v>
      </c>
      <c r="H127" s="31">
        <f t="shared" ca="1" si="15"/>
        <v>157</v>
      </c>
      <c r="J127" s="32" t="str">
        <f ca="1">OFFSET(Org_dat!$C$5,$H127,0)</f>
        <v>ZŠ O-Poruba, J.Valčíka</v>
      </c>
      <c r="K127" s="158">
        <f ca="1">OFFSET(Org_dat!$D$5,$H127,0)</f>
        <v>29.170213567013615</v>
      </c>
      <c r="L127" s="34">
        <f ca="1">OFFSET(Org_dat!$E$5,$H127,0)</f>
        <v>3307800</v>
      </c>
      <c r="M127" s="34">
        <f ca="1">OFFSET(Org_dat!$F$5,$H127,0)</f>
        <v>263027.63</v>
      </c>
      <c r="N127" s="35">
        <f ca="1">OFFSET(Org_dat!$G$5,$H127,0)</f>
        <v>7.951739222443921E-2</v>
      </c>
      <c r="O127" s="35">
        <f ca="1">OFFSET(Org_dat!$H$5,$H127,0)</f>
        <v>0.23480000000000001</v>
      </c>
      <c r="P127" s="34">
        <f ca="1">OFFSET(Org_dat!$I$5,$H127,0)</f>
        <v>326128.79000000004</v>
      </c>
      <c r="Q127" s="35">
        <f ca="1">OFFSET(Org_dat!$J$5,$H127,0)</f>
        <v>9.8593866013664683E-2</v>
      </c>
      <c r="R127" s="35">
        <f ca="1">OFFSET(Org_dat!$K$5,$H127,0)</f>
        <v>0.41990573259652758</v>
      </c>
      <c r="S127" s="34">
        <f ca="1">OFFSET(Org_dat!$L$5,$H127,0)</f>
        <v>94003.739999999991</v>
      </c>
      <c r="T127" s="35">
        <f ca="1">OFFSET(Org_dat!$M$5,$H127,0)</f>
        <v>0.22374782547783192</v>
      </c>
    </row>
    <row r="128" spans="2:20" x14ac:dyDescent="0.2">
      <c r="B128" s="342">
        <f>Org_dat!K124+(C128/100000)</f>
        <v>0.12500446753223438</v>
      </c>
      <c r="C128" s="31">
        <f>Org_dat!B124</f>
        <v>119</v>
      </c>
      <c r="D128" s="32" t="str">
        <f>Org_dat!C124</f>
        <v>ÚMOb Stará Bělá</v>
      </c>
      <c r="E128" s="33">
        <f ca="1">OFFSET(Org_dat!$C124,0,OrgSortCriteria)</f>
        <v>10.855997860957036</v>
      </c>
      <c r="F128" s="33">
        <f t="shared" ca="1" si="13"/>
        <v>10.85599786108204</v>
      </c>
      <c r="G128" s="33">
        <f t="shared" ca="1" si="14"/>
        <v>29.160551521986413</v>
      </c>
      <c r="H128" s="31">
        <f t="shared" ca="1" si="15"/>
        <v>99</v>
      </c>
      <c r="J128" s="32" t="str">
        <f ca="1">OFFSET(Org_dat!$C$5,$H128,0)</f>
        <v>Technický dvůr O-Svinov</v>
      </c>
      <c r="K128" s="158">
        <f ca="1">OFFSET(Org_dat!$D$5,$H128,0)</f>
        <v>29.160551521645615</v>
      </c>
      <c r="L128" s="34">
        <f ca="1">OFFSET(Org_dat!$E$5,$H128,0)</f>
        <v>3033045</v>
      </c>
      <c r="M128" s="34">
        <f ca="1">OFFSET(Org_dat!$F$5,$H128,0)</f>
        <v>532122.78</v>
      </c>
      <c r="N128" s="35">
        <f ca="1">OFFSET(Org_dat!$G$5,$H128,0)</f>
        <v>0.17544176891539692</v>
      </c>
      <c r="O128" s="35">
        <f ca="1">OFFSET(Org_dat!$H$5,$H128,0)</f>
        <v>0.11452894727439659</v>
      </c>
      <c r="P128" s="34">
        <f ca="1">OFFSET(Org_dat!$I$5,$H128,0)</f>
        <v>118039.5</v>
      </c>
      <c r="Q128" s="35">
        <f ca="1">OFFSET(Org_dat!$J$5,$H128,0)</f>
        <v>3.8917820210382634E-2</v>
      </c>
      <c r="R128" s="35">
        <f ca="1">OFFSET(Org_dat!$K$5,$H128,0)</f>
        <v>0.33980771793126285</v>
      </c>
      <c r="S128" s="34">
        <f ca="1">OFFSET(Org_dat!$L$5,$H128,0)</f>
        <v>98091.81</v>
      </c>
      <c r="T128" s="35">
        <f ca="1">OFFSET(Org_dat!$M$5,$H128,0)</f>
        <v>0.4538528452911334</v>
      </c>
    </row>
    <row r="129" spans="2:20" x14ac:dyDescent="0.2">
      <c r="B129" s="342">
        <f>Org_dat!K125+(C129/100000)</f>
        <v>0.4883216002459822</v>
      </c>
      <c r="C129" s="31">
        <f>Org_dat!B125</f>
        <v>120</v>
      </c>
      <c r="D129" s="32" t="str">
        <f>Org_dat!C125</f>
        <v>ÚMOb Svinov</v>
      </c>
      <c r="E129" s="33">
        <f ca="1">OFFSET(Org_dat!$C125,0,OrgSortCriteria)</f>
        <v>63.695279650958192</v>
      </c>
      <c r="F129" s="33">
        <f t="shared" ca="1" si="13"/>
        <v>63.695279651446512</v>
      </c>
      <c r="G129" s="33">
        <f t="shared" ca="1" si="14"/>
        <v>28.493683908343343</v>
      </c>
      <c r="H129" s="31">
        <f t="shared" ca="1" si="15"/>
        <v>59</v>
      </c>
      <c r="J129" s="32" t="str">
        <f ca="1">OFFSET(Org_dat!$C$5,$H129,0)</f>
        <v>MŠ O-Hrabůvka, Adamusova</v>
      </c>
      <c r="K129" s="158">
        <f ca="1">OFFSET(Org_dat!$D$5,$H129,0)</f>
        <v>28.493683908187819</v>
      </c>
      <c r="L129" s="34">
        <f ca="1">OFFSET(Org_dat!$E$5,$H129,0)</f>
        <v>2873511</v>
      </c>
      <c r="M129" s="34">
        <f ca="1">OFFSET(Org_dat!$F$5,$H129,0)</f>
        <v>1103288.1299999999</v>
      </c>
      <c r="N129" s="35">
        <f ca="1">OFFSET(Org_dat!$G$5,$H129,0)</f>
        <v>0.38395124640204958</v>
      </c>
      <c r="O129" s="35">
        <f ca="1">OFFSET(Org_dat!$H$5,$H129,0)</f>
        <v>0.26829999999999998</v>
      </c>
      <c r="P129" s="34">
        <f ca="1">OFFSET(Org_dat!$I$5,$H129,0)</f>
        <v>119449.43</v>
      </c>
      <c r="Q129" s="35">
        <f ca="1">OFFSET(Org_dat!$J$5,$H129,0)</f>
        <v>4.1569157034721631E-2</v>
      </c>
      <c r="R129" s="35">
        <f ca="1">OFFSET(Org_dat!$K$5,$H129,0)</f>
        <v>0.1549353598014224</v>
      </c>
      <c r="S129" s="34">
        <f ca="1">OFFSET(Org_dat!$L$5,$H129,0)</f>
        <v>76737.5</v>
      </c>
      <c r="T129" s="35">
        <f ca="1">OFFSET(Org_dat!$M$5,$H129,0)</f>
        <v>0.39114481275587526</v>
      </c>
    </row>
    <row r="130" spans="2:20" x14ac:dyDescent="0.2">
      <c r="B130" s="342">
        <f>Org_dat!K126+(C130/100000)</f>
        <v>0.21671088891970036</v>
      </c>
      <c r="C130" s="31">
        <f>Org_dat!B126</f>
        <v>121</v>
      </c>
      <c r="D130" s="32" t="str">
        <f>Org_dat!C126</f>
        <v>ÚMOb Třebovice</v>
      </c>
      <c r="E130" s="33">
        <f ca="1">OFFSET(Org_dat!$C126,0,OrgSortCriteria)</f>
        <v>43.860496141785795</v>
      </c>
      <c r="F130" s="33">
        <f t="shared" ca="1" si="13"/>
        <v>43.860496142002503</v>
      </c>
      <c r="G130" s="33">
        <f t="shared" ca="1" si="14"/>
        <v>28.28851747955796</v>
      </c>
      <c r="H130" s="31">
        <f t="shared" ca="1" si="15"/>
        <v>69</v>
      </c>
      <c r="J130" s="32" t="str">
        <f ca="1">OFFSET(Org_dat!$C$5,$H130,0)</f>
        <v>MŠ O-Poruba, Sokolovská</v>
      </c>
      <c r="K130" s="158">
        <f ca="1">OFFSET(Org_dat!$D$5,$H130,0)</f>
        <v>28.288517479253578</v>
      </c>
      <c r="L130" s="34">
        <f ca="1">OFFSET(Org_dat!$E$5,$H130,0)</f>
        <v>2509500</v>
      </c>
      <c r="M130" s="34">
        <f ca="1">OFFSET(Org_dat!$F$5,$H130,0)</f>
        <v>505262.63</v>
      </c>
      <c r="N130" s="35">
        <f ca="1">OFFSET(Org_dat!$G$5,$H130,0)</f>
        <v>0.20133996015142458</v>
      </c>
      <c r="O130" s="35">
        <f ca="1">OFFSET(Org_dat!$H$5,$H130,0)</f>
        <v>0.23119999999999999</v>
      </c>
      <c r="P130" s="34">
        <f ca="1">OFFSET(Org_dat!$I$5,$H130,0)</f>
        <v>176201</v>
      </c>
      <c r="Q130" s="35">
        <f ca="1">OFFSET(Org_dat!$J$5,$H130,0)</f>
        <v>7.0213588364215984E-2</v>
      </c>
      <c r="R130" s="35">
        <f ca="1">OFFSET(Org_dat!$K$5,$H130,0)</f>
        <v>0.3036919911947058</v>
      </c>
      <c r="S130" s="34">
        <f ca="1">OFFSET(Org_dat!$L$5,$H130,0)</f>
        <v>54421.8</v>
      </c>
      <c r="T130" s="35">
        <f ca="1">OFFSET(Org_dat!$M$5,$H130,0)</f>
        <v>0.23597753561226387</v>
      </c>
    </row>
    <row r="131" spans="2:20" x14ac:dyDescent="0.2">
      <c r="B131" s="342">
        <f>Org_dat!K127+(C131/100000)</f>
        <v>0.64544420276327863</v>
      </c>
      <c r="C131" s="31">
        <f>Org_dat!B127</f>
        <v>122</v>
      </c>
      <c r="D131" s="32" t="str">
        <f>Org_dat!C127</f>
        <v>ÚMOb Vítkovice</v>
      </c>
      <c r="E131" s="33">
        <f ca="1">OFFSET(Org_dat!$C127,0,OrgSortCriteria)</f>
        <v>69.759282115671397</v>
      </c>
      <c r="F131" s="33">
        <f t="shared" ca="1" si="13"/>
        <v>69.75928211631684</v>
      </c>
      <c r="G131" s="33">
        <f t="shared" ca="1" si="14"/>
        <v>25.161744079556016</v>
      </c>
      <c r="H131" s="31">
        <f t="shared" ca="1" si="15"/>
        <v>105</v>
      </c>
      <c r="J131" s="32" t="str">
        <f ca="1">OFFSET(Org_dat!$C$5,$H131,0)</f>
        <v>ÚMOb Martinov</v>
      </c>
      <c r="K131" s="158">
        <f ca="1">OFFSET(Org_dat!$D$5,$H131,0)</f>
        <v>25.161744079145432</v>
      </c>
      <c r="L131" s="34">
        <f ca="1">OFFSET(Org_dat!$E$5,$H131,0)</f>
        <v>2117250</v>
      </c>
      <c r="M131" s="34">
        <f ca="1">OFFSET(Org_dat!$F$5,$H131,0)</f>
        <v>24975.68</v>
      </c>
      <c r="N131" s="35">
        <f ca="1">OFFSET(Org_dat!$G$5,$H131,0)</f>
        <v>1.1796282914157515E-2</v>
      </c>
      <c r="O131" s="35">
        <f ca="1">OFFSET(Org_dat!$H$5,$H131,0)</f>
        <v>0.19170750206831685</v>
      </c>
      <c r="P131" s="34">
        <f ca="1">OFFSET(Org_dat!$I$5,$H131,0)</f>
        <v>166226.12</v>
      </c>
      <c r="Q131" s="35">
        <f ca="1">OFFSET(Org_dat!$J$5,$H131,0)</f>
        <v>7.8510388475616949E-2</v>
      </c>
      <c r="R131" s="35">
        <f ca="1">OFFSET(Org_dat!$K$5,$H131,0)</f>
        <v>0.4095321655572926</v>
      </c>
      <c r="S131" s="34">
        <f ca="1">OFFSET(Org_dat!$L$5,$H131,0)</f>
        <v>120006.54</v>
      </c>
      <c r="T131" s="35">
        <f ca="1">OFFSET(Org_dat!$M$5,$H131,0)</f>
        <v>0.41926221836459893</v>
      </c>
    </row>
    <row r="132" spans="2:20" x14ac:dyDescent="0.2">
      <c r="B132" s="342">
        <f>Org_dat!K128+(C132/100000)</f>
        <v>5.3545768758826669E-2</v>
      </c>
      <c r="C132" s="31">
        <f>Org_dat!B128</f>
        <v>123</v>
      </c>
      <c r="D132" s="32" t="str">
        <f>Org_dat!C128</f>
        <v>Waldorfská ZŠ a MŠ MO a Přívoz</v>
      </c>
      <c r="E132" s="33">
        <f ca="1">OFFSET(Org_dat!$C128,0,OrgSortCriteria)</f>
        <v>10.97357905987853</v>
      </c>
      <c r="F132" s="33">
        <f t="shared" ca="1" si="13"/>
        <v>10.973579059932076</v>
      </c>
      <c r="G132" s="33">
        <f t="shared" ca="1" si="14"/>
        <v>25.114844501221857</v>
      </c>
      <c r="H132" s="31">
        <f t="shared" ca="1" si="15"/>
        <v>72</v>
      </c>
      <c r="J132" s="32" t="str">
        <f ca="1">OFFSET(Org_dat!$C$5,$H132,0)</f>
        <v>MŠ O-Radvanice</v>
      </c>
      <c r="K132" s="158">
        <f ca="1">OFFSET(Org_dat!$D$5,$H132,0)</f>
        <v>25.114844500825999</v>
      </c>
      <c r="L132" s="34">
        <f ca="1">OFFSET(Org_dat!$E$5,$H132,0)</f>
        <v>1414275</v>
      </c>
      <c r="M132" s="34">
        <f ca="1">OFFSET(Org_dat!$F$5,$H132,0)</f>
        <v>39786.29</v>
      </c>
      <c r="N132" s="35">
        <f ca="1">OFFSET(Org_dat!$G$5,$H132,0)</f>
        <v>2.8131933322727194E-2</v>
      </c>
      <c r="O132" s="35">
        <f ca="1">OFFSET(Org_dat!$H$5,$H132,0)</f>
        <v>0.3372</v>
      </c>
      <c r="P132" s="34">
        <f ca="1">OFFSET(Org_dat!$I$5,$H132,0)</f>
        <v>188438.5</v>
      </c>
      <c r="Q132" s="35">
        <f ca="1">OFFSET(Org_dat!$J$5,$H132,0)</f>
        <v>0.13324035283095578</v>
      </c>
      <c r="R132" s="35">
        <f ca="1">OFFSET(Org_dat!$K$5,$H132,0)</f>
        <v>0.39513746391149401</v>
      </c>
      <c r="S132" s="34">
        <f ca="1">OFFSET(Org_dat!$L$5,$H132,0)</f>
        <v>124606.38</v>
      </c>
      <c r="T132" s="35">
        <f ca="1">OFFSET(Org_dat!$M$5,$H132,0)</f>
        <v>0.39804637597011649</v>
      </c>
    </row>
    <row r="133" spans="2:20" x14ac:dyDescent="0.2">
      <c r="B133" s="342">
        <f>Org_dat!K129+(C133/100000)</f>
        <v>0.20009979273568457</v>
      </c>
      <c r="C133" s="31">
        <f>Org_dat!B129</f>
        <v>124</v>
      </c>
      <c r="D133" s="32" t="str">
        <f>Org_dat!C129</f>
        <v>ZŠ a MŠ O-Dubina, V.Košaře</v>
      </c>
      <c r="E133" s="33">
        <f ca="1">OFFSET(Org_dat!$C129,0,OrgSortCriteria)</f>
        <v>33.4228676946653</v>
      </c>
      <c r="F133" s="33">
        <f t="shared" ca="1" si="13"/>
        <v>33.422867694865403</v>
      </c>
      <c r="G133" s="33">
        <f t="shared" ca="1" si="14"/>
        <v>24.87188331083556</v>
      </c>
      <c r="H133" s="31">
        <f t="shared" ca="1" si="15"/>
        <v>106</v>
      </c>
      <c r="J133" s="32" t="str">
        <f ca="1">OFFSET(Org_dat!$C$5,$H133,0)</f>
        <v>ÚMOb Michálkovice</v>
      </c>
      <c r="K133" s="158">
        <f ca="1">OFFSET(Org_dat!$D$5,$H133,0)</f>
        <v>24.871883310430331</v>
      </c>
      <c r="L133" s="34">
        <f ca="1">OFFSET(Org_dat!$E$5,$H133,0)</f>
        <v>4279500</v>
      </c>
      <c r="M133" s="34">
        <f ca="1">OFFSET(Org_dat!$F$5,$H133,0)</f>
        <v>53204.88</v>
      </c>
      <c r="N133" s="35">
        <f ca="1">OFFSET(Org_dat!$G$5,$H133,0)</f>
        <v>1.2432499123729407E-2</v>
      </c>
      <c r="O133" s="35">
        <f ca="1">OFFSET(Org_dat!$H$5,$H133,0)</f>
        <v>0.25526070732199285</v>
      </c>
      <c r="P133" s="34">
        <f ca="1">OFFSET(Org_dat!$I$5,$H133,0)</f>
        <v>441511.6</v>
      </c>
      <c r="Q133" s="35">
        <f ca="1">OFFSET(Org_dat!$J$5,$H133,0)</f>
        <v>0.10316896833742259</v>
      </c>
      <c r="R133" s="35">
        <f ca="1">OFFSET(Org_dat!$K$5,$H133,0)</f>
        <v>0.40417097257073104</v>
      </c>
      <c r="S133" s="34">
        <f ca="1">OFFSET(Org_dat!$L$5,$H133,0)</f>
        <v>354107.37</v>
      </c>
      <c r="T133" s="35">
        <f ca="1">OFFSET(Org_dat!$M$5,$H133,0)</f>
        <v>0.44507155227834749</v>
      </c>
    </row>
    <row r="134" spans="2:20" x14ac:dyDescent="0.2">
      <c r="B134" s="342">
        <f>Org_dat!K130+(C134/100000)</f>
        <v>9.6303072104101148E-2</v>
      </c>
      <c r="C134" s="31">
        <f>Org_dat!B130</f>
        <v>125</v>
      </c>
      <c r="D134" s="32" t="str">
        <f>Org_dat!C130</f>
        <v>ZŠ a MŠ O-Hošťálkovice</v>
      </c>
      <c r="E134" s="33">
        <f ca="1">OFFSET(Org_dat!$C130,0,OrgSortCriteria)</f>
        <v>5.7031843262460686</v>
      </c>
      <c r="F134" s="33">
        <f t="shared" ca="1" si="13"/>
        <v>5.703184326342372</v>
      </c>
      <c r="G134" s="33">
        <f t="shared" ca="1" si="14"/>
        <v>24.82157173722516</v>
      </c>
      <c r="H134" s="31">
        <f t="shared" ca="1" si="15"/>
        <v>58</v>
      </c>
      <c r="J134" s="32" t="str">
        <f ca="1">OFFSET(Org_dat!$C$5,$H134,0)</f>
        <v>MŠ O-Dubina, F.Formana</v>
      </c>
      <c r="K134" s="158">
        <f ca="1">OFFSET(Org_dat!$D$5,$H134,0)</f>
        <v>24.821571736869508</v>
      </c>
      <c r="L134" s="34">
        <f ca="1">OFFSET(Org_dat!$E$5,$H134,0)</f>
        <v>1738650</v>
      </c>
      <c r="M134" s="34">
        <f ca="1">OFFSET(Org_dat!$F$5,$H134,0)</f>
        <v>122307.91</v>
      </c>
      <c r="N134" s="35">
        <f ca="1">OFFSET(Org_dat!$G$5,$H134,0)</f>
        <v>7.0346481465504845E-2</v>
      </c>
      <c r="O134" s="35">
        <f ca="1">OFFSET(Org_dat!$H$5,$H134,0)</f>
        <v>0.2596</v>
      </c>
      <c r="P134" s="34">
        <f ca="1">OFFSET(Org_dat!$I$5,$H134,0)</f>
        <v>160262.46</v>
      </c>
      <c r="Q134" s="35">
        <f ca="1">OFFSET(Org_dat!$J$5,$H134,0)</f>
        <v>9.2176378224484504E-2</v>
      </c>
      <c r="R134" s="35">
        <f ca="1">OFFSET(Org_dat!$K$5,$H134,0)</f>
        <v>0.35507079439323774</v>
      </c>
      <c r="S134" s="34">
        <f ca="1">OFFSET(Org_dat!$L$5,$H134,0)</f>
        <v>51739.350000000006</v>
      </c>
      <c r="T134" s="35">
        <f ca="1">OFFSET(Org_dat!$M$5,$H134,0)</f>
        <v>0.2440514540890005</v>
      </c>
    </row>
    <row r="135" spans="2:20" x14ac:dyDescent="0.2">
      <c r="B135" s="342">
        <f>Org_dat!K131+(C135/100000)</f>
        <v>0.17372548094593623</v>
      </c>
      <c r="C135" s="31">
        <f>Org_dat!B131</f>
        <v>126</v>
      </c>
      <c r="D135" s="32" t="str">
        <f>Org_dat!C131</f>
        <v>ZŠ a MŠ O-Hrabůvka, Klegova 29</v>
      </c>
      <c r="E135" s="33">
        <f ca="1">OFFSET(Org_dat!$C131,0,OrgSortCriteria)</f>
        <v>11.981940689998481</v>
      </c>
      <c r="F135" s="33">
        <f t="shared" ca="1" si="13"/>
        <v>11.981940690172207</v>
      </c>
      <c r="G135" s="33">
        <f t="shared" ca="1" si="14"/>
        <v>24.528685317770041</v>
      </c>
      <c r="H135" s="31">
        <f t="shared" ca="1" si="15"/>
        <v>48</v>
      </c>
      <c r="J135" s="32" t="str">
        <f ca="1">OFFSET(Org_dat!$C$5,$H135,0)</f>
        <v>MŠ Heřmanice</v>
      </c>
      <c r="K135" s="158">
        <f ca="1">OFFSET(Org_dat!$D$5,$H135,0)</f>
        <v>24.52868531736075</v>
      </c>
      <c r="L135" s="34">
        <f ca="1">OFFSET(Org_dat!$E$5,$H135,0)</f>
        <v>638550</v>
      </c>
      <c r="M135" s="34">
        <f ca="1">OFFSET(Org_dat!$F$5,$H135,0)</f>
        <v>0</v>
      </c>
      <c r="N135" s="35">
        <f ca="1">OFFSET(Org_dat!$G$5,$H135,0)</f>
        <v>0</v>
      </c>
      <c r="O135" s="35">
        <f ca="1">OFFSET(Org_dat!$H$5,$H135,0)</f>
        <v>8.5099999999999995E-2</v>
      </c>
      <c r="P135" s="34">
        <f ca="1">OFFSET(Org_dat!$I$5,$H135,0)</f>
        <v>22215.06</v>
      </c>
      <c r="Q135" s="35">
        <f ca="1">OFFSET(Org_dat!$J$5,$H135,0)</f>
        <v>3.4789852008456662E-2</v>
      </c>
      <c r="R135" s="35">
        <f ca="1">OFFSET(Org_dat!$K$5,$H135,0)</f>
        <v>0.4088114219560125</v>
      </c>
      <c r="S135" s="34">
        <f ca="1">OFFSET(Org_dat!$L$5,$H135,0)</f>
        <v>22257</v>
      </c>
      <c r="T135" s="35">
        <f ca="1">OFFSET(Org_dat!$M$5,$H135,0)</f>
        <v>0.50047153201358341</v>
      </c>
    </row>
    <row r="136" spans="2:20" x14ac:dyDescent="0.2">
      <c r="B136" s="342">
        <f>Org_dat!K132+(C136/100000)</f>
        <v>1.1551391309793402</v>
      </c>
      <c r="C136" s="31">
        <f>Org_dat!B132</f>
        <v>127</v>
      </c>
      <c r="D136" s="32" t="str">
        <f>Org_dat!C132</f>
        <v>ZŠ a MŠ O-Hrabůvka, Krestova</v>
      </c>
      <c r="E136" s="33">
        <f ca="1">OFFSET(Org_dat!$C132,0,OrgSortCriteria)</f>
        <v>82.665693731795045</v>
      </c>
      <c r="F136" s="33">
        <f t="shared" ca="1" si="13"/>
        <v>82.665693732950189</v>
      </c>
      <c r="G136" s="33">
        <f t="shared" ca="1" si="14"/>
        <v>23.00636091448343</v>
      </c>
      <c r="H136" s="31">
        <f t="shared" ca="1" si="15"/>
        <v>63</v>
      </c>
      <c r="J136" s="32" t="str">
        <f ca="1">OFFSET(Org_dat!$C$5,$H136,0)</f>
        <v>MŠ O-Plesná</v>
      </c>
      <c r="K136" s="158">
        <f ca="1">OFFSET(Org_dat!$D$5,$H136,0)</f>
        <v>23.006360914103841</v>
      </c>
      <c r="L136" s="34">
        <f ca="1">OFFSET(Org_dat!$E$5,$H136,0)</f>
        <v>491250</v>
      </c>
      <c r="M136" s="34">
        <f ca="1">OFFSET(Org_dat!$F$5,$H136,0)</f>
        <v>2641.18</v>
      </c>
      <c r="N136" s="35">
        <f ca="1">OFFSET(Org_dat!$G$5,$H136,0)</f>
        <v>5.3764478371501265E-3</v>
      </c>
      <c r="O136" s="35">
        <f ca="1">OFFSET(Org_dat!$H$5,$H136,0)</f>
        <v>0.2747</v>
      </c>
      <c r="P136" s="34">
        <f ca="1">OFFSET(Org_dat!$I$5,$H136,0)</f>
        <v>51139.14</v>
      </c>
      <c r="Q136" s="35">
        <f ca="1">OFFSET(Org_dat!$J$5,$H136,0)</f>
        <v>0.10410003053435114</v>
      </c>
      <c r="R136" s="35">
        <f ca="1">OFFSET(Org_dat!$K$5,$H136,0)</f>
        <v>0.37895897537077228</v>
      </c>
      <c r="S136" s="34">
        <f ca="1">OFFSET(Org_dat!$L$5,$H136,0)</f>
        <v>41282.230000000003</v>
      </c>
      <c r="T136" s="35">
        <f ca="1">OFFSET(Org_dat!$M$5,$H136,0)</f>
        <v>0.4466740754870871</v>
      </c>
    </row>
    <row r="137" spans="2:20" x14ac:dyDescent="0.2">
      <c r="B137" s="342">
        <f>Org_dat!K133+(C137/100000)</f>
        <v>0.42772906495373786</v>
      </c>
      <c r="C137" s="31">
        <f>Org_dat!B133</f>
        <v>128</v>
      </c>
      <c r="D137" s="32" t="str">
        <f>Org_dat!C133</f>
        <v>ZŠ a MŠ O-Hrabůvka, Mitušova 16</v>
      </c>
      <c r="E137" s="33">
        <f ca="1">OFFSET(Org_dat!$C133,0,OrgSortCriteria)</f>
        <v>30.522779311554487</v>
      </c>
      <c r="F137" s="33">
        <f t="shared" ca="1" si="13"/>
        <v>30.522779311982216</v>
      </c>
      <c r="G137" s="33">
        <f t="shared" ca="1" si="14"/>
        <v>21.627577924286822</v>
      </c>
      <c r="H137" s="31">
        <f t="shared" ca="1" si="15"/>
        <v>149</v>
      </c>
      <c r="J137" s="32" t="str">
        <f ca="1">OFFSET(Org_dat!$C$5,$H137,0)</f>
        <v>ZŠ O-Nová Bělá</v>
      </c>
      <c r="K137" s="158">
        <f ca="1">OFFSET(Org_dat!$D$5,$H137,0)</f>
        <v>21.627577924018667</v>
      </c>
      <c r="L137" s="34">
        <f ca="1">OFFSET(Org_dat!$E$5,$H137,0)</f>
        <v>1334434.26</v>
      </c>
      <c r="M137" s="34">
        <f ca="1">OFFSET(Org_dat!$F$5,$H137,0)</f>
        <v>150195.52000000002</v>
      </c>
      <c r="N137" s="35">
        <f ca="1">OFFSET(Org_dat!$G$5,$H137,0)</f>
        <v>0.11255370496857599</v>
      </c>
      <c r="O137" s="35">
        <f ca="1">OFFSET(Org_dat!$H$5,$H137,0)</f>
        <v>0.33989999999999998</v>
      </c>
      <c r="P137" s="34">
        <f ca="1">OFFSET(Org_dat!$I$5,$H137,0)</f>
        <v>120952.31</v>
      </c>
      <c r="Q137" s="35">
        <f ca="1">OFFSET(Org_dat!$J$5,$H137,0)</f>
        <v>9.0639392007216601E-2</v>
      </c>
      <c r="R137" s="35">
        <f ca="1">OFFSET(Org_dat!$K$5,$H137,0)</f>
        <v>0.26666487792649779</v>
      </c>
      <c r="S137" s="34">
        <f ca="1">OFFSET(Org_dat!$L$5,$H137,0)</f>
        <v>82258.849999999991</v>
      </c>
      <c r="T137" s="35">
        <f ca="1">OFFSET(Org_dat!$M$5,$H137,0)</f>
        <v>0.40479494334858379</v>
      </c>
    </row>
    <row r="138" spans="2:20" x14ac:dyDescent="0.2">
      <c r="B138" s="342">
        <f>Org_dat!K134+(C138/100000)</f>
        <v>0.9165924310127419</v>
      </c>
      <c r="C138" s="31">
        <f>Org_dat!B134</f>
        <v>129</v>
      </c>
      <c r="D138" s="32" t="str">
        <f>Org_dat!C134</f>
        <v>ZŠ a MŠ O-Krásné Pole</v>
      </c>
      <c r="E138" s="33">
        <f ca="1">OFFSET(Org_dat!$C134,0,OrgSortCriteria)</f>
        <v>68.336149417675074</v>
      </c>
      <c r="F138" s="33">
        <f t="shared" ca="1" si="13"/>
        <v>68.33614941859166</v>
      </c>
      <c r="G138" s="33">
        <f t="shared" ref="G138:G169" ca="1" si="16">IF(ISERROR(LARGE($F$10:$F$185,C138)),0,LARGE($F$10:$F$185,C138))</f>
        <v>21.502639396640177</v>
      </c>
      <c r="H138" s="31">
        <f t="shared" ref="H138:H169" ca="1" si="17">MATCH(G138,$F$10:$F$185,0)</f>
        <v>153</v>
      </c>
      <c r="J138" s="32" t="str">
        <f ca="1">OFFSET(Org_dat!$C$5,$H138,0)</f>
        <v>ZŠ O-Poruba, Bulharská</v>
      </c>
      <c r="K138" s="158">
        <f ca="1">OFFSET(Org_dat!$D$5,$H138,0)</f>
        <v>21.502639396511618</v>
      </c>
      <c r="L138" s="34">
        <f ca="1">OFFSET(Org_dat!$E$5,$H138,0)</f>
        <v>3978765</v>
      </c>
      <c r="M138" s="34">
        <f ca="1">OFFSET(Org_dat!$F$5,$H138,0)</f>
        <v>1104581.75</v>
      </c>
      <c r="N138" s="35">
        <f ca="1">OFFSET(Org_dat!$G$5,$H138,0)</f>
        <v>0.27761924868646426</v>
      </c>
      <c r="O138" s="35">
        <f ca="1">OFFSET(Org_dat!$H$5,$H138,0)</f>
        <v>0.2535</v>
      </c>
      <c r="P138" s="34">
        <f ca="1">OFFSET(Org_dat!$I$5,$H138,0)</f>
        <v>128122.54000000001</v>
      </c>
      <c r="Q138" s="35">
        <f ca="1">OFFSET(Org_dat!$J$5,$H138,0)</f>
        <v>3.2201585165246002E-2</v>
      </c>
      <c r="R138" s="35">
        <f ca="1">OFFSET(Org_dat!$K$5,$H138,0)</f>
        <v>0.12702794936980671</v>
      </c>
      <c r="S138" s="34">
        <f ca="1">OFFSET(Org_dat!$L$5,$H138,0)</f>
        <v>63851.199999999997</v>
      </c>
      <c r="T138" s="35">
        <f ca="1">OFFSET(Org_dat!$M$5,$H138,0)</f>
        <v>0.33260382383548914</v>
      </c>
    </row>
    <row r="139" spans="2:20" x14ac:dyDescent="0.2">
      <c r="B139" s="342">
        <f>Org_dat!K135+(C139/100000)</f>
        <v>0.52549491121917014</v>
      </c>
      <c r="C139" s="31">
        <f>Org_dat!B135</f>
        <v>130</v>
      </c>
      <c r="D139" s="32" t="str">
        <f>Org_dat!C135</f>
        <v>ZŠ a MŠ O-Lhotka</v>
      </c>
      <c r="E139" s="33">
        <f ca="1">OFFSET(Org_dat!$C135,0,OrgSortCriteria)</f>
        <v>31.451694673150211</v>
      </c>
      <c r="F139" s="33">
        <f t="shared" ref="F139:F185" ca="1" si="18">IF(ISERROR(IF(D139&lt;&gt;"",E139+$B139/1000000000,0)),0,IF(D139&lt;&gt;"",E139+$B139/1000000000,-999999999))</f>
        <v>31.451694673675707</v>
      </c>
      <c r="G139" s="33">
        <f t="shared" ca="1" si="16"/>
        <v>21.427674604375124</v>
      </c>
      <c r="H139" s="31">
        <f t="shared" ca="1" si="17"/>
        <v>57</v>
      </c>
      <c r="J139" s="32" t="str">
        <f ca="1">OFFSET(Org_dat!$C$5,$H139,0)</f>
        <v>MŠ O-Dubina, A.Gavlase</v>
      </c>
      <c r="K139" s="158">
        <f ca="1">OFFSET(Org_dat!$D$5,$H139,0)</f>
        <v>21.427674604057525</v>
      </c>
      <c r="L139" s="34">
        <f ca="1">OFFSET(Org_dat!$E$5,$H139,0)</f>
        <v>2541405</v>
      </c>
      <c r="M139" s="34">
        <f ca="1">OFFSET(Org_dat!$F$5,$H139,0)</f>
        <v>122292.65</v>
      </c>
      <c r="N139" s="35">
        <f ca="1">OFFSET(Org_dat!$G$5,$H139,0)</f>
        <v>4.8120094986828149E-2</v>
      </c>
      <c r="O139" s="35">
        <f ca="1">OFFSET(Org_dat!$H$5,$H139,0)</f>
        <v>0.2059</v>
      </c>
      <c r="P139" s="34">
        <f ca="1">OFFSET(Org_dat!$I$5,$H139,0)</f>
        <v>165892.83000000002</v>
      </c>
      <c r="Q139" s="35">
        <f ca="1">OFFSET(Org_dat!$J$5,$H139,0)</f>
        <v>6.5276030384767481E-2</v>
      </c>
      <c r="R139" s="35">
        <f ca="1">OFFSET(Org_dat!$K$5,$H139,0)</f>
        <v>0.31702783091193532</v>
      </c>
      <c r="S139" s="34">
        <f ca="1">OFFSET(Org_dat!$L$5,$H139,0)</f>
        <v>111035.45</v>
      </c>
      <c r="T139" s="35">
        <f ca="1">OFFSET(Org_dat!$M$5,$H139,0)</f>
        <v>0.40095381374556616</v>
      </c>
    </row>
    <row r="140" spans="2:20" x14ac:dyDescent="0.2">
      <c r="B140" s="342">
        <f>Org_dat!K136+(C140/100000)</f>
        <v>0.34152449589013861</v>
      </c>
      <c r="C140" s="31">
        <f>Org_dat!B136</f>
        <v>131</v>
      </c>
      <c r="D140" s="32" t="str">
        <f>Org_dat!C136</f>
        <v>ZŠ a MŠ O-Proskovice</v>
      </c>
      <c r="E140" s="33">
        <f ca="1">OFFSET(Org_dat!$C136,0,OrgSortCriteria)</f>
        <v>20.807438435088816</v>
      </c>
      <c r="F140" s="33">
        <f t="shared" ca="1" si="18"/>
        <v>20.807438435430342</v>
      </c>
      <c r="G140" s="33">
        <f t="shared" ca="1" si="16"/>
        <v>21.023421867237062</v>
      </c>
      <c r="H140" s="31">
        <f t="shared" ca="1" si="17"/>
        <v>158</v>
      </c>
      <c r="J140" s="32" t="str">
        <f ca="1">OFFSET(Org_dat!$C$5,$H140,0)</f>
        <v>ZŠ O-Poruba, K.Pokorného</v>
      </c>
      <c r="K140" s="158">
        <f ca="1">OFFSET(Org_dat!$D$5,$H140,0)</f>
        <v>21.02342186714808</v>
      </c>
      <c r="L140" s="34">
        <f ca="1">OFFSET(Org_dat!$E$5,$H140,0)</f>
        <v>4151250</v>
      </c>
      <c r="M140" s="34">
        <f ca="1">OFFSET(Org_dat!$F$5,$H140,0)</f>
        <v>1310081.0699999998</v>
      </c>
      <c r="N140" s="35">
        <f ca="1">OFFSET(Org_dat!$G$5,$H140,0)</f>
        <v>0.31558712917795839</v>
      </c>
      <c r="O140" s="35">
        <f ca="1">OFFSET(Org_dat!$H$5,$H140,0)</f>
        <v>0.26540000000000002</v>
      </c>
      <c r="P140" s="34">
        <f ca="1">OFFSET(Org_dat!$I$5,$H140,0)</f>
        <v>96293.43</v>
      </c>
      <c r="Q140" s="35">
        <f ca="1">OFFSET(Org_dat!$J$5,$H140,0)</f>
        <v>2.3196249322493222E-2</v>
      </c>
      <c r="R140" s="35">
        <f ca="1">OFFSET(Org_dat!$K$5,$H140,0)</f>
        <v>8.7401090137502718E-2</v>
      </c>
      <c r="S140" s="34">
        <f ca="1">OFFSET(Org_dat!$L$5,$H140,0)</f>
        <v>75268.83</v>
      </c>
      <c r="T140" s="35">
        <f ca="1">OFFSET(Org_dat!$M$5,$H140,0)</f>
        <v>0.4387260345019936</v>
      </c>
    </row>
    <row r="141" spans="2:20" x14ac:dyDescent="0.2">
      <c r="B141" s="342">
        <f>Org_dat!K137+(C141/100000)</f>
        <v>0.7350844482296417</v>
      </c>
      <c r="C141" s="31">
        <f>Org_dat!B137</f>
        <v>132</v>
      </c>
      <c r="D141" s="32" t="str">
        <f>Org_dat!C137</f>
        <v>ZŠ a MŠ O-Svinov</v>
      </c>
      <c r="E141" s="33">
        <f ca="1">OFFSET(Org_dat!$C137,0,OrgSortCriteria)</f>
        <v>72.90901275560816</v>
      </c>
      <c r="F141" s="33">
        <f t="shared" ca="1" si="18"/>
        <v>72.909012756343245</v>
      </c>
      <c r="G141" s="33">
        <f t="shared" ca="1" si="16"/>
        <v>20.807438435430342</v>
      </c>
      <c r="H141" s="31">
        <f t="shared" ca="1" si="17"/>
        <v>131</v>
      </c>
      <c r="J141" s="32" t="str">
        <f ca="1">OFFSET(Org_dat!$C$5,$H141,0)</f>
        <v>ZŠ a MŠ O-Proskovice</v>
      </c>
      <c r="K141" s="158">
        <f ca="1">OFFSET(Org_dat!$D$5,$H141,0)</f>
        <v>20.807438435088816</v>
      </c>
      <c r="L141" s="34">
        <f ca="1">OFFSET(Org_dat!$E$5,$H141,0)</f>
        <v>1708425</v>
      </c>
      <c r="M141" s="34">
        <f ca="1">OFFSET(Org_dat!$F$5,$H141,0)</f>
        <v>13481.82</v>
      </c>
      <c r="N141" s="35">
        <f ca="1">OFFSET(Org_dat!$G$5,$H141,0)</f>
        <v>7.8913736336099043E-3</v>
      </c>
      <c r="O141" s="35">
        <f ca="1">OFFSET(Org_dat!$H$5,$H141,0)</f>
        <v>0.31890000000000002</v>
      </c>
      <c r="P141" s="34">
        <f ca="1">OFFSET(Org_dat!$I$5,$H141,0)</f>
        <v>185354.55000000002</v>
      </c>
      <c r="Q141" s="35">
        <f ca="1">OFFSET(Org_dat!$J$5,$H141,0)</f>
        <v>0.10849440273936521</v>
      </c>
      <c r="R141" s="35">
        <f ca="1">OFFSET(Org_dat!$K$5,$H141,0)</f>
        <v>0.34021449589013864</v>
      </c>
      <c r="S141" s="34">
        <f ca="1">OFFSET(Org_dat!$L$5,$H141,0)</f>
        <v>138451.21</v>
      </c>
      <c r="T141" s="35">
        <f ca="1">OFFSET(Org_dat!$M$5,$H141,0)</f>
        <v>0.4275748831645243</v>
      </c>
    </row>
    <row r="142" spans="2:20" x14ac:dyDescent="0.2">
      <c r="B142" s="342">
        <f>Org_dat!K138+(C142/100000)</f>
        <v>7.9297915534532221E-2</v>
      </c>
      <c r="C142" s="31">
        <f>Org_dat!B138</f>
        <v>133</v>
      </c>
      <c r="D142" s="32" t="str">
        <f>Org_dat!C138</f>
        <v>ZŠ a MŠ O-Výškovice, Šeříková</v>
      </c>
      <c r="E142" s="33">
        <f ca="1">OFFSET(Org_dat!$C138,0,OrgSortCriteria)</f>
        <v>4.678074932071933</v>
      </c>
      <c r="F142" s="33">
        <f t="shared" ca="1" si="18"/>
        <v>4.6780749321512314</v>
      </c>
      <c r="G142" s="33">
        <f t="shared" ca="1" si="16"/>
        <v>20.360331810039185</v>
      </c>
      <c r="H142" s="31">
        <f t="shared" ca="1" si="17"/>
        <v>109</v>
      </c>
      <c r="J142" s="32" t="str">
        <f ca="1">OFFSET(Org_dat!$C$5,$H142,0)</f>
        <v>ÚMOb Nová Ves</v>
      </c>
      <c r="K142" s="158">
        <f ca="1">OFFSET(Org_dat!$D$5,$H142,0)</f>
        <v>20.360331809699456</v>
      </c>
      <c r="L142" s="34">
        <f ca="1">OFFSET(Org_dat!$E$5,$H142,0)</f>
        <v>2148000</v>
      </c>
      <c r="M142" s="34">
        <f ca="1">OFFSET(Org_dat!$F$5,$H142,0)</f>
        <v>1804.59</v>
      </c>
      <c r="N142" s="35">
        <f ca="1">OFFSET(Org_dat!$G$5,$H142,0)</f>
        <v>8.4012569832402236E-4</v>
      </c>
      <c r="O142" s="35">
        <f ca="1">OFFSET(Org_dat!$H$5,$H142,0)</f>
        <v>0.24458492601616141</v>
      </c>
      <c r="P142" s="34">
        <f ca="1">OFFSET(Org_dat!$I$5,$H142,0)</f>
        <v>177910.11</v>
      </c>
      <c r="Q142" s="35">
        <f ca="1">OFFSET(Org_dat!$J$5,$H142,0)</f>
        <v>8.2825935754189936E-2</v>
      </c>
      <c r="R142" s="35">
        <f ca="1">OFFSET(Org_dat!$K$5,$H142,0)</f>
        <v>0.3386387587463876</v>
      </c>
      <c r="S142" s="34">
        <f ca="1">OFFSET(Org_dat!$L$5,$H142,0)</f>
        <v>157924.04999999999</v>
      </c>
      <c r="T142" s="35">
        <f ca="1">OFFSET(Org_dat!$M$5,$H142,0)</f>
        <v>0.47024415264962921</v>
      </c>
    </row>
    <row r="143" spans="2:20" x14ac:dyDescent="0.2">
      <c r="B143" s="342">
        <f>Org_dat!K139+(C143/100000)</f>
        <v>0.17211562934375557</v>
      </c>
      <c r="C143" s="31">
        <f>Org_dat!B139</f>
        <v>134</v>
      </c>
      <c r="D143" s="32" t="str">
        <f>Org_dat!C139</f>
        <v>ZŠ a MŠ O-Zábřeh, Březinova</v>
      </c>
      <c r="E143" s="33">
        <f ca="1">OFFSET(Org_dat!$C139,0,OrgSortCriteria)</f>
        <v>10.49186205642023</v>
      </c>
      <c r="F143" s="33">
        <f t="shared" ca="1" si="18"/>
        <v>10.491862056592344</v>
      </c>
      <c r="G143" s="33">
        <f t="shared" ca="1" si="16"/>
        <v>19.643464077415867</v>
      </c>
      <c r="H143" s="31">
        <f t="shared" ca="1" si="17"/>
        <v>173</v>
      </c>
      <c r="J143" s="32" t="str">
        <f ca="1">OFFSET(Org_dat!$C$5,$H143,0)</f>
        <v>ZŠ Slezská Ostrava, Chrustova</v>
      </c>
      <c r="K143" s="158">
        <f ca="1">OFFSET(Org_dat!$D$5,$H143,0)</f>
        <v>19.643464077094762</v>
      </c>
      <c r="L143" s="34">
        <f ca="1">OFFSET(Org_dat!$E$5,$H143,0)</f>
        <v>3784500</v>
      </c>
      <c r="M143" s="34">
        <f ca="1">OFFSET(Org_dat!$F$5,$H143,0)</f>
        <v>36410.86</v>
      </c>
      <c r="N143" s="35">
        <f ca="1">OFFSET(Org_dat!$G$5,$H143,0)</f>
        <v>9.621049015722024E-3</v>
      </c>
      <c r="O143" s="35">
        <f ca="1">OFFSET(Org_dat!$H$5,$H143,0)</f>
        <v>0.34060000000000001</v>
      </c>
      <c r="P143" s="34">
        <f ca="1">OFFSET(Org_dat!$I$5,$H143,0)</f>
        <v>411672.7</v>
      </c>
      <c r="Q143" s="35">
        <f ca="1">OFFSET(Org_dat!$J$5,$H143,0)</f>
        <v>0.10877862333201216</v>
      </c>
      <c r="R143" s="35">
        <f ca="1">OFFSET(Org_dat!$K$5,$H143,0)</f>
        <v>0.31937352710514433</v>
      </c>
      <c r="S143" s="34">
        <f ca="1">OFFSET(Org_dat!$L$5,$H143,0)</f>
        <v>272063.05</v>
      </c>
      <c r="T143" s="35">
        <f ca="1">OFFSET(Org_dat!$M$5,$H143,0)</f>
        <v>0.39790672054225623</v>
      </c>
    </row>
    <row r="144" spans="2:20" x14ac:dyDescent="0.2">
      <c r="B144" s="342">
        <f>Org_dat!K140+(C144/100000)</f>
        <v>0.38967354697790091</v>
      </c>
      <c r="C144" s="31">
        <f>Org_dat!B140</f>
        <v>135</v>
      </c>
      <c r="D144" s="32" t="str">
        <f>Org_dat!C140</f>
        <v>ZŠ a MŠ O-Zábřeh, Horymírova</v>
      </c>
      <c r="E144" s="33">
        <f ca="1">OFFSET(Org_dat!$C140,0,OrgSortCriteria)</f>
        <v>42.098317014736267</v>
      </c>
      <c r="F144" s="33">
        <f t="shared" ca="1" si="18"/>
        <v>42.098317015125943</v>
      </c>
      <c r="G144" s="33">
        <f t="shared" ca="1" si="16"/>
        <v>19.061122817175946</v>
      </c>
      <c r="H144" s="31">
        <f t="shared" ca="1" si="17"/>
        <v>144</v>
      </c>
      <c r="J144" s="32" t="str">
        <f ca="1">OFFSET(Org_dat!$C$5,$H144,0)</f>
        <v>ZŠ O-Hrabůvka, Klegova 27</v>
      </c>
      <c r="K144" s="158">
        <f ca="1">OFFSET(Org_dat!$D$5,$H144,0)</f>
        <v>19.061122816860351</v>
      </c>
      <c r="L144" s="34">
        <f ca="1">OFFSET(Org_dat!$E$5,$H144,0)</f>
        <v>2122377.75</v>
      </c>
      <c r="M144" s="34">
        <f ca="1">OFFSET(Org_dat!$F$5,$H144,0)</f>
        <v>8992.32</v>
      </c>
      <c r="N144" s="35">
        <f ca="1">OFFSET(Org_dat!$G$5,$H144,0)</f>
        <v>4.2369083448976037E-3</v>
      </c>
      <c r="O144" s="35">
        <f ca="1">OFFSET(Org_dat!$H$5,$H144,0)</f>
        <v>6.9000000000000006E-2</v>
      </c>
      <c r="P144" s="34">
        <f ca="1">OFFSET(Org_dat!$I$5,$H144,0)</f>
        <v>46006.080000000002</v>
      </c>
      <c r="Q144" s="35">
        <f ca="1">OFFSET(Org_dat!$J$5,$H144,0)</f>
        <v>2.1676669009557795E-2</v>
      </c>
      <c r="R144" s="35">
        <f ca="1">OFFSET(Org_dat!$K$5,$H144,0)</f>
        <v>0.31415462332692451</v>
      </c>
      <c r="S144" s="34">
        <f ca="1">OFFSET(Org_dat!$L$5,$H144,0)</f>
        <v>79927.240000000005</v>
      </c>
      <c r="T144" s="35">
        <f ca="1">OFFSET(Org_dat!$M$5,$H144,0)</f>
        <v>0.63467905078655906</v>
      </c>
    </row>
    <row r="145" spans="2:20" x14ac:dyDescent="0.2">
      <c r="B145" s="342">
        <f>Org_dat!K141+(C145/100000)</f>
        <v>0.68134876336439076</v>
      </c>
      <c r="C145" s="31">
        <f>Org_dat!B141</f>
        <v>136</v>
      </c>
      <c r="D145" s="32" t="str">
        <f>Org_dat!C141</f>
        <v>ZŠ a MŠ O-Zábřeh, Kosmonautů 13</v>
      </c>
      <c r="E145" s="33">
        <f ca="1">OFFSET(Org_dat!$C141,0,OrgSortCriteria)</f>
        <v>67.941363415352413</v>
      </c>
      <c r="F145" s="33">
        <f t="shared" ca="1" si="18"/>
        <v>67.941363416033766</v>
      </c>
      <c r="G145" s="33">
        <f t="shared" ca="1" si="16"/>
        <v>18.984317718955442</v>
      </c>
      <c r="H145" s="31">
        <f t="shared" ca="1" si="17"/>
        <v>21</v>
      </c>
      <c r="J145" s="32" t="str">
        <f ca="1">OFFSET(Org_dat!$C$5,$H145,0)</f>
        <v>ZŠ a MŠ O-Bělský Les</v>
      </c>
      <c r="K145" s="158">
        <f ca="1">OFFSET(Org_dat!$D$5,$H145,0)</f>
        <v>18.984317718863295</v>
      </c>
      <c r="L145" s="34">
        <f ca="1">OFFSET(Org_dat!$E$5,$H145,0)</f>
        <v>8295825</v>
      </c>
      <c r="M145" s="34">
        <f ca="1">OFFSET(Org_dat!$F$5,$H145,0)</f>
        <v>2234565.19</v>
      </c>
      <c r="N145" s="35">
        <f ca="1">OFFSET(Org_dat!$G$5,$H145,0)</f>
        <v>0.26936021311924974</v>
      </c>
      <c r="O145" s="35">
        <f ca="1">OFFSET(Org_dat!$H$5,$H145,0)</f>
        <v>0.22450000000000001</v>
      </c>
      <c r="P145" s="34">
        <f ca="1">OFFSET(Org_dat!$I$5,$H145,0)</f>
        <v>171227.34</v>
      </c>
      <c r="Q145" s="35">
        <f ca="1">OFFSET(Org_dat!$J$5,$H145,0)</f>
        <v>2.0640182260353853E-2</v>
      </c>
      <c r="R145" s="35">
        <f ca="1">OFFSET(Org_dat!$K$5,$H145,0)</f>
        <v>9.1938451048346775E-2</v>
      </c>
      <c r="S145" s="34">
        <f ca="1">OFFSET(Org_dat!$L$5,$H145,0)</f>
        <v>131014.8</v>
      </c>
      <c r="T145" s="35">
        <f ca="1">OFFSET(Org_dat!$M$5,$H145,0)</f>
        <v>0.43347628494160345</v>
      </c>
    </row>
    <row r="146" spans="2:20" x14ac:dyDescent="0.2">
      <c r="B146" s="342">
        <f>Org_dat!K142+(C146/100000)</f>
        <v>1.0560369100816203</v>
      </c>
      <c r="C146" s="31">
        <f>Org_dat!B142</f>
        <v>137</v>
      </c>
      <c r="D146" s="32" t="str">
        <f>Org_dat!C142</f>
        <v>ZŠ a MŠ O-Zábřeh, Kosmonautů 15</v>
      </c>
      <c r="E146" s="33">
        <f ca="1">OFFSET(Org_dat!$C142,0,OrgSortCriteria)</f>
        <v>95.676324335835602</v>
      </c>
      <c r="F146" s="33">
        <f t="shared" ca="1" si="18"/>
        <v>95.676324336891639</v>
      </c>
      <c r="G146" s="33">
        <f t="shared" ca="1" si="16"/>
        <v>18.231050513260357</v>
      </c>
      <c r="H146" s="31">
        <f t="shared" ca="1" si="17"/>
        <v>166</v>
      </c>
      <c r="J146" s="32" t="str">
        <f ca="1">OFFSET(Org_dat!$C$5,$H146,0)</f>
        <v>ZŠ O-Zábřeh, Chrjukinova</v>
      </c>
      <c r="K146" s="158">
        <f ca="1">OFFSET(Org_dat!$D$5,$H146,0)</f>
        <v>18.231050512954845</v>
      </c>
      <c r="L146" s="34">
        <f ca="1">OFFSET(Org_dat!$E$5,$H146,0)</f>
        <v>3030000</v>
      </c>
      <c r="M146" s="34">
        <f ca="1">OFFSET(Org_dat!$F$5,$H146,0)</f>
        <v>0</v>
      </c>
      <c r="N146" s="35">
        <f ca="1">OFFSET(Org_dat!$G$5,$H146,0)</f>
        <v>0</v>
      </c>
      <c r="O146" s="35">
        <f ca="1">OFFSET(Org_dat!$H$5,$H146,0)</f>
        <v>0.14929999999999999</v>
      </c>
      <c r="P146" s="34">
        <f ca="1">OFFSET(Org_dat!$I$5,$H146,0)</f>
        <v>137455.74</v>
      </c>
      <c r="Q146" s="35">
        <f ca="1">OFFSET(Org_dat!$J$5,$H146,0)</f>
        <v>4.5364930693069301E-2</v>
      </c>
      <c r="R146" s="35">
        <f ca="1">OFFSET(Org_dat!$K$5,$H146,0)</f>
        <v>0.30385084188258077</v>
      </c>
      <c r="S146" s="34">
        <f ca="1">OFFSET(Org_dat!$L$5,$H146,0)</f>
        <v>106880.13</v>
      </c>
      <c r="T146" s="35">
        <f ca="1">OFFSET(Org_dat!$M$5,$H146,0)</f>
        <v>0.43743118847019885</v>
      </c>
    </row>
    <row r="147" spans="2:20" x14ac:dyDescent="0.2">
      <c r="B147" s="342">
        <f>Org_dat!K143+(C147/100000)</f>
        <v>6.8254884609511846E-2</v>
      </c>
      <c r="C147" s="31">
        <f>Org_dat!B143</f>
        <v>138</v>
      </c>
      <c r="D147" s="32" t="str">
        <f>Org_dat!C143</f>
        <v>ZŠ a MŠ O-Zábřeh, Volgogradská</v>
      </c>
      <c r="E147" s="33">
        <f ca="1">OFFSET(Org_dat!$C143,0,OrgSortCriteria)</f>
        <v>4.0814888556238822</v>
      </c>
      <c r="F147" s="33">
        <f t="shared" ca="1" si="18"/>
        <v>4.0814888556921369</v>
      </c>
      <c r="G147" s="33">
        <f t="shared" ca="1" si="16"/>
        <v>17.784241557988668</v>
      </c>
      <c r="H147" s="31">
        <f t="shared" ca="1" si="17"/>
        <v>53</v>
      </c>
      <c r="J147" s="32" t="str">
        <f ca="1">OFFSET(Org_dat!$C$5,$H147,0)</f>
        <v>MŠ Lechowiczova</v>
      </c>
      <c r="K147" s="158">
        <f ca="1">OFFSET(Org_dat!$D$5,$H147,0)</f>
        <v>17.784241557748857</v>
      </c>
      <c r="L147" s="34">
        <f ca="1">OFFSET(Org_dat!$E$5,$H147,0)</f>
        <v>1238250</v>
      </c>
      <c r="M147" s="34">
        <f ca="1">OFFSET(Org_dat!$F$5,$H147,0)</f>
        <v>84879.98</v>
      </c>
      <c r="N147" s="35">
        <f ca="1">OFFSET(Org_dat!$G$5,$H147,0)</f>
        <v>6.8548338380779325E-2</v>
      </c>
      <c r="O147" s="35">
        <f ca="1">OFFSET(Org_dat!$H$5,$H147,0)</f>
        <v>0.2094</v>
      </c>
      <c r="P147" s="34">
        <f ca="1">OFFSET(Org_dat!$I$5,$H147,0)</f>
        <v>62042.91</v>
      </c>
      <c r="Q147" s="35">
        <f ca="1">OFFSET(Org_dat!$J$5,$H147,0)</f>
        <v>5.0105317989097523E-2</v>
      </c>
      <c r="R147" s="35">
        <f ca="1">OFFSET(Org_dat!$K$5,$H147,0)</f>
        <v>0.23928041064516484</v>
      </c>
      <c r="S147" s="34">
        <f ca="1">OFFSET(Org_dat!$L$5,$H147,0)</f>
        <v>34549.69</v>
      </c>
      <c r="T147" s="35">
        <f ca="1">OFFSET(Org_dat!$M$5,$H147,0)</f>
        <v>0.35768464664995042</v>
      </c>
    </row>
    <row r="148" spans="2:20" x14ac:dyDescent="0.2">
      <c r="B148" s="342">
        <f>Org_dat!K144+(C148/100000)</f>
        <v>0.23536631762058216</v>
      </c>
      <c r="C148" s="31">
        <f>Org_dat!B144</f>
        <v>139</v>
      </c>
      <c r="D148" s="32" t="str">
        <f>Org_dat!C144</f>
        <v>ZŠ a waldorfská ZŠ O-Poruba</v>
      </c>
      <c r="E148" s="33">
        <f ca="1">OFFSET(Org_dat!$C144,0,OrgSortCriteria)</f>
        <v>34.288821518398493</v>
      </c>
      <c r="F148" s="33">
        <f t="shared" ca="1" si="18"/>
        <v>34.28882151863386</v>
      </c>
      <c r="G148" s="33">
        <f t="shared" ca="1" si="16"/>
        <v>15.086912575510544</v>
      </c>
      <c r="H148" s="31">
        <f t="shared" ca="1" si="17"/>
        <v>117</v>
      </c>
      <c r="J148" s="32" t="str">
        <f ca="1">OFFSET(Org_dat!$C$5,$H148,0)</f>
        <v>ÚMOb Radvanice a Bartovice</v>
      </c>
      <c r="K148" s="158">
        <f ca="1">OFFSET(Org_dat!$D$5,$H148,0)</f>
        <v>15.086912575258046</v>
      </c>
      <c r="L148" s="34">
        <f ca="1">OFFSET(Org_dat!$E$5,$H148,0)</f>
        <v>8347500</v>
      </c>
      <c r="M148" s="34">
        <f ca="1">OFFSET(Org_dat!$F$5,$H148,0)</f>
        <v>1199.56</v>
      </c>
      <c r="N148" s="35">
        <f ca="1">OFFSET(Org_dat!$G$5,$H148,0)</f>
        <v>1.4370290506139562E-4</v>
      </c>
      <c r="O148" s="35">
        <f ca="1">OFFSET(Org_dat!$H$5,$H148,0)</f>
        <v>0.22950220472405164</v>
      </c>
      <c r="P148" s="34">
        <f ca="1">OFFSET(Org_dat!$I$5,$H148,0)</f>
        <v>481488.07</v>
      </c>
      <c r="Q148" s="35">
        <f ca="1">OFFSET(Org_dat!$J$5,$H148,0)</f>
        <v>5.7680511530398326E-2</v>
      </c>
      <c r="R148" s="35">
        <f ca="1">OFFSET(Org_dat!$K$5,$H148,0)</f>
        <v>0.25132879050008294</v>
      </c>
      <c r="S148" s="34">
        <f ca="1">OFFSET(Org_dat!$L$5,$H148,0)</f>
        <v>450648.22000000003</v>
      </c>
      <c r="T148" s="35">
        <f ca="1">OFFSET(Org_dat!$M$5,$H148,0)</f>
        <v>0.48345743517828277</v>
      </c>
    </row>
    <row r="149" spans="2:20" x14ac:dyDescent="0.2">
      <c r="B149" s="342">
        <f>Org_dat!K145+(C149/100000)</f>
        <v>0.42341927609263552</v>
      </c>
      <c r="C149" s="31">
        <f>Org_dat!B145</f>
        <v>140</v>
      </c>
      <c r="D149" s="32" t="str">
        <f>Org_dat!C145</f>
        <v>ZŠ gen.Z.Škarvady, O-Poruba</v>
      </c>
      <c r="E149" s="33">
        <f ca="1">OFFSET(Org_dat!$C145,0,OrgSortCriteria)</f>
        <v>32.311107100551993</v>
      </c>
      <c r="F149" s="33">
        <f t="shared" ca="1" si="18"/>
        <v>32.311107100975413</v>
      </c>
      <c r="G149" s="33">
        <f t="shared" ca="1" si="16"/>
        <v>14.736462948129255</v>
      </c>
      <c r="H149" s="31">
        <f t="shared" ca="1" si="17"/>
        <v>55</v>
      </c>
      <c r="J149" s="32" t="str">
        <f ca="1">OFFSET(Org_dat!$C$5,$H149,0)</f>
        <v>MŠ Na Jízdárně</v>
      </c>
      <c r="K149" s="158">
        <f ca="1">OFFSET(Org_dat!$D$5,$H149,0)</f>
        <v>14.736462947903046</v>
      </c>
      <c r="L149" s="34">
        <f ca="1">OFFSET(Org_dat!$E$5,$H149,0)</f>
        <v>820500</v>
      </c>
      <c r="M149" s="34">
        <f ca="1">OFFSET(Org_dat!$F$5,$H149,0)</f>
        <v>19642.509999999998</v>
      </c>
      <c r="N149" s="35">
        <f ca="1">OFFSET(Org_dat!$G$5,$H149,0)</f>
        <v>2.3939683120048749E-2</v>
      </c>
      <c r="O149" s="35">
        <f ca="1">OFFSET(Org_dat!$H$5,$H149,0)</f>
        <v>0.1686</v>
      </c>
      <c r="P149" s="34">
        <f ca="1">OFFSET(Org_dat!$I$5,$H149,0)</f>
        <v>31216.69</v>
      </c>
      <c r="Q149" s="35">
        <f ca="1">OFFSET(Org_dat!$J$5,$H149,0)</f>
        <v>3.8045935405240705E-2</v>
      </c>
      <c r="R149" s="35">
        <f ca="1">OFFSET(Org_dat!$K$5,$H149,0)</f>
        <v>0.22565797986501013</v>
      </c>
      <c r="S149" s="34">
        <f ca="1">OFFSET(Org_dat!$L$5,$H149,0)</f>
        <v>14137.119999999999</v>
      </c>
      <c r="T149" s="35">
        <f ca="1">OFFSET(Org_dat!$M$5,$H149,0)</f>
        <v>0.31170743979392251</v>
      </c>
    </row>
    <row r="150" spans="2:20" x14ac:dyDescent="0.2">
      <c r="B150" s="342">
        <f>Org_dat!K146+(C150/100000)</f>
        <v>1.0086593542036608</v>
      </c>
      <c r="C150" s="31">
        <f>Org_dat!B146</f>
        <v>141</v>
      </c>
      <c r="D150" s="32" t="str">
        <f>Org_dat!C146</f>
        <v>ZŠ MO a Přívoz, Gajdošova</v>
      </c>
      <c r="E150" s="33">
        <f ca="1">OFFSET(Org_dat!$C146,0,OrgSortCriteria)</f>
        <v>61.617391304347827</v>
      </c>
      <c r="F150" s="33">
        <f t="shared" ca="1" si="18"/>
        <v>61.617391305356485</v>
      </c>
      <c r="G150" s="33">
        <f t="shared" ca="1" si="16"/>
        <v>14.691673584966852</v>
      </c>
      <c r="H150" s="31">
        <f t="shared" ca="1" si="17"/>
        <v>171</v>
      </c>
      <c r="J150" s="32" t="str">
        <f ca="1">OFFSET(Org_dat!$C$5,$H150,0)</f>
        <v>ZŠ Ostrava, Zelená</v>
      </c>
      <c r="K150" s="158">
        <f ca="1">OFFSET(Org_dat!$D$5,$H150,0)</f>
        <v>14.691673584742386</v>
      </c>
      <c r="L150" s="34">
        <f ca="1">OFFSET(Org_dat!$E$5,$H150,0)</f>
        <v>3641250</v>
      </c>
      <c r="M150" s="34">
        <f ca="1">OFFSET(Org_dat!$F$5,$H150,0)</f>
        <v>96587.5</v>
      </c>
      <c r="N150" s="35">
        <f ca="1">OFFSET(Org_dat!$G$5,$H150,0)</f>
        <v>2.652591829728802E-2</v>
      </c>
      <c r="O150" s="35">
        <f ca="1">OFFSET(Org_dat!$H$5,$H150,0)</f>
        <v>0.21659999999999999</v>
      </c>
      <c r="P150" s="34">
        <f ca="1">OFFSET(Org_dat!$I$5,$H150,0)</f>
        <v>175686.72</v>
      </c>
      <c r="Q150" s="35">
        <f ca="1">OFFSET(Org_dat!$J$5,$H150,0)</f>
        <v>4.8249013388259529E-2</v>
      </c>
      <c r="R150" s="35">
        <f ca="1">OFFSET(Org_dat!$K$5,$H150,0)</f>
        <v>0.22275629449796641</v>
      </c>
      <c r="S150" s="34">
        <f ca="1">OFFSET(Org_dat!$L$5,$H150,0)</f>
        <v>76411.37</v>
      </c>
      <c r="T150" s="35">
        <f ca="1">OFFSET(Org_dat!$M$5,$H150,0)</f>
        <v>0.30310174107229448</v>
      </c>
    </row>
    <row r="151" spans="2:20" x14ac:dyDescent="0.2">
      <c r="B151" s="342">
        <f>Org_dat!K147+(C151/100000)</f>
        <v>1.5451992588491419</v>
      </c>
      <c r="C151" s="31">
        <f>Org_dat!B147</f>
        <v>142</v>
      </c>
      <c r="D151" s="32" t="str">
        <f>Org_dat!C147</f>
        <v>ZŠ O-Dubina, F.Formana</v>
      </c>
      <c r="E151" s="33">
        <f ca="1">OFFSET(Org_dat!$C147,0,OrgSortCriteria)</f>
        <v>63.157880434782612</v>
      </c>
      <c r="F151" s="33">
        <f t="shared" ca="1" si="18"/>
        <v>63.157880436327808</v>
      </c>
      <c r="G151" s="33">
        <f t="shared" ca="1" si="16"/>
        <v>14.496014912553145</v>
      </c>
      <c r="H151" s="31">
        <f t="shared" ca="1" si="17"/>
        <v>82</v>
      </c>
      <c r="J151" s="32" t="str">
        <f ca="1">OFFSET(Org_dat!$C$5,$H151,0)</f>
        <v>MŠ U Dvoru</v>
      </c>
      <c r="K151" s="158">
        <f ca="1">OFFSET(Org_dat!$D$5,$H151,0)</f>
        <v>14.496014912310725</v>
      </c>
      <c r="L151" s="34">
        <f ca="1">OFFSET(Org_dat!$E$5,$H151,0)</f>
        <v>449680.23750000005</v>
      </c>
      <c r="M151" s="34">
        <f ca="1">OFFSET(Org_dat!$F$5,$H151,0)</f>
        <v>0</v>
      </c>
      <c r="N151" s="35">
        <f ca="1">OFFSET(Org_dat!$G$5,$H151,0)</f>
        <v>0</v>
      </c>
      <c r="O151" s="35">
        <f ca="1">OFFSET(Org_dat!$H$5,$H151,0)</f>
        <v>5.67E-2</v>
      </c>
      <c r="P151" s="34">
        <f ca="1">OFFSET(Org_dat!$I$5,$H151,0)</f>
        <v>6160.05</v>
      </c>
      <c r="Q151" s="35">
        <f ca="1">OFFSET(Org_dat!$J$5,$H151,0)</f>
        <v>1.3698734092133635E-2</v>
      </c>
      <c r="R151" s="35">
        <f ca="1">OFFSET(Org_dat!$K$5,$H151,0)</f>
        <v>0.24160024853851209</v>
      </c>
      <c r="S151" s="34">
        <f ca="1">OFFSET(Org_dat!$L$5,$H151,0)</f>
        <v>1099.98</v>
      </c>
      <c r="T151" s="35">
        <f ca="1">OFFSET(Org_dat!$M$5,$H151,0)</f>
        <v>0.15151177061251811</v>
      </c>
    </row>
    <row r="152" spans="2:20" x14ac:dyDescent="0.2">
      <c r="B152" s="342">
        <f>Org_dat!K148+(C152/100000)</f>
        <v>0.14151527745280204</v>
      </c>
      <c r="C152" s="31">
        <f>Org_dat!B148</f>
        <v>143</v>
      </c>
      <c r="D152" s="32" t="str">
        <f>Org_dat!C148</f>
        <v>ZŠ O-Hrabová, Paskovská</v>
      </c>
      <c r="E152" s="33">
        <f ca="1">OFFSET(Org_dat!$C148,0,OrgSortCriteria)</f>
        <v>8.4051166471681231</v>
      </c>
      <c r="F152" s="33">
        <f t="shared" ca="1" si="18"/>
        <v>8.4051166473096384</v>
      </c>
      <c r="G152" s="33">
        <f t="shared" ca="1" si="16"/>
        <v>13.987397376317034</v>
      </c>
      <c r="H152" s="31">
        <f t="shared" ca="1" si="17"/>
        <v>7</v>
      </c>
      <c r="J152" s="32" t="str">
        <f ca="1">OFFSET(Org_dat!$C$5,$H152,0)</f>
        <v>Centrum kultury a vzdělávání Moravská Ostrava</v>
      </c>
      <c r="K152" s="158">
        <f ca="1">OFFSET(Org_dat!$D$5,$H152,0)</f>
        <v>13.98739737608533</v>
      </c>
      <c r="L152" s="34">
        <f ca="1">OFFSET(Org_dat!$E$5,$H152,0)</f>
        <v>7646250</v>
      </c>
      <c r="M152" s="34">
        <f ca="1">OFFSET(Org_dat!$F$5,$H152,0)</f>
        <v>13668.88</v>
      </c>
      <c r="N152" s="35">
        <f ca="1">OFFSET(Org_dat!$G$5,$H152,0)</f>
        <v>1.7876580022887034E-3</v>
      </c>
      <c r="O152" s="35">
        <f ca="1">OFFSET(Org_dat!$H$5,$H152,0)</f>
        <v>7.3318441064654863E-2</v>
      </c>
      <c r="P152" s="34">
        <f ca="1">OFFSET(Org_dat!$I$5,$H152,0)</f>
        <v>129856.36</v>
      </c>
      <c r="Q152" s="35">
        <f ca="1">OFFSET(Org_dat!$J$5,$H152,0)</f>
        <v>1.698301258786987E-2</v>
      </c>
      <c r="R152" s="35">
        <f ca="1">OFFSET(Org_dat!$K$5,$H152,0)</f>
        <v>0.23163357459951492</v>
      </c>
      <c r="S152" s="34">
        <f ca="1">OFFSET(Org_dat!$L$5,$H152,0)</f>
        <v>113438.05</v>
      </c>
      <c r="T152" s="35">
        <f ca="1">OFFSET(Org_dat!$M$5,$H152,0)</f>
        <v>0.4662583492978733</v>
      </c>
    </row>
    <row r="153" spans="2:20" x14ac:dyDescent="0.2">
      <c r="B153" s="342">
        <f>Org_dat!K149+(C153/100000)</f>
        <v>0.31559462332692451</v>
      </c>
      <c r="C153" s="31">
        <f>Org_dat!B149</f>
        <v>144</v>
      </c>
      <c r="D153" s="32" t="str">
        <f>Org_dat!C149</f>
        <v>ZŠ O-Hrabůvka, Klegova 27</v>
      </c>
      <c r="E153" s="33">
        <f ca="1">OFFSET(Org_dat!$C149,0,OrgSortCriteria)</f>
        <v>19.061122816860351</v>
      </c>
      <c r="F153" s="33">
        <f t="shared" ca="1" si="18"/>
        <v>19.061122817175946</v>
      </c>
      <c r="G153" s="33">
        <f t="shared" ca="1" si="16"/>
        <v>13.828835508893098</v>
      </c>
      <c r="H153" s="31">
        <f t="shared" ca="1" si="17"/>
        <v>61</v>
      </c>
      <c r="J153" s="32" t="str">
        <f ca="1">OFFSET(Org_dat!$C$5,$H153,0)</f>
        <v>MŠ O-Nová Bělá</v>
      </c>
      <c r="K153" s="158">
        <f ca="1">OFFSET(Org_dat!$D$5,$H153,0)</f>
        <v>13.828835508662008</v>
      </c>
      <c r="L153" s="34">
        <f ca="1">OFFSET(Org_dat!$E$5,$H153,0)</f>
        <v>752925</v>
      </c>
      <c r="M153" s="34">
        <f ca="1">OFFSET(Org_dat!$F$5,$H153,0)</f>
        <v>0</v>
      </c>
      <c r="N153" s="35">
        <f ca="1">OFFSET(Org_dat!$G$5,$H153,0)</f>
        <v>0</v>
      </c>
      <c r="O153" s="35">
        <f ca="1">OFFSET(Org_dat!$H$5,$H153,0)</f>
        <v>0.1948</v>
      </c>
      <c r="P153" s="34">
        <f ca="1">OFFSET(Org_dat!$I$5,$H153,0)</f>
        <v>33804.54</v>
      </c>
      <c r="Q153" s="35">
        <f ca="1">OFFSET(Org_dat!$J$5,$H153,0)</f>
        <v>4.4897619284789324E-2</v>
      </c>
      <c r="R153" s="35">
        <f ca="1">OFFSET(Org_dat!$K$5,$H153,0)</f>
        <v>0.23048059181103348</v>
      </c>
      <c r="S153" s="34">
        <f ca="1">OFFSET(Org_dat!$L$5,$H153,0)</f>
        <v>9846.9</v>
      </c>
      <c r="T153" s="35">
        <f ca="1">OFFSET(Org_dat!$M$5,$H153,0)</f>
        <v>0.2255801870453758</v>
      </c>
    </row>
    <row r="154" spans="2:20" x14ac:dyDescent="0.2">
      <c r="B154" s="342">
        <f>Org_dat!K150+(C154/100000)</f>
        <v>0.55884180456691757</v>
      </c>
      <c r="C154" s="31">
        <f>Org_dat!B150</f>
        <v>145</v>
      </c>
      <c r="D154" s="32" t="str">
        <f>Org_dat!C150</f>
        <v>ZŠ O-Hrabůvka, Provaznická</v>
      </c>
      <c r="E154" s="33">
        <f ca="1">OFFSET(Org_dat!$C150,0,OrgSortCriteria)</f>
        <v>45.629835329305863</v>
      </c>
      <c r="F154" s="33">
        <f t="shared" ca="1" si="18"/>
        <v>45.629835329864704</v>
      </c>
      <c r="G154" s="33">
        <f t="shared" ca="1" si="16"/>
        <v>12.848694284585967</v>
      </c>
      <c r="H154" s="31">
        <f t="shared" ca="1" si="17"/>
        <v>41</v>
      </c>
      <c r="J154" s="32" t="str">
        <f ca="1">OFFSET(Org_dat!$C$5,$H154,0)</f>
        <v>MŠ Blahoslavova</v>
      </c>
      <c r="K154" s="158">
        <f ca="1">OFFSET(Org_dat!$D$5,$H154,0)</f>
        <v>12.848694284371412</v>
      </c>
      <c r="L154" s="34">
        <f ca="1">OFFSET(Org_dat!$E$5,$H154,0)</f>
        <v>1056750</v>
      </c>
      <c r="M154" s="34">
        <f ca="1">OFFSET(Org_dat!$F$5,$H154,0)</f>
        <v>0</v>
      </c>
      <c r="N154" s="35">
        <f ca="1">OFFSET(Org_dat!$G$5,$H154,0)</f>
        <v>0</v>
      </c>
      <c r="O154" s="35">
        <f ca="1">OFFSET(Org_dat!$H$5,$H154,0)</f>
        <v>0.31619999999999998</v>
      </c>
      <c r="P154" s="34">
        <f ca="1">OFFSET(Org_dat!$I$5,$H154,0)</f>
        <v>71555.31</v>
      </c>
      <c r="Q154" s="35">
        <f ca="1">OFFSET(Org_dat!$J$5,$H154,0)</f>
        <v>6.7712618878637332E-2</v>
      </c>
      <c r="R154" s="35">
        <f ca="1">OFFSET(Org_dat!$K$5,$H154,0)</f>
        <v>0.21414490473952352</v>
      </c>
      <c r="S154" s="34">
        <f ca="1">OFFSET(Org_dat!$L$5,$H154,0)</f>
        <v>52637.4</v>
      </c>
      <c r="T154" s="35">
        <f ca="1">OFFSET(Org_dat!$M$5,$H154,0)</f>
        <v>0.42383647156101195</v>
      </c>
    </row>
    <row r="155" spans="2:20" x14ac:dyDescent="0.2">
      <c r="B155" s="342">
        <f>Org_dat!K151+(C155/100000)</f>
        <v>0.62216191627778672</v>
      </c>
      <c r="C155" s="31">
        <f>Org_dat!B151</f>
        <v>146</v>
      </c>
      <c r="D155" s="32" t="str">
        <f>Org_dat!C151</f>
        <v>ZŠ O-Mar.Hory, Gen.Janka</v>
      </c>
      <c r="E155" s="33">
        <f ca="1">OFFSET(Org_dat!$C151,0,OrgSortCriteria)</f>
        <v>44.206626117458867</v>
      </c>
      <c r="F155" s="33">
        <f t="shared" ca="1" si="18"/>
        <v>44.206626118081033</v>
      </c>
      <c r="G155" s="33">
        <f t="shared" ca="1" si="16"/>
        <v>12.426768353293738</v>
      </c>
      <c r="H155" s="31">
        <f t="shared" ca="1" si="17"/>
        <v>50</v>
      </c>
      <c r="J155" s="32" t="str">
        <f ca="1">OFFSET(Org_dat!$C$5,$H155,0)</f>
        <v>MŠ Klubíčko, O-Hrabová</v>
      </c>
      <c r="K155" s="158">
        <f ca="1">OFFSET(Org_dat!$D$5,$H155,0)</f>
        <v>12.426768353086125</v>
      </c>
      <c r="L155" s="34">
        <f ca="1">OFFSET(Org_dat!$E$5,$H155,0)</f>
        <v>1462159.5</v>
      </c>
      <c r="M155" s="34">
        <f ca="1">OFFSET(Org_dat!$F$5,$H155,0)</f>
        <v>0</v>
      </c>
      <c r="N155" s="35">
        <f ca="1">OFFSET(Org_dat!$G$5,$H155,0)</f>
        <v>0</v>
      </c>
      <c r="O155" s="35">
        <f ca="1">OFFSET(Org_dat!$H$5,$H155,0)</f>
        <v>0.24940000000000001</v>
      </c>
      <c r="P155" s="34">
        <f ca="1">OFFSET(Org_dat!$I$5,$H155,0)</f>
        <v>75526.289999999994</v>
      </c>
      <c r="Q155" s="35">
        <f ca="1">OFFSET(Org_dat!$J$5,$H155,0)</f>
        <v>5.1653933787661331E-2</v>
      </c>
      <c r="R155" s="35">
        <f ca="1">OFFSET(Org_dat!$K$5,$H155,0)</f>
        <v>0.20711280588476874</v>
      </c>
      <c r="S155" s="34">
        <f ca="1">OFFSET(Org_dat!$L$5,$H155,0)</f>
        <v>59937.66</v>
      </c>
      <c r="T155" s="35">
        <f ca="1">OFFSET(Org_dat!$M$5,$H155,0)</f>
        <v>0.44246207201251697</v>
      </c>
    </row>
    <row r="156" spans="2:20" x14ac:dyDescent="0.2">
      <c r="B156" s="342">
        <f>Org_dat!K152+(C156/100000)</f>
        <v>0.49805962253057295</v>
      </c>
      <c r="C156" s="31">
        <f>Org_dat!B152</f>
        <v>147</v>
      </c>
      <c r="D156" s="32" t="str">
        <f>Org_dat!C152</f>
        <v>ZŠ O-Michálkovice</v>
      </c>
      <c r="E156" s="33">
        <f ca="1">OFFSET(Org_dat!$C152,0,OrgSortCriteria)</f>
        <v>29.795377351834375</v>
      </c>
      <c r="F156" s="33">
        <f t="shared" ca="1" si="18"/>
        <v>29.795377352332434</v>
      </c>
      <c r="G156" s="33">
        <f t="shared" ca="1" si="16"/>
        <v>11.981940690172207</v>
      </c>
      <c r="H156" s="31">
        <f t="shared" ca="1" si="17"/>
        <v>126</v>
      </c>
      <c r="J156" s="32" t="str">
        <f ca="1">OFFSET(Org_dat!$C$5,$H156,0)</f>
        <v>ZŠ a MŠ O-Hrabůvka, Klegova 29</v>
      </c>
      <c r="K156" s="158">
        <f ca="1">OFFSET(Org_dat!$D$5,$H156,0)</f>
        <v>11.981940689998481</v>
      </c>
      <c r="L156" s="34">
        <f ca="1">OFFSET(Org_dat!$E$5,$H156,0)</f>
        <v>5493000</v>
      </c>
      <c r="M156" s="34">
        <f ca="1">OFFSET(Org_dat!$F$5,$H156,0)</f>
        <v>179512.54</v>
      </c>
      <c r="N156" s="35">
        <f ca="1">OFFSET(Org_dat!$G$5,$H156,0)</f>
        <v>3.2680236664846173E-2</v>
      </c>
      <c r="O156" s="35">
        <f ca="1">OFFSET(Org_dat!$H$5,$H156,0)</f>
        <v>0.30309999999999998</v>
      </c>
      <c r="P156" s="34">
        <f ca="1">OFFSET(Org_dat!$I$5,$H156,0)</f>
        <v>287142.65999999997</v>
      </c>
      <c r="Q156" s="35">
        <f ca="1">OFFSET(Org_dat!$J$5,$H156,0)</f>
        <v>5.2274287274713269E-2</v>
      </c>
      <c r="R156" s="35">
        <f ca="1">OFFSET(Org_dat!$K$5,$H156,0)</f>
        <v>0.17246548094593622</v>
      </c>
      <c r="S156" s="34">
        <f ca="1">OFFSET(Org_dat!$L$5,$H156,0)</f>
        <v>135593.65</v>
      </c>
      <c r="T156" s="35">
        <f ca="1">OFFSET(Org_dat!$M$5,$H156,0)</f>
        <v>0.3207523148413724</v>
      </c>
    </row>
    <row r="157" spans="2:20" x14ac:dyDescent="0.2">
      <c r="B157" s="342">
        <f>Org_dat!K153+(C157/100000)</f>
        <v>1.0382178201731143</v>
      </c>
      <c r="C157" s="31">
        <f>Org_dat!B153</f>
        <v>148</v>
      </c>
      <c r="D157" s="32" t="str">
        <f>Org_dat!C153</f>
        <v>ZŠ O-Muglinov</v>
      </c>
      <c r="E157" s="33">
        <f ca="1">OFFSET(Org_dat!$C153,0,OrgSortCriteria)</f>
        <v>60.069015015015012</v>
      </c>
      <c r="F157" s="33">
        <f t="shared" ca="1" si="18"/>
        <v>60.069015016053228</v>
      </c>
      <c r="G157" s="33">
        <f t="shared" ca="1" si="16"/>
        <v>11.055118701117923</v>
      </c>
      <c r="H157" s="31">
        <f t="shared" ca="1" si="17"/>
        <v>76</v>
      </c>
      <c r="J157" s="32" t="str">
        <f ca="1">OFFSET(Org_dat!$C$5,$H157,0)</f>
        <v>MŠ Polanka</v>
      </c>
      <c r="K157" s="158">
        <f ca="1">OFFSET(Org_dat!$D$5,$H157,0)</f>
        <v>11.055118700941959</v>
      </c>
      <c r="L157" s="34">
        <f ca="1">OFFSET(Org_dat!$E$5,$H157,0)</f>
        <v>1311623.25</v>
      </c>
      <c r="M157" s="34">
        <f ca="1">OFFSET(Org_dat!$F$5,$H157,0)</f>
        <v>14241.96</v>
      </c>
      <c r="N157" s="35">
        <f ca="1">OFFSET(Org_dat!$G$5,$H157,0)</f>
        <v>1.0858270467529452E-2</v>
      </c>
      <c r="O157" s="35">
        <f ca="1">OFFSET(Org_dat!$H$5,$H157,0)</f>
        <v>0.23899999999999999</v>
      </c>
      <c r="P157" s="34">
        <f ca="1">OFFSET(Org_dat!$I$5,$H157,0)</f>
        <v>54922.409999999996</v>
      </c>
      <c r="Q157" s="35">
        <f ca="1">OFFSET(Org_dat!$J$5,$H157,0)</f>
        <v>4.1873617290635858E-2</v>
      </c>
      <c r="R157" s="35">
        <f ca="1">OFFSET(Org_dat!$K$5,$H157,0)</f>
        <v>0.17520341962609143</v>
      </c>
      <c r="S157" s="34">
        <f ca="1">OFFSET(Org_dat!$L$5,$H157,0)</f>
        <v>37774.800000000003</v>
      </c>
      <c r="T157" s="35">
        <f ca="1">OFFSET(Org_dat!$M$5,$H157,0)</f>
        <v>0.40750741041720678</v>
      </c>
    </row>
    <row r="158" spans="2:20" x14ac:dyDescent="0.2">
      <c r="B158" s="342">
        <f>Org_dat!K154+(C158/100000)</f>
        <v>0.26815487792649778</v>
      </c>
      <c r="C158" s="31">
        <f>Org_dat!B154</f>
        <v>149</v>
      </c>
      <c r="D158" s="32" t="str">
        <f>Org_dat!C154</f>
        <v>ZŠ O-Nová Bělá</v>
      </c>
      <c r="E158" s="33">
        <f ca="1">OFFSET(Org_dat!$C154,0,OrgSortCriteria)</f>
        <v>21.627577924018667</v>
      </c>
      <c r="F158" s="33">
        <f t="shared" ca="1" si="18"/>
        <v>21.627577924286822</v>
      </c>
      <c r="G158" s="33">
        <f t="shared" ca="1" si="16"/>
        <v>10.973579059932076</v>
      </c>
      <c r="H158" s="31">
        <f t="shared" ca="1" si="17"/>
        <v>123</v>
      </c>
      <c r="J158" s="32" t="str">
        <f ca="1">OFFSET(Org_dat!$C$5,$H158,0)</f>
        <v>Waldorfská ZŠ a MŠ MO a Přívoz</v>
      </c>
      <c r="K158" s="158">
        <f ca="1">OFFSET(Org_dat!$D$5,$H158,0)</f>
        <v>10.97357905987853</v>
      </c>
      <c r="L158" s="34">
        <f ca="1">OFFSET(Org_dat!$E$5,$H158,0)</f>
        <v>1378500</v>
      </c>
      <c r="M158" s="34">
        <f ca="1">OFFSET(Org_dat!$F$5,$H158,0)</f>
        <v>216000.83</v>
      </c>
      <c r="N158" s="35">
        <f ca="1">OFFSET(Org_dat!$G$5,$H158,0)</f>
        <v>0.1566926586869786</v>
      </c>
      <c r="O158" s="35">
        <f ca="1">OFFSET(Org_dat!$H$5,$H158,0)</f>
        <v>3.7600000000000001E-2</v>
      </c>
      <c r="P158" s="34">
        <f ca="1">OFFSET(Org_dat!$I$5,$H158,0)</f>
        <v>2711.61</v>
      </c>
      <c r="Q158" s="35">
        <f ca="1">OFFSET(Org_dat!$J$5,$H158,0)</f>
        <v>1.9670729053318826E-3</v>
      </c>
      <c r="R158" s="35">
        <f ca="1">OFFSET(Org_dat!$K$5,$H158,0)</f>
        <v>5.2315768758826667E-2</v>
      </c>
      <c r="S158" s="34">
        <f ca="1">OFFSET(Org_dat!$L$5,$H158,0)</f>
        <v>19168.29</v>
      </c>
      <c r="T158" s="35">
        <f ca="1">OFFSET(Org_dat!$M$5,$H158,0)</f>
        <v>0.87606844638229608</v>
      </c>
    </row>
    <row r="159" spans="2:20" x14ac:dyDescent="0.2">
      <c r="B159" s="342">
        <f>Org_dat!K155+(C159/100000)</f>
        <v>0.81873161738746514</v>
      </c>
      <c r="C159" s="31">
        <f>Org_dat!B155</f>
        <v>150</v>
      </c>
      <c r="D159" s="32" t="str">
        <f>Org_dat!C155</f>
        <v>ZŠ O-Petřkovice</v>
      </c>
      <c r="E159" s="33">
        <f ca="1">OFFSET(Org_dat!$C155,0,OrgSortCriteria)</f>
        <v>55.55857870241833</v>
      </c>
      <c r="F159" s="33">
        <f t="shared" ca="1" si="18"/>
        <v>55.55857870323706</v>
      </c>
      <c r="G159" s="33">
        <f t="shared" ca="1" si="16"/>
        <v>10.90850117853936</v>
      </c>
      <c r="H159" s="31">
        <f t="shared" ca="1" si="17"/>
        <v>45</v>
      </c>
      <c r="J159" s="32" t="str">
        <f ca="1">OFFSET(Org_dat!$C$5,$H159,0)</f>
        <v>MŠ Dvořákova</v>
      </c>
      <c r="K159" s="158">
        <f ca="1">OFFSET(Org_dat!$D$5,$H159,0)</f>
        <v>10.908501178357103</v>
      </c>
      <c r="L159" s="34">
        <f ca="1">OFFSET(Org_dat!$E$5,$H159,0)</f>
        <v>474000</v>
      </c>
      <c r="M159" s="34">
        <f ca="1">OFFSET(Org_dat!$F$5,$H159,0)</f>
        <v>0</v>
      </c>
      <c r="N159" s="35">
        <f ca="1">OFFSET(Org_dat!$G$5,$H159,0)</f>
        <v>0</v>
      </c>
      <c r="O159" s="35">
        <f ca="1">OFFSET(Org_dat!$H$5,$H159,0)</f>
        <v>5.21E-2</v>
      </c>
      <c r="P159" s="34">
        <f ca="1">OFFSET(Org_dat!$I$5,$H159,0)</f>
        <v>4489.83</v>
      </c>
      <c r="Q159" s="35">
        <f ca="1">OFFSET(Org_dat!$J$5,$H159,0)</f>
        <v>9.4722151898734182E-3</v>
      </c>
      <c r="R159" s="35">
        <f ca="1">OFFSET(Org_dat!$K$5,$H159,0)</f>
        <v>0.18180835297261838</v>
      </c>
      <c r="S159" s="34">
        <f ca="1">OFFSET(Org_dat!$L$5,$H159,0)</f>
        <v>6040.8</v>
      </c>
      <c r="T159" s="35">
        <f ca="1">OFFSET(Org_dat!$M$5,$H159,0)</f>
        <v>0.57364089327988921</v>
      </c>
    </row>
    <row r="160" spans="2:20" x14ac:dyDescent="0.2">
      <c r="B160" s="342">
        <f>Org_dat!K156+(C160/100000)</f>
        <v>6.1218438124298134E-2</v>
      </c>
      <c r="C160" s="31">
        <f>Org_dat!B156</f>
        <v>151</v>
      </c>
      <c r="D160" s="32" t="str">
        <f>Org_dat!C156</f>
        <v>ZŠ O-Polanka n/O</v>
      </c>
      <c r="E160" s="33">
        <f ca="1">OFFSET(Org_dat!$C156,0,OrgSortCriteria)</f>
        <v>3.5967353765618841</v>
      </c>
      <c r="F160" s="33">
        <f t="shared" ca="1" si="18"/>
        <v>3.5967353766231027</v>
      </c>
      <c r="G160" s="33">
        <f t="shared" ca="1" si="16"/>
        <v>10.85599786108204</v>
      </c>
      <c r="H160" s="31">
        <f t="shared" ca="1" si="17"/>
        <v>119</v>
      </c>
      <c r="J160" s="32" t="str">
        <f ca="1">OFFSET(Org_dat!$C$5,$H160,0)</f>
        <v>ÚMOb Stará Bělá</v>
      </c>
      <c r="K160" s="158">
        <f ca="1">OFFSET(Org_dat!$D$5,$H160,0)</f>
        <v>10.855997860957036</v>
      </c>
      <c r="L160" s="34">
        <f ca="1">OFFSET(Org_dat!$E$5,$H160,0)</f>
        <v>2709750</v>
      </c>
      <c r="M160" s="34">
        <f ca="1">OFFSET(Org_dat!$F$5,$H160,0)</f>
        <v>185733.3</v>
      </c>
      <c r="N160" s="35">
        <f ca="1">OFFSET(Org_dat!$G$5,$H160,0)</f>
        <v>6.854259618045945E-2</v>
      </c>
      <c r="O160" s="35">
        <f ca="1">OFFSET(Org_dat!$H$5,$H160,0)</f>
        <v>0.25922545144779635</v>
      </c>
      <c r="P160" s="34">
        <f ca="1">OFFSET(Org_dat!$I$5,$H160,0)</f>
        <v>86971.760000000009</v>
      </c>
      <c r="Q160" s="35">
        <f ca="1">OFFSET(Org_dat!$J$5,$H160,0)</f>
        <v>3.2095861241811977E-2</v>
      </c>
      <c r="R160" s="35">
        <f ca="1">OFFSET(Org_dat!$K$5,$H160,0)</f>
        <v>0.12381446753223438</v>
      </c>
      <c r="S160" s="34">
        <f ca="1">OFFSET(Org_dat!$L$5,$H160,0)</f>
        <v>77999.37</v>
      </c>
      <c r="T160" s="35">
        <f ca="1">OFFSET(Org_dat!$M$5,$H160,0)</f>
        <v>0.47280618129972191</v>
      </c>
    </row>
    <row r="161" spans="2:21" x14ac:dyDescent="0.2">
      <c r="B161" s="342">
        <f>Org_dat!K157+(C161/100000)</f>
        <v>0.18794296530159621</v>
      </c>
      <c r="C161" s="31">
        <f>Org_dat!B157</f>
        <v>152</v>
      </c>
      <c r="D161" s="32" t="str">
        <f>Org_dat!C157</f>
        <v>ZŠ O-Poruba, A.Hrdličky</v>
      </c>
      <c r="E161" s="33">
        <f ca="1">OFFSET(Org_dat!$C157,0,OrgSortCriteria)</f>
        <v>37.738448536616609</v>
      </c>
      <c r="F161" s="33">
        <f t="shared" ca="1" si="18"/>
        <v>37.738448536804555</v>
      </c>
      <c r="G161" s="33">
        <f t="shared" ca="1" si="16"/>
        <v>10.491862056592344</v>
      </c>
      <c r="H161" s="31">
        <f t="shared" ca="1" si="17"/>
        <v>134</v>
      </c>
      <c r="J161" s="32" t="str">
        <f ca="1">OFFSET(Org_dat!$C$5,$H161,0)</f>
        <v>ZŠ a MŠ O-Zábřeh, Březinova</v>
      </c>
      <c r="K161" s="158">
        <f ca="1">OFFSET(Org_dat!$D$5,$H161,0)</f>
        <v>10.49186205642023</v>
      </c>
      <c r="L161" s="34">
        <f ca="1">OFFSET(Org_dat!$E$5,$H161,0)</f>
        <v>2921592</v>
      </c>
      <c r="M161" s="34">
        <f ca="1">OFFSET(Org_dat!$F$5,$H161,0)</f>
        <v>14334.75</v>
      </c>
      <c r="N161" s="35">
        <f ca="1">OFFSET(Org_dat!$G$5,$H161,0)</f>
        <v>4.9064859158979074E-3</v>
      </c>
      <c r="O161" s="35">
        <f ca="1">OFFSET(Org_dat!$H$5,$H161,0)</f>
        <v>0.17460000000000001</v>
      </c>
      <c r="P161" s="34">
        <f ca="1">OFFSET(Org_dat!$I$5,$H161,0)</f>
        <v>87114.349999999991</v>
      </c>
      <c r="Q161" s="35">
        <f ca="1">OFFSET(Org_dat!$J$5,$H161,0)</f>
        <v>2.9817424883419721E-2</v>
      </c>
      <c r="R161" s="35">
        <f ca="1">OFFSET(Org_dat!$K$5,$H161,0)</f>
        <v>0.17077562934375556</v>
      </c>
      <c r="S161" s="34">
        <f ca="1">OFFSET(Org_dat!$L$5,$H161,0)</f>
        <v>57894.380000000005</v>
      </c>
      <c r="T161" s="35">
        <f ca="1">OFFSET(Org_dat!$M$5,$H161,0)</f>
        <v>0.39924754875103047</v>
      </c>
    </row>
    <row r="162" spans="2:21" x14ac:dyDescent="0.2">
      <c r="B162" s="342">
        <f>Org_dat!K158+(C162/100000)</f>
        <v>0.12855794936980672</v>
      </c>
      <c r="C162" s="31">
        <f>Org_dat!B158</f>
        <v>153</v>
      </c>
      <c r="D162" s="32" t="str">
        <f>Org_dat!C158</f>
        <v>ZŠ O-Poruba, Bulharská</v>
      </c>
      <c r="E162" s="33">
        <f ca="1">OFFSET(Org_dat!$C158,0,OrgSortCriteria)</f>
        <v>21.502639396511618</v>
      </c>
      <c r="F162" s="33">
        <f t="shared" ca="1" si="18"/>
        <v>21.502639396640177</v>
      </c>
      <c r="G162" s="33">
        <f t="shared" ca="1" si="16"/>
        <v>10.453103508395696</v>
      </c>
      <c r="H162" s="31">
        <f t="shared" ca="1" si="17"/>
        <v>85</v>
      </c>
      <c r="J162" s="32" t="str">
        <f ca="1">OFFSET(Org_dat!$C$5,$H162,0)</f>
        <v>MŠ Za Školou</v>
      </c>
      <c r="K162" s="158">
        <f ca="1">OFFSET(Org_dat!$D$5,$H162,0)</f>
        <v>10.453103508231532</v>
      </c>
      <c r="L162" s="34">
        <f ca="1">OFFSET(Org_dat!$E$5,$H162,0)</f>
        <v>3285375</v>
      </c>
      <c r="M162" s="34">
        <f ca="1">OFFSET(Org_dat!$F$5,$H162,0)</f>
        <v>42989.97</v>
      </c>
      <c r="N162" s="35">
        <f ca="1">OFFSET(Org_dat!$G$5,$H162,0)</f>
        <v>1.30852551078644E-2</v>
      </c>
      <c r="O162" s="35">
        <f ca="1">OFFSET(Org_dat!$H$5,$H162,0)</f>
        <v>0.29199999999999998</v>
      </c>
      <c r="P162" s="34">
        <f ca="1">OFFSET(Org_dat!$I$5,$H162,0)</f>
        <v>156671.95000000001</v>
      </c>
      <c r="Q162" s="35">
        <f ca="1">OFFSET(Org_dat!$J$5,$H162,0)</f>
        <v>4.7687691663813113E-2</v>
      </c>
      <c r="R162" s="35">
        <f ca="1">OFFSET(Org_dat!$K$5,$H162,0)</f>
        <v>0.16331401254730521</v>
      </c>
      <c r="S162" s="34">
        <f ca="1">OFFSET(Org_dat!$L$5,$H162,0)</f>
        <v>100973.13</v>
      </c>
      <c r="T162" s="35">
        <f ca="1">OFFSET(Org_dat!$M$5,$H162,0)</f>
        <v>0.39190785246122301</v>
      </c>
    </row>
    <row r="163" spans="2:21" x14ac:dyDescent="0.2">
      <c r="B163" s="342">
        <f>Org_dat!K159+(C163/100000)</f>
        <v>0.99284168539483963</v>
      </c>
      <c r="C163" s="31">
        <f>Org_dat!B159</f>
        <v>154</v>
      </c>
      <c r="D163" s="32" t="str">
        <f>Org_dat!C159</f>
        <v>ZŠ O-Poruba, Dětská</v>
      </c>
      <c r="E163" s="33">
        <f ca="1">OFFSET(Org_dat!$C159,0,OrgSortCriteria)</f>
        <v>83.02914213543383</v>
      </c>
      <c r="F163" s="33">
        <f t="shared" ca="1" si="18"/>
        <v>83.029142136426671</v>
      </c>
      <c r="G163" s="33">
        <f t="shared" ca="1" si="16"/>
        <v>9.5215624293019641</v>
      </c>
      <c r="H163" s="31">
        <f t="shared" ca="1" si="17"/>
        <v>101</v>
      </c>
      <c r="J163" s="32" t="str">
        <f ca="1">OFFSET(Org_dat!$C$5,$H163,0)</f>
        <v>ÚMOb Hrabová</v>
      </c>
      <c r="K163" s="158">
        <f ca="1">OFFSET(Org_dat!$D$5,$H163,0)</f>
        <v>9.5215624291432999</v>
      </c>
      <c r="L163" s="34">
        <f ca="1">OFFSET(Org_dat!$E$5,$H163,0)</f>
        <v>9206250</v>
      </c>
      <c r="M163" s="34">
        <f ca="1">OFFSET(Org_dat!$F$5,$H163,0)</f>
        <v>11476.5</v>
      </c>
      <c r="N163" s="35">
        <f ca="1">OFFSET(Org_dat!$G$5,$H163,0)</f>
        <v>1.2465987780040733E-3</v>
      </c>
      <c r="O163" s="35">
        <f ca="1">OFFSET(Org_dat!$H$5,$H163,0)</f>
        <v>0.24360000000000001</v>
      </c>
      <c r="P163" s="34">
        <f ca="1">OFFSET(Org_dat!$I$5,$H163,0)</f>
        <v>353561.28</v>
      </c>
      <c r="Q163" s="35">
        <f ca="1">OFFSET(Org_dat!$J$5,$H163,0)</f>
        <v>3.840448391038697E-2</v>
      </c>
      <c r="R163" s="35">
        <f ca="1">OFFSET(Org_dat!$K$5,$H163,0)</f>
        <v>0.15765387483738494</v>
      </c>
      <c r="S163" s="34">
        <f ca="1">OFFSET(Org_dat!$L$5,$H163,0)</f>
        <v>284982.59999999998</v>
      </c>
      <c r="T163" s="35">
        <f ca="1">OFFSET(Org_dat!$M$5,$H163,0)</f>
        <v>0.44630073034291706</v>
      </c>
    </row>
    <row r="164" spans="2:21" x14ac:dyDescent="0.2">
      <c r="B164" s="342">
        <f>Org_dat!K160+(C164/100000)</f>
        <v>0.62442396191028349</v>
      </c>
      <c r="C164" s="31">
        <f>Org_dat!B160</f>
        <v>155</v>
      </c>
      <c r="D164" s="32" t="str">
        <f>Org_dat!C160</f>
        <v>ZŠ O-Poruba, I.Sekaniny</v>
      </c>
      <c r="E164" s="33">
        <f ca="1">OFFSET(Org_dat!$C160,0,OrgSortCriteria)</f>
        <v>52.125351973501722</v>
      </c>
      <c r="F164" s="33">
        <f t="shared" ca="1" si="18"/>
        <v>52.125351974126147</v>
      </c>
      <c r="G164" s="33">
        <f t="shared" ca="1" si="16"/>
        <v>8.4484606260729809</v>
      </c>
      <c r="H164" s="31">
        <f t="shared" ca="1" si="17"/>
        <v>73</v>
      </c>
      <c r="J164" s="32" t="str">
        <f ca="1">OFFSET(Org_dat!$C$5,$H164,0)</f>
        <v>MŠ O-Stará Bělá</v>
      </c>
      <c r="K164" s="158">
        <f ca="1">OFFSET(Org_dat!$D$5,$H164,0)</f>
        <v>8.4484606259336683</v>
      </c>
      <c r="L164" s="34">
        <f ca="1">OFFSET(Org_dat!$E$5,$H164,0)</f>
        <v>1163250</v>
      </c>
      <c r="M164" s="34">
        <f ca="1">OFFSET(Org_dat!$F$5,$H164,0)</f>
        <v>3104.82</v>
      </c>
      <c r="N164" s="35">
        <f ca="1">OFFSET(Org_dat!$G$5,$H164,0)</f>
        <v>2.6690909090909092E-3</v>
      </c>
      <c r="O164" s="35">
        <f ca="1">OFFSET(Org_dat!$H$5,$H164,0)</f>
        <v>0.1142</v>
      </c>
      <c r="P164" s="34">
        <f ca="1">OFFSET(Org_dat!$I$5,$H164,0)</f>
        <v>18409.86</v>
      </c>
      <c r="Q164" s="35">
        <f ca="1">OFFSET(Org_dat!$J$5,$H164,0)</f>
        <v>1.5826228239845263E-2</v>
      </c>
      <c r="R164" s="35">
        <f ca="1">OFFSET(Org_dat!$K$5,$H164,0)</f>
        <v>0.13858343467465203</v>
      </c>
      <c r="S164" s="34">
        <f ca="1">OFFSET(Org_dat!$L$5,$H164,0)</f>
        <v>12885.18</v>
      </c>
      <c r="T164" s="35">
        <f ca="1">OFFSET(Org_dat!$M$5,$H164,0)</f>
        <v>0.41173233841528883</v>
      </c>
    </row>
    <row r="165" spans="2:21" x14ac:dyDescent="0.2">
      <c r="B165" s="342">
        <f>Org_dat!K161+(C165/100000)</f>
        <v>0.42008371836688069</v>
      </c>
      <c r="C165" s="31">
        <f>Org_dat!B161</f>
        <v>156</v>
      </c>
      <c r="D165" s="32" t="str">
        <f>Org_dat!C161</f>
        <v>ZŠ O-Poruba, J.Šoupala</v>
      </c>
      <c r="E165" s="33">
        <f ca="1">OFFSET(Org_dat!$C161,0,OrgSortCriteria)</f>
        <v>48.714019510700993</v>
      </c>
      <c r="F165" s="33">
        <f t="shared" ca="1" si="18"/>
        <v>48.71401951112108</v>
      </c>
      <c r="G165" s="33">
        <f t="shared" ca="1" si="16"/>
        <v>8.4051166473096384</v>
      </c>
      <c r="H165" s="31">
        <f t="shared" ca="1" si="17"/>
        <v>143</v>
      </c>
      <c r="J165" s="32" t="str">
        <f ca="1">OFFSET(Org_dat!$C$5,$H165,0)</f>
        <v>ZŠ O-Hrabová, Paskovská</v>
      </c>
      <c r="K165" s="158">
        <f ca="1">OFFSET(Org_dat!$D$5,$H165,0)</f>
        <v>8.4051166471681231</v>
      </c>
      <c r="L165" s="34">
        <f ca="1">OFFSET(Org_dat!$E$5,$H165,0)</f>
        <v>3564000</v>
      </c>
      <c r="M165" s="34">
        <f ca="1">OFFSET(Org_dat!$F$5,$H165,0)</f>
        <v>0</v>
      </c>
      <c r="N165" s="35">
        <f ca="1">OFFSET(Org_dat!$G$5,$H165,0)</f>
        <v>0</v>
      </c>
      <c r="O165" s="35">
        <f ca="1">OFFSET(Org_dat!$H$5,$H165,0)</f>
        <v>0.26419999999999999</v>
      </c>
      <c r="P165" s="34">
        <f ca="1">OFFSET(Org_dat!$I$5,$H165,0)</f>
        <v>131905.53</v>
      </c>
      <c r="Q165" s="35">
        <f ca="1">OFFSET(Org_dat!$J$5,$H165,0)</f>
        <v>3.7010530303030302E-2</v>
      </c>
      <c r="R165" s="35">
        <f ca="1">OFFSET(Org_dat!$K$5,$H165,0)</f>
        <v>0.14008527745280205</v>
      </c>
      <c r="S165" s="34">
        <f ca="1">OFFSET(Org_dat!$L$5,$H165,0)</f>
        <v>96623.37</v>
      </c>
      <c r="T165" s="35">
        <f ca="1">OFFSET(Org_dat!$M$5,$H165,0)</f>
        <v>0.42280591207501544</v>
      </c>
    </row>
    <row r="166" spans="2:21" x14ac:dyDescent="0.2">
      <c r="B166" s="342">
        <f>Org_dat!K162+(C166/100000)</f>
        <v>0.4214757325965276</v>
      </c>
      <c r="C166" s="31">
        <f>Org_dat!B162</f>
        <v>157</v>
      </c>
      <c r="D166" s="32" t="str">
        <f>Org_dat!C162</f>
        <v>ZŠ O-Poruba, J.Valčíka</v>
      </c>
      <c r="E166" s="33">
        <f ca="1">OFFSET(Org_dat!$C162,0,OrgSortCriteria)</f>
        <v>29.170213567013615</v>
      </c>
      <c r="F166" s="33">
        <f t="shared" ca="1" si="18"/>
        <v>29.170213567435091</v>
      </c>
      <c r="G166" s="33">
        <f t="shared" ca="1" si="16"/>
        <v>8.0848557782293451</v>
      </c>
      <c r="H166" s="31">
        <f t="shared" ca="1" si="17"/>
        <v>84</v>
      </c>
      <c r="J166" s="32" t="str">
        <f ca="1">OFFSET(Org_dat!$C$5,$H166,0)</f>
        <v>MŠ Volgogradská</v>
      </c>
      <c r="K166" s="158">
        <f ca="1">OFFSET(Org_dat!$D$5,$H166,0)</f>
        <v>8.0848557781013977</v>
      </c>
      <c r="L166" s="34">
        <f ca="1">OFFSET(Org_dat!$E$5,$H166,0)</f>
        <v>2828250</v>
      </c>
      <c r="M166" s="34">
        <f ca="1">OFFSET(Org_dat!$F$5,$H166,0)</f>
        <v>25929.49</v>
      </c>
      <c r="N166" s="35">
        <f ca="1">OFFSET(Org_dat!$G$5,$H166,0)</f>
        <v>9.1680332361000622E-3</v>
      </c>
      <c r="O166" s="35">
        <f ca="1">OFFSET(Org_dat!$H$5,$H166,0)</f>
        <v>0.20949999999999999</v>
      </c>
      <c r="P166" s="34">
        <f ca="1">OFFSET(Org_dat!$I$5,$H166,0)</f>
        <v>75313.570000000007</v>
      </c>
      <c r="Q166" s="35">
        <f ca="1">OFFSET(Org_dat!$J$5,$H166,0)</f>
        <v>2.6629035622734908E-2</v>
      </c>
      <c r="R166" s="35">
        <f ca="1">OFFSET(Org_dat!$K$5,$H166,0)</f>
        <v>0.12710756860493991</v>
      </c>
      <c r="S166" s="34">
        <f ca="1">OFFSET(Org_dat!$L$5,$H166,0)</f>
        <v>44555.71</v>
      </c>
      <c r="T166" s="35">
        <f ca="1">OFFSET(Org_dat!$M$5,$H166,0)</f>
        <v>0.37170249124713189</v>
      </c>
    </row>
    <row r="167" spans="2:21" x14ac:dyDescent="0.2">
      <c r="B167" s="342">
        <f>Org_dat!K163+(C167/100000)</f>
        <v>8.8981090137502716E-2</v>
      </c>
      <c r="C167" s="31">
        <f>Org_dat!B163</f>
        <v>158</v>
      </c>
      <c r="D167" s="32" t="str">
        <f>Org_dat!C163</f>
        <v>ZŠ O-Poruba, K.Pokorného</v>
      </c>
      <c r="E167" s="33">
        <f ca="1">OFFSET(Org_dat!$C163,0,OrgSortCriteria)</f>
        <v>21.02342186714808</v>
      </c>
      <c r="F167" s="33">
        <f t="shared" ca="1" si="18"/>
        <v>21.023421867237062</v>
      </c>
      <c r="G167" s="33">
        <f t="shared" ca="1" si="16"/>
        <v>7.5159933881585372</v>
      </c>
      <c r="H167" s="31">
        <f t="shared" ca="1" si="17"/>
        <v>77</v>
      </c>
      <c r="J167" s="32" t="str">
        <f ca="1">OFFSET(Org_dat!$C$5,$H167,0)</f>
        <v>MŠ Repinova</v>
      </c>
      <c r="K167" s="158">
        <f ca="1">OFFSET(Org_dat!$D$5,$H167,0)</f>
        <v>7.5159933880359198</v>
      </c>
      <c r="L167" s="34">
        <f ca="1">OFFSET(Org_dat!$E$5,$H167,0)</f>
        <v>1086000</v>
      </c>
      <c r="M167" s="34">
        <f ca="1">OFFSET(Org_dat!$F$5,$H167,0)</f>
        <v>4455.84</v>
      </c>
      <c r="N167" s="35">
        <f ca="1">OFFSET(Org_dat!$G$5,$H167,0)</f>
        <v>4.1029834254143645E-3</v>
      </c>
      <c r="O167" s="35">
        <f ca="1">OFFSET(Org_dat!$H$5,$H167,0)</f>
        <v>0.1484</v>
      </c>
      <c r="P167" s="34">
        <f ca="1">OFFSET(Org_dat!$I$5,$H167,0)</f>
        <v>19637.22</v>
      </c>
      <c r="Q167" s="35">
        <f ca="1">OFFSET(Org_dat!$J$5,$H167,0)</f>
        <v>1.8082154696132599E-2</v>
      </c>
      <c r="R167" s="35">
        <f ca="1">OFFSET(Org_dat!$K$5,$H167,0)</f>
        <v>0.12184740361275335</v>
      </c>
      <c r="S167" s="34">
        <f ca="1">OFFSET(Org_dat!$L$5,$H167,0)</f>
        <v>19461.060000000001</v>
      </c>
      <c r="T167" s="35">
        <f ca="1">OFFSET(Org_dat!$M$5,$H167,0)</f>
        <v>0.49774721547853262</v>
      </c>
    </row>
    <row r="168" spans="2:21" x14ac:dyDescent="0.2">
      <c r="B168" s="342">
        <f>Org_dat!K164+(C168/100000)</f>
        <v>0.62261523480292924</v>
      </c>
      <c r="C168" s="31">
        <f>Org_dat!B164</f>
        <v>159</v>
      </c>
      <c r="D168" s="32" t="str">
        <f>Org_dat!C164</f>
        <v>ZŠ O-Poruba, Komenského</v>
      </c>
      <c r="E168" s="33">
        <f ca="1">OFFSET(Org_dat!$C164,0,OrgSortCriteria)</f>
        <v>77.261514088175758</v>
      </c>
      <c r="F168" s="33">
        <f t="shared" ca="1" si="18"/>
        <v>77.261514088798378</v>
      </c>
      <c r="G168" s="33">
        <f t="shared" ca="1" si="16"/>
        <v>6.8752119525480619</v>
      </c>
      <c r="H168" s="31">
        <f t="shared" ca="1" si="17"/>
        <v>167</v>
      </c>
      <c r="J168" s="32" t="str">
        <f ca="1">OFFSET(Org_dat!$C$5,$H168,0)</f>
        <v>ZŠ O-Zábřeh, Jugoslávská</v>
      </c>
      <c r="K168" s="158">
        <f ca="1">OFFSET(Org_dat!$D$5,$H168,0)</f>
        <v>6.8752119524344186</v>
      </c>
      <c r="L168" s="34">
        <f ca="1">OFFSET(Org_dat!$E$5,$H168,0)</f>
        <v>3346125</v>
      </c>
      <c r="M168" s="34">
        <f ca="1">OFFSET(Org_dat!$F$5,$H168,0)</f>
        <v>10494.32</v>
      </c>
      <c r="N168" s="35">
        <f ca="1">OFFSET(Org_dat!$G$5,$H168,0)</f>
        <v>3.1362605999477005E-3</v>
      </c>
      <c r="O168" s="35">
        <f ca="1">OFFSET(Org_dat!$H$5,$H168,0)</f>
        <v>0.1696</v>
      </c>
      <c r="P168" s="34">
        <f ca="1">OFFSET(Org_dat!$I$5,$H168,0)</f>
        <v>63545.17</v>
      </c>
      <c r="Q168" s="35">
        <f ca="1">OFFSET(Org_dat!$J$5,$H168,0)</f>
        <v>1.8990674287422016E-2</v>
      </c>
      <c r="R168" s="35">
        <f ca="1">OFFSET(Org_dat!$K$5,$H168,0)</f>
        <v>0.11197331537395057</v>
      </c>
      <c r="S168" s="34">
        <f ca="1">OFFSET(Org_dat!$L$5,$H168,0)</f>
        <v>61238.869999999995</v>
      </c>
      <c r="T168" s="35">
        <f ca="1">OFFSET(Org_dat!$M$5,$H168,0)</f>
        <v>0.49075883422270988</v>
      </c>
    </row>
    <row r="169" spans="2:21" x14ac:dyDescent="0.2">
      <c r="B169" s="342">
        <f>Org_dat!K165+(C169/100000)</f>
        <v>0.71972073600909447</v>
      </c>
      <c r="C169" s="31">
        <f>Org_dat!B165</f>
        <v>160</v>
      </c>
      <c r="D169" s="32" t="str">
        <f>Org_dat!C165</f>
        <v>ZŠ O-Poruba, Porubská 832</v>
      </c>
      <c r="E169" s="33">
        <f ca="1">OFFSET(Org_dat!$C165,0,OrgSortCriteria)</f>
        <v>52.945650290813866</v>
      </c>
      <c r="F169" s="33">
        <f t="shared" ca="1" si="18"/>
        <v>52.945650291533589</v>
      </c>
      <c r="G169" s="33">
        <f t="shared" ca="1" si="16"/>
        <v>5.9421321118874326</v>
      </c>
      <c r="H169" s="31">
        <f t="shared" ca="1" si="17"/>
        <v>81</v>
      </c>
      <c r="J169" s="32" t="str">
        <f ca="1">OFFSET(Org_dat!$C$5,$H169,0)</f>
        <v>MŠ Špálova</v>
      </c>
      <c r="K169" s="158">
        <f ca="1">OFFSET(Org_dat!$D$5,$H169,0)</f>
        <v>5.9421321117875872</v>
      </c>
      <c r="L169" s="34">
        <f ca="1">OFFSET(Org_dat!$E$5,$H169,0)</f>
        <v>803250</v>
      </c>
      <c r="M169" s="34">
        <f ca="1">OFFSET(Org_dat!$F$5,$H169,0)</f>
        <v>0</v>
      </c>
      <c r="N169" s="35">
        <f ca="1">OFFSET(Org_dat!$G$5,$H169,0)</f>
        <v>0</v>
      </c>
      <c r="O169" s="35">
        <f ca="1">OFFSET(Org_dat!$H$5,$H169,0)</f>
        <v>0.18729999999999999</v>
      </c>
      <c r="P169" s="34">
        <f ca="1">OFFSET(Org_dat!$I$5,$H169,0)</f>
        <v>14899.77</v>
      </c>
      <c r="Q169" s="35">
        <f ca="1">OFFSET(Org_dat!$J$5,$H169,0)</f>
        <v>1.8549355742296918E-2</v>
      </c>
      <c r="R169" s="35">
        <f ca="1">OFFSET(Org_dat!$K$5,$H169,0)</f>
        <v>9.9035535196459787E-2</v>
      </c>
      <c r="S169" s="34">
        <f ca="1">OFFSET(Org_dat!$L$5,$H169,0)</f>
        <v>13289.85</v>
      </c>
      <c r="T169" s="35">
        <f ca="1">OFFSET(Org_dat!$M$5,$H169,0)</f>
        <v>0.4714448084082013</v>
      </c>
    </row>
    <row r="170" spans="2:21" x14ac:dyDescent="0.2">
      <c r="B170" s="342">
        <f>Org_dat!K166+(C170/100000)</f>
        <v>0.89042648679919711</v>
      </c>
      <c r="C170" s="31">
        <f>Org_dat!B166</f>
        <v>161</v>
      </c>
      <c r="D170" s="32" t="str">
        <f>Org_dat!C166</f>
        <v>ZŠ O-Poruba, Ukrajinská</v>
      </c>
      <c r="E170" s="33">
        <f ca="1">OFFSET(Org_dat!$C166,0,OrgSortCriteria)</f>
        <v>57.595526207728263</v>
      </c>
      <c r="F170" s="33">
        <f t="shared" ca="1" si="18"/>
        <v>57.595526208618686</v>
      </c>
      <c r="G170" s="33">
        <f t="shared" ref="G170:G185" ca="1" si="19">IF(ISERROR(LARGE($F$10:$F$185,C170)),0,LARGE($F$10:$F$185,C170))</f>
        <v>5.703184326342372</v>
      </c>
      <c r="H170" s="31">
        <f t="shared" ref="H170:H185" ca="1" si="20">MATCH(G170,$F$10:$F$185,0)</f>
        <v>125</v>
      </c>
      <c r="J170" s="32" t="str">
        <f ca="1">OFFSET(Org_dat!$C$5,$H170,0)</f>
        <v>ZŠ a MŠ O-Hošťálkovice</v>
      </c>
      <c r="K170" s="158">
        <f ca="1">OFFSET(Org_dat!$D$5,$H170,0)</f>
        <v>5.7031843262460686</v>
      </c>
      <c r="L170" s="34">
        <f ca="1">OFFSET(Org_dat!$E$5,$H170,0)</f>
        <v>2660250</v>
      </c>
      <c r="M170" s="34">
        <f ca="1">OFFSET(Org_dat!$F$5,$H170,0)</f>
        <v>0</v>
      </c>
      <c r="N170" s="35">
        <f ca="1">OFFSET(Org_dat!$G$5,$H170,0)</f>
        <v>0</v>
      </c>
      <c r="O170" s="35">
        <f ca="1">OFFSET(Org_dat!$H$5,$H170,0)</f>
        <v>0.24640000000000001</v>
      </c>
      <c r="P170" s="34">
        <f ca="1">OFFSET(Org_dat!$I$5,$H170,0)</f>
        <v>62305.919999999998</v>
      </c>
      <c r="Q170" s="35">
        <f ca="1">OFFSET(Org_dat!$J$5,$H170,0)</f>
        <v>2.3421076966450519E-2</v>
      </c>
      <c r="R170" s="35">
        <f ca="1">OFFSET(Org_dat!$K$5,$H170,0)</f>
        <v>9.5053072104101147E-2</v>
      </c>
      <c r="S170" s="34">
        <f ca="1">OFFSET(Org_dat!$L$5,$H170,0)</f>
        <v>38363.49</v>
      </c>
      <c r="T170" s="35">
        <f ca="1">OFFSET(Org_dat!$M$5,$H170,0)</f>
        <v>0.38108388635634199</v>
      </c>
    </row>
    <row r="171" spans="2:21" x14ac:dyDescent="0.2">
      <c r="B171" s="342">
        <f>Org_dat!K167+(C171/100000)</f>
        <v>1.2640409591371564</v>
      </c>
      <c r="C171" s="31">
        <f>Org_dat!B167</f>
        <v>162</v>
      </c>
      <c r="D171" s="32" t="str">
        <f>Org_dat!C167</f>
        <v>ZŠ O-Radvanice, Vrchlického</v>
      </c>
      <c r="E171" s="33">
        <f ca="1">OFFSET(Org_dat!$C167,0,OrgSortCriteria)</f>
        <v>67.697973203582265</v>
      </c>
      <c r="F171" s="33">
        <f t="shared" ca="1" si="18"/>
        <v>67.697973204846306</v>
      </c>
      <c r="G171" s="33">
        <f t="shared" ca="1" si="19"/>
        <v>5.6568092922087594</v>
      </c>
      <c r="H171" s="31">
        <f t="shared" ca="1" si="20"/>
        <v>165</v>
      </c>
      <c r="J171" s="32" t="str">
        <f ca="1">OFFSET(Org_dat!$C$5,$H171,0)</f>
        <v>ZŠ O-Výškovice, Srbská</v>
      </c>
      <c r="K171" s="158">
        <f ca="1">OFFSET(Org_dat!$D$5,$H171,0)</f>
        <v>5.656809292112829</v>
      </c>
      <c r="L171" s="34">
        <f ca="1">OFFSET(Org_dat!$E$5,$H171,0)</f>
        <v>3165750</v>
      </c>
      <c r="M171" s="34">
        <f ca="1">OFFSET(Org_dat!$F$5,$H171,0)</f>
        <v>0</v>
      </c>
      <c r="N171" s="35">
        <f ca="1">OFFSET(Org_dat!$G$5,$H171,0)</f>
        <v>0</v>
      </c>
      <c r="O171" s="35">
        <f ca="1">OFFSET(Org_dat!$H$5,$H171,0)</f>
        <v>0.21809999999999999</v>
      </c>
      <c r="P171" s="34">
        <f ca="1">OFFSET(Org_dat!$I$5,$H171,0)</f>
        <v>65095.74</v>
      </c>
      <c r="Q171" s="35">
        <f ca="1">OFFSET(Org_dat!$J$5,$H171,0)</f>
        <v>2.0562501776830135E-2</v>
      </c>
      <c r="R171" s="35">
        <f ca="1">OFFSET(Org_dat!$K$5,$H171,0)</f>
        <v>9.4280154868547156E-2</v>
      </c>
      <c r="S171" s="34">
        <f ca="1">OFFSET(Org_dat!$L$5,$H171,0)</f>
        <v>47307.15</v>
      </c>
      <c r="T171" s="35">
        <f ca="1">OFFSET(Org_dat!$M$5,$H171,0)</f>
        <v>0.42087129610279594</v>
      </c>
      <c r="U171" s="19"/>
    </row>
    <row r="172" spans="2:21" x14ac:dyDescent="0.2">
      <c r="B172" s="342">
        <f>Org_dat!K168+(C172/100000)</f>
        <v>1.1126518428044687</v>
      </c>
      <c r="C172" s="31">
        <f>Org_dat!B168</f>
        <v>163</v>
      </c>
      <c r="D172" s="32" t="str">
        <f>Org_dat!C168</f>
        <v>ZŠ O-Stará Bělá</v>
      </c>
      <c r="E172" s="33">
        <f ca="1">OFFSET(Org_dat!$C168,0,OrgSortCriteria)</f>
        <v>98.274306829471527</v>
      </c>
      <c r="F172" s="33">
        <f t="shared" ca="1" si="18"/>
        <v>98.27430683058418</v>
      </c>
      <c r="G172" s="33">
        <f t="shared" ca="1" si="19"/>
        <v>4.8313155664044727</v>
      </c>
      <c r="H172" s="31">
        <f t="shared" ca="1" si="20"/>
        <v>51</v>
      </c>
      <c r="J172" s="32" t="str">
        <f ca="1">OFFSET(Org_dat!$C$5,$H172,0)</f>
        <v>MŠ Komerční</v>
      </c>
      <c r="K172" s="158">
        <f ca="1">OFFSET(Org_dat!$D$5,$H172,0)</f>
        <v>4.8313155663234406</v>
      </c>
      <c r="L172" s="34">
        <f ca="1">OFFSET(Org_dat!$E$5,$H172,0)</f>
        <v>1905000</v>
      </c>
      <c r="M172" s="34">
        <f ca="1">OFFSET(Org_dat!$F$5,$H172,0)</f>
        <v>0</v>
      </c>
      <c r="N172" s="35">
        <f ca="1">OFFSET(Org_dat!$G$5,$H172,0)</f>
        <v>0</v>
      </c>
      <c r="O172" s="35">
        <f ca="1">OFFSET(Org_dat!$H$5,$H172,0)</f>
        <v>0.26</v>
      </c>
      <c r="P172" s="34">
        <f ca="1">OFFSET(Org_dat!$I$5,$H172,0)</f>
        <v>39882.51</v>
      </c>
      <c r="Q172" s="35">
        <f ca="1">OFFSET(Org_dat!$J$5,$H172,0)</f>
        <v>2.0935700787401576E-2</v>
      </c>
      <c r="R172" s="35">
        <f ca="1">OFFSET(Org_dat!$K$5,$H172,0)</f>
        <v>8.0521926105390676E-2</v>
      </c>
      <c r="S172" s="34">
        <f ca="1">OFFSET(Org_dat!$L$5,$H172,0)</f>
        <v>25379.1</v>
      </c>
      <c r="T172" s="35">
        <f ca="1">OFFSET(Org_dat!$M$5,$H172,0)</f>
        <v>0.38888252986709948</v>
      </c>
    </row>
    <row r="173" spans="2:21" x14ac:dyDescent="0.2">
      <c r="B173" s="342">
        <f>Org_dat!K169+(C173/100000)</f>
        <v>0.5497560229499876</v>
      </c>
      <c r="C173" s="31">
        <f>Org_dat!B169</f>
        <v>164</v>
      </c>
      <c r="D173" s="32" t="str">
        <f>Org_dat!C169</f>
        <v>ZŠ O-Vítkovice, Šalounova</v>
      </c>
      <c r="E173" s="33">
        <f ca="1">OFFSET(Org_dat!$C169,0,OrgSortCriteria)</f>
        <v>72.886961376999267</v>
      </c>
      <c r="F173" s="33">
        <f t="shared" ca="1" si="18"/>
        <v>72.886961377549028</v>
      </c>
      <c r="G173" s="33">
        <f t="shared" ca="1" si="19"/>
        <v>4.6780749321512314</v>
      </c>
      <c r="H173" s="31">
        <f t="shared" ca="1" si="20"/>
        <v>133</v>
      </c>
      <c r="J173" s="32" t="str">
        <f ca="1">OFFSET(Org_dat!$C$5,$H173,0)</f>
        <v>ZŠ a MŠ O-Výškovice, Šeříková</v>
      </c>
      <c r="K173" s="158">
        <f ca="1">OFFSET(Org_dat!$D$5,$H173,0)</f>
        <v>4.678074932071933</v>
      </c>
      <c r="L173" s="34">
        <f ca="1">OFFSET(Org_dat!$E$5,$H173,0)</f>
        <v>5814150</v>
      </c>
      <c r="M173" s="34">
        <f ca="1">OFFSET(Org_dat!$F$5,$H173,0)</f>
        <v>0</v>
      </c>
      <c r="N173" s="35">
        <f ca="1">OFFSET(Org_dat!$G$5,$H173,0)</f>
        <v>0</v>
      </c>
      <c r="O173" s="35">
        <f ca="1">OFFSET(Org_dat!$H$5,$H173,0)</f>
        <v>0.19409999999999999</v>
      </c>
      <c r="P173" s="34">
        <f ca="1">OFFSET(Org_dat!$I$5,$H173,0)</f>
        <v>87988.86</v>
      </c>
      <c r="Q173" s="35">
        <f ca="1">OFFSET(Org_dat!$J$5,$H173,0)</f>
        <v>1.5133572405252703E-2</v>
      </c>
      <c r="R173" s="35">
        <f ca="1">OFFSET(Org_dat!$K$5,$H173,0)</f>
        <v>7.7967915534532223E-2</v>
      </c>
      <c r="S173" s="34">
        <f ca="1">OFFSET(Org_dat!$L$5,$H173,0)</f>
        <v>70694.55</v>
      </c>
      <c r="T173" s="35">
        <f ca="1">OFFSET(Org_dat!$M$5,$H173,0)</f>
        <v>0.44550687434811237</v>
      </c>
    </row>
    <row r="174" spans="2:21" x14ac:dyDescent="0.2">
      <c r="B174" s="342">
        <f>Org_dat!K170+(C174/100000)</f>
        <v>9.5930154868547154E-2</v>
      </c>
      <c r="C174" s="31">
        <f>Org_dat!B170</f>
        <v>165</v>
      </c>
      <c r="D174" s="32" t="str">
        <f>Org_dat!C170</f>
        <v>ZŠ O-Výškovice, Srbská</v>
      </c>
      <c r="E174" s="33">
        <f ca="1">OFFSET(Org_dat!$C170,0,OrgSortCriteria)</f>
        <v>5.656809292112829</v>
      </c>
      <c r="F174" s="33">
        <f t="shared" ca="1" si="18"/>
        <v>5.6568092922087594</v>
      </c>
      <c r="G174" s="33">
        <f t="shared" ca="1" si="19"/>
        <v>4.0814888556921369</v>
      </c>
      <c r="H174" s="31">
        <f t="shared" ca="1" si="20"/>
        <v>138</v>
      </c>
      <c r="J174" s="32" t="str">
        <f ca="1">OFFSET(Org_dat!$C$5,$H174,0)</f>
        <v>ZŠ a MŠ O-Zábřeh, Volgogradská</v>
      </c>
      <c r="K174" s="158">
        <f ca="1">OFFSET(Org_dat!$D$5,$H174,0)</f>
        <v>4.0814888556238822</v>
      </c>
      <c r="L174" s="34">
        <f ca="1">OFFSET(Org_dat!$E$5,$H174,0)</f>
        <v>4939650</v>
      </c>
      <c r="M174" s="34">
        <f ca="1">OFFSET(Org_dat!$F$5,$H174,0)</f>
        <v>6816.3</v>
      </c>
      <c r="N174" s="35">
        <f ca="1">OFFSET(Org_dat!$G$5,$H174,0)</f>
        <v>1.3799155810634357E-3</v>
      </c>
      <c r="O174" s="35">
        <f ca="1">OFFSET(Org_dat!$H$5,$H174,0)</f>
        <v>0.1978</v>
      </c>
      <c r="P174" s="34">
        <f ca="1">OFFSET(Org_dat!$I$5,$H174,0)</f>
        <v>65340.960000000006</v>
      </c>
      <c r="Q174" s="35">
        <f ca="1">OFFSET(Org_dat!$J$5,$H174,0)</f>
        <v>1.3227852175761442E-2</v>
      </c>
      <c r="R174" s="35">
        <f ca="1">OFFSET(Org_dat!$K$5,$H174,0)</f>
        <v>6.6874884609511839E-2</v>
      </c>
      <c r="S174" s="34">
        <f ca="1">OFFSET(Org_dat!$L$5,$H174,0)</f>
        <v>45806.7</v>
      </c>
      <c r="T174" s="35">
        <f ca="1">OFFSET(Org_dat!$M$5,$H174,0)</f>
        <v>0.4121247356894423</v>
      </c>
    </row>
    <row r="175" spans="2:21" x14ac:dyDescent="0.2">
      <c r="B175" s="342">
        <f>Org_dat!K171+(C175/100000)</f>
        <v>0.30551084188258076</v>
      </c>
      <c r="C175" s="31">
        <f>Org_dat!B171</f>
        <v>166</v>
      </c>
      <c r="D175" s="32" t="str">
        <f>Org_dat!C171</f>
        <v>ZŠ O-Zábřeh, Chrjukinova</v>
      </c>
      <c r="E175" s="33">
        <f ca="1">OFFSET(Org_dat!$C171,0,OrgSortCriteria)</f>
        <v>18.231050512954845</v>
      </c>
      <c r="F175" s="33">
        <f t="shared" ca="1" si="18"/>
        <v>18.231050513260357</v>
      </c>
      <c r="G175" s="33">
        <f t="shared" ca="1" si="19"/>
        <v>3.5967353766231027</v>
      </c>
      <c r="H175" s="31">
        <f t="shared" ca="1" si="20"/>
        <v>151</v>
      </c>
      <c r="J175" s="32" t="str">
        <f ca="1">OFFSET(Org_dat!$C$5,$H175,0)</f>
        <v>ZŠ O-Polanka n/O</v>
      </c>
      <c r="K175" s="158">
        <f ca="1">OFFSET(Org_dat!$D$5,$H175,0)</f>
        <v>3.5967353765618841</v>
      </c>
      <c r="L175" s="34">
        <f ca="1">OFFSET(Org_dat!$E$5,$H175,0)</f>
        <v>4029000</v>
      </c>
      <c r="M175" s="34">
        <f ca="1">OFFSET(Org_dat!$F$5,$H175,0)</f>
        <v>1146.58</v>
      </c>
      <c r="N175" s="35">
        <f ca="1">OFFSET(Org_dat!$G$5,$H175,0)</f>
        <v>2.8458178207992058E-4</v>
      </c>
      <c r="O175" s="35">
        <f ca="1">OFFSET(Org_dat!$H$5,$H175,0)</f>
        <v>0.2288</v>
      </c>
      <c r="P175" s="34">
        <f ca="1">OFFSET(Org_dat!$I$5,$H175,0)</f>
        <v>55041.340000000004</v>
      </c>
      <c r="Q175" s="35">
        <f ca="1">OFFSET(Org_dat!$J$5,$H175,0)</f>
        <v>1.3661290642839415E-2</v>
      </c>
      <c r="R175" s="35">
        <f ca="1">OFFSET(Org_dat!$K$5,$H175,0)</f>
        <v>5.9708438124298137E-2</v>
      </c>
      <c r="S175" s="34">
        <f ca="1">OFFSET(Org_dat!$L$5,$H175,0)</f>
        <v>39073.22</v>
      </c>
      <c r="T175" s="35">
        <f ca="1">OFFSET(Org_dat!$M$5,$H175,0)</f>
        <v>0.41516657996382283</v>
      </c>
    </row>
    <row r="176" spans="2:21" x14ac:dyDescent="0.2">
      <c r="B176" s="342">
        <f>Org_dat!K172+(C176/100000)</f>
        <v>0.11364331537395057</v>
      </c>
      <c r="C176" s="31">
        <f>Org_dat!B172</f>
        <v>167</v>
      </c>
      <c r="D176" s="32" t="str">
        <f>Org_dat!C172</f>
        <v>ZŠ O-Zábřeh, Jugoslávská</v>
      </c>
      <c r="E176" s="33">
        <f ca="1">OFFSET(Org_dat!$C172,0,OrgSortCriteria)</f>
        <v>6.8752119524344186</v>
      </c>
      <c r="F176" s="33">
        <f t="shared" ca="1" si="18"/>
        <v>6.8752119525480619</v>
      </c>
      <c r="G176" s="33">
        <f t="shared" ca="1" si="19"/>
        <v>3.5512149168996237</v>
      </c>
      <c r="H176" s="31">
        <f t="shared" ca="1" si="20"/>
        <v>52</v>
      </c>
      <c r="J176" s="32" t="str">
        <f ca="1">OFFSET(Org_dat!$C$5,$H176,0)</f>
        <v>MŠ Křižíkova</v>
      </c>
      <c r="K176" s="158">
        <f ca="1">OFFSET(Org_dat!$D$5,$H176,0)</f>
        <v>3.5512149168399167</v>
      </c>
      <c r="L176" s="34">
        <f ca="1">OFFSET(Org_dat!$E$5,$H176,0)</f>
        <v>1332000</v>
      </c>
      <c r="M176" s="34">
        <f ca="1">OFFSET(Org_dat!$F$5,$H176,0)</f>
        <v>0</v>
      </c>
      <c r="N176" s="35">
        <f ca="1">OFFSET(Org_dat!$G$5,$H176,0)</f>
        <v>0</v>
      </c>
      <c r="O176" s="35">
        <f ca="1">OFFSET(Org_dat!$H$5,$H176,0)</f>
        <v>0.20799999999999999</v>
      </c>
      <c r="P176" s="34">
        <f ca="1">OFFSET(Org_dat!$I$5,$H176,0)</f>
        <v>16398.09</v>
      </c>
      <c r="Q176" s="35">
        <f ca="1">OFFSET(Org_dat!$J$5,$H176,0)</f>
        <v>1.2310878378378378E-2</v>
      </c>
      <c r="R176" s="35">
        <f ca="1">OFFSET(Org_dat!$K$5,$H176,0)</f>
        <v>5.9186915280665282E-2</v>
      </c>
      <c r="S176" s="34">
        <f ca="1">OFFSET(Org_dat!$L$5,$H176,0)</f>
        <v>14954.49</v>
      </c>
      <c r="T176" s="35">
        <f ca="1">OFFSET(Org_dat!$M$5,$H176,0)</f>
        <v>0.47697797119088758</v>
      </c>
    </row>
    <row r="177" spans="2:20" x14ac:dyDescent="0.2">
      <c r="B177" s="342">
        <f>Org_dat!K173+(C177/100000)</f>
        <v>0.54550278709065902</v>
      </c>
      <c r="C177" s="31">
        <f>Org_dat!B173</f>
        <v>168</v>
      </c>
      <c r="D177" s="32" t="str">
        <f>Org_dat!C173</f>
        <v>ZŠ Ostrava, Gebauerova</v>
      </c>
      <c r="E177" s="33">
        <f ca="1">OFFSET(Org_dat!$C173,0,OrgSortCriteria)</f>
        <v>32.629367225439537</v>
      </c>
      <c r="F177" s="33">
        <f t="shared" ca="1" si="18"/>
        <v>32.629367225985042</v>
      </c>
      <c r="G177" s="33">
        <f t="shared" ca="1" si="19"/>
        <v>3.1908257815426273</v>
      </c>
      <c r="H177" s="31">
        <f t="shared" ca="1" si="20"/>
        <v>80</v>
      </c>
      <c r="J177" s="32" t="str">
        <f ca="1">OFFSET(Org_dat!$C$5,$H177,0)</f>
        <v>MŠ Šafaříkova</v>
      </c>
      <c r="K177" s="158">
        <f ca="1">OFFSET(Org_dat!$D$5,$H177,0)</f>
        <v>3.1908257814886469</v>
      </c>
      <c r="L177" s="34">
        <f ca="1">OFFSET(Org_dat!$E$5,$H177,0)</f>
        <v>840000</v>
      </c>
      <c r="M177" s="34">
        <f ca="1">OFFSET(Org_dat!$F$5,$H177,0)</f>
        <v>0</v>
      </c>
      <c r="N177" s="35">
        <f ca="1">OFFSET(Org_dat!$G$5,$H177,0)</f>
        <v>0</v>
      </c>
      <c r="O177" s="35">
        <f ca="1">OFFSET(Org_dat!$H$5,$H177,0)</f>
        <v>0.14030000000000001</v>
      </c>
      <c r="P177" s="34">
        <f ca="1">OFFSET(Org_dat!$I$5,$H177,0)</f>
        <v>6267.42</v>
      </c>
      <c r="Q177" s="35">
        <f ca="1">OFFSET(Org_dat!$J$5,$H177,0)</f>
        <v>7.4612142857142854E-3</v>
      </c>
      <c r="R177" s="35">
        <f ca="1">OFFSET(Org_dat!$K$5,$H177,0)</f>
        <v>5.3180429691477446E-2</v>
      </c>
      <c r="S177" s="34">
        <f ca="1">OFFSET(Org_dat!$L$5,$H177,0)</f>
        <v>9250.65</v>
      </c>
      <c r="T177" s="35">
        <f ca="1">OFFSET(Org_dat!$M$5,$H177,0)</f>
        <v>0.59612116712967522</v>
      </c>
    </row>
    <row r="178" spans="2:20" x14ac:dyDescent="0.2">
      <c r="B178" s="342">
        <f>Org_dat!K174+(C178/100000)</f>
        <v>0.77428733528644256</v>
      </c>
      <c r="C178" s="31">
        <f>Org_dat!B174</f>
        <v>169</v>
      </c>
      <c r="D178" s="32" t="str">
        <f>Org_dat!C174</f>
        <v>ZŠ Ostrava, Gen.Píky</v>
      </c>
      <c r="E178" s="33">
        <f ca="1">OFFSET(Org_dat!$C174,0,OrgSortCriteria)</f>
        <v>82.44107322359099</v>
      </c>
      <c r="F178" s="33">
        <f t="shared" ca="1" si="18"/>
        <v>82.441073224365283</v>
      </c>
      <c r="G178" s="33">
        <f t="shared" ca="1" si="19"/>
        <v>3.0820063170881138</v>
      </c>
      <c r="H178" s="31">
        <f t="shared" ca="1" si="20"/>
        <v>49</v>
      </c>
      <c r="J178" s="32" t="str">
        <f ca="1">OFFSET(Org_dat!$C$5,$H178,0)</f>
        <v>MŠ Hornická</v>
      </c>
      <c r="K178" s="158">
        <f ca="1">OFFSET(Org_dat!$D$5,$H178,0)</f>
        <v>3.082006317036257</v>
      </c>
      <c r="L178" s="34">
        <f ca="1">OFFSET(Org_dat!$E$5,$H178,0)</f>
        <v>1503000</v>
      </c>
      <c r="M178" s="34">
        <f ca="1">OFFSET(Org_dat!$F$5,$H178,0)</f>
        <v>0</v>
      </c>
      <c r="N178" s="35">
        <f ca="1">OFFSET(Org_dat!$G$5,$H178,0)</f>
        <v>0</v>
      </c>
      <c r="O178" s="35">
        <f ca="1">OFFSET(Org_dat!$H$5,$H178,0)</f>
        <v>0.21840000000000001</v>
      </c>
      <c r="P178" s="34">
        <f ca="1">OFFSET(Org_dat!$I$5,$H178,0)</f>
        <v>16861.41</v>
      </c>
      <c r="Q178" s="35">
        <f ca="1">OFFSET(Org_dat!$J$5,$H178,0)</f>
        <v>1.1218502994011975E-2</v>
      </c>
      <c r="R178" s="35">
        <f ca="1">OFFSET(Org_dat!$K$5,$H178,0)</f>
        <v>5.1366771950604281E-2</v>
      </c>
      <c r="S178" s="34">
        <f ca="1">OFFSET(Org_dat!$L$5,$H178,0)</f>
        <v>14181.66</v>
      </c>
      <c r="T178" s="35">
        <f ca="1">OFFSET(Org_dat!$M$5,$H178,0)</f>
        <v>0.45683819287203231</v>
      </c>
    </row>
    <row r="179" spans="2:20" x14ac:dyDescent="0.2">
      <c r="B179" s="342">
        <f>Org_dat!K175+(C179/100000)</f>
        <v>0.93279417284400667</v>
      </c>
      <c r="C179" s="31">
        <f>Org_dat!B175</f>
        <v>170</v>
      </c>
      <c r="D179" s="32" t="str">
        <f>Org_dat!C175</f>
        <v>ZŠ Ostrava, Nádražní</v>
      </c>
      <c r="E179" s="33">
        <f ca="1">OFFSET(Org_dat!$C175,0,OrgSortCriteria)</f>
        <v>55.90881647989346</v>
      </c>
      <c r="F179" s="33">
        <f t="shared" ca="1" si="18"/>
        <v>55.908816480826253</v>
      </c>
      <c r="G179" s="33">
        <f t="shared" ca="1" si="19"/>
        <v>1.7400000000000001E-12</v>
      </c>
      <c r="H179" s="31">
        <f t="shared" ca="1" si="20"/>
        <v>174</v>
      </c>
      <c r="J179" s="32" t="str">
        <f ca="1">OFFSET(Org_dat!$C$5,$H179,0)</f>
        <v>ZUŠ O-Svinov, Bílovecká</v>
      </c>
      <c r="K179" s="158">
        <f ca="1">OFFSET(Org_dat!$D$5,$H179,0)</f>
        <v>0</v>
      </c>
      <c r="L179" s="34">
        <f ca="1">OFFSET(Org_dat!$E$5,$H179,0)</f>
        <v>379500</v>
      </c>
      <c r="M179" s="34">
        <f ca="1">OFFSET(Org_dat!$F$5,$H179,0)</f>
        <v>0</v>
      </c>
      <c r="N179" s="35">
        <f ca="1">OFFSET(Org_dat!$G$5,$H179,0)</f>
        <v>0</v>
      </c>
      <c r="O179" s="35">
        <f ca="1">OFFSET(Org_dat!$H$5,$H179,0)</f>
        <v>4.4999999999999998E-2</v>
      </c>
      <c r="P179" s="34">
        <f ca="1">OFFSET(Org_dat!$I$5,$H179,0)</f>
        <v>0</v>
      </c>
      <c r="Q179" s="35">
        <f ca="1">OFFSET(Org_dat!$J$5,$H179,0)</f>
        <v>0</v>
      </c>
      <c r="R179" s="35">
        <f ca="1">OFFSET(Org_dat!$K$5,$H179,0)</f>
        <v>0</v>
      </c>
      <c r="S179" s="34">
        <f ca="1">OFFSET(Org_dat!$L$5,$H179,0)</f>
        <v>0</v>
      </c>
      <c r="T179" s="35">
        <f ca="1">OFFSET(Org_dat!$M$5,$H179,0)</f>
        <v>0</v>
      </c>
    </row>
    <row r="180" spans="2:20" x14ac:dyDescent="0.2">
      <c r="B180" s="342">
        <f>Org_dat!K176+(C180/100000)</f>
        <v>0.2244662944979664</v>
      </c>
      <c r="C180" s="31">
        <f>Org_dat!B176</f>
        <v>171</v>
      </c>
      <c r="D180" s="32" t="str">
        <f>Org_dat!C176</f>
        <v>ZŠ Ostrava, Zelená</v>
      </c>
      <c r="E180" s="33">
        <f ca="1">OFFSET(Org_dat!$C176,0,OrgSortCriteria)</f>
        <v>14.691673584742386</v>
      </c>
      <c r="F180" s="33">
        <f t="shared" ca="1" si="18"/>
        <v>14.691673584966852</v>
      </c>
      <c r="G180" s="33">
        <f t="shared" ca="1" si="19"/>
        <v>8.5999999999999997E-13</v>
      </c>
      <c r="H180" s="31">
        <f t="shared" ca="1" si="20"/>
        <v>86</v>
      </c>
      <c r="J180" s="32" t="str">
        <f ca="1">OFFSET(Org_dat!$C$5,$H180,0)</f>
        <v>MŠ Zámostní</v>
      </c>
      <c r="K180" s="158">
        <f ca="1">OFFSET(Org_dat!$D$5,$H180,0)</f>
        <v>0</v>
      </c>
      <c r="L180" s="34">
        <f ca="1">OFFSET(Org_dat!$E$5,$H180,0)</f>
        <v>1080375</v>
      </c>
      <c r="M180" s="34">
        <f ca="1">OFFSET(Org_dat!$F$5,$H180,0)</f>
        <v>0</v>
      </c>
      <c r="N180" s="35">
        <f ca="1">OFFSET(Org_dat!$G$5,$H180,0)</f>
        <v>0</v>
      </c>
      <c r="O180" s="35">
        <f ca="1">OFFSET(Org_dat!$H$5,$H180,0)</f>
        <v>5.2900000000000003E-2</v>
      </c>
      <c r="P180" s="34">
        <f ca="1">OFFSET(Org_dat!$I$5,$H180,0)</f>
        <v>0</v>
      </c>
      <c r="Q180" s="35">
        <f ca="1">OFFSET(Org_dat!$J$5,$H180,0)</f>
        <v>0</v>
      </c>
      <c r="R180" s="35">
        <f ca="1">OFFSET(Org_dat!$K$5,$H180,0)</f>
        <v>0</v>
      </c>
      <c r="S180" s="34">
        <f ca="1">OFFSET(Org_dat!$L$5,$H180,0)</f>
        <v>0</v>
      </c>
      <c r="T180" s="35">
        <f ca="1">OFFSET(Org_dat!$M$5,$H180,0)</f>
        <v>0</v>
      </c>
    </row>
    <row r="181" spans="2:20" x14ac:dyDescent="0.2">
      <c r="B181" s="342">
        <f>Org_dat!K177+(C181/100000)</f>
        <v>0.13623015429460208</v>
      </c>
      <c r="C181" s="31">
        <f>Org_dat!B177</f>
        <v>172</v>
      </c>
      <c r="D181" s="32" t="str">
        <f>Org_dat!C177</f>
        <v>ZŠ Slezská Ostrava, Bohumínská</v>
      </c>
      <c r="E181" s="33">
        <f ca="1">OFFSET(Org_dat!$C177,0,OrgSortCriteria)</f>
        <v>29.786458344357044</v>
      </c>
      <c r="F181" s="33">
        <f t="shared" ca="1" si="18"/>
        <v>29.786458344493273</v>
      </c>
      <c r="G181" s="33">
        <f t="shared" ca="1" si="19"/>
        <v>5.4000000000000002E-13</v>
      </c>
      <c r="H181" s="31">
        <f t="shared" ca="1" si="20"/>
        <v>54</v>
      </c>
      <c r="J181" s="32" t="str">
        <f ca="1">OFFSET(Org_dat!$C$5,$H181,0)</f>
        <v>MŠ Martinovská</v>
      </c>
      <c r="K181" s="158">
        <f ca="1">OFFSET(Org_dat!$D$5,$H181,0)</f>
        <v>0</v>
      </c>
      <c r="L181" s="34">
        <f ca="1">OFFSET(Org_dat!$E$5,$H181,0)</f>
        <v>460582.5</v>
      </c>
      <c r="M181" s="34">
        <f ca="1">OFFSET(Org_dat!$F$5,$H181,0)</f>
        <v>0</v>
      </c>
      <c r="N181" s="35">
        <f ca="1">OFFSET(Org_dat!$G$5,$H181,0)</f>
        <v>0</v>
      </c>
      <c r="O181" s="35">
        <f ca="1">OFFSET(Org_dat!$H$5,$H181,0)</f>
        <v>4.1000000000000002E-2</v>
      </c>
      <c r="P181" s="34">
        <f ca="1">OFFSET(Org_dat!$I$5,$H181,0)</f>
        <v>0</v>
      </c>
      <c r="Q181" s="35">
        <f ca="1">OFFSET(Org_dat!$J$5,$H181,0)</f>
        <v>0</v>
      </c>
      <c r="R181" s="35">
        <f ca="1">OFFSET(Org_dat!$K$5,$H181,0)</f>
        <v>0</v>
      </c>
      <c r="S181" s="34">
        <f ca="1">OFFSET(Org_dat!$L$5,$H181,0)</f>
        <v>0</v>
      </c>
      <c r="T181" s="35">
        <f ca="1">OFFSET(Org_dat!$M$5,$H181,0)</f>
        <v>0</v>
      </c>
    </row>
    <row r="182" spans="2:20" x14ac:dyDescent="0.2">
      <c r="B182" s="342">
        <f>Org_dat!K178+(C182/100000)</f>
        <v>0.32110352710514434</v>
      </c>
      <c r="C182" s="31">
        <f>Org_dat!B178</f>
        <v>173</v>
      </c>
      <c r="D182" s="32" t="str">
        <f>Org_dat!C178</f>
        <v>ZŠ Slezská Ostrava, Chrustova</v>
      </c>
      <c r="E182" s="33">
        <f ca="1">OFFSET(Org_dat!$C178,0,OrgSortCriteria)</f>
        <v>19.643464077094762</v>
      </c>
      <c r="F182" s="33">
        <f t="shared" ca="1" si="18"/>
        <v>19.643464077415867</v>
      </c>
      <c r="G182" s="33">
        <f t="shared" ca="1" si="19"/>
        <v>3.3000000000000001E-13</v>
      </c>
      <c r="H182" s="31">
        <f t="shared" ca="1" si="20"/>
        <v>33</v>
      </c>
      <c r="J182" s="32" t="str">
        <f ca="1">OFFSET(Org_dat!$C$5,$H182,0)</f>
        <v>Firemní školka města Ostravy</v>
      </c>
      <c r="K182" s="158">
        <f ca="1">OFFSET(Org_dat!$D$5,$H182,0)</f>
        <v>0</v>
      </c>
      <c r="L182" s="34">
        <f ca="1">OFFSET(Org_dat!$E$5,$H182,0)</f>
        <v>503983.5</v>
      </c>
      <c r="M182" s="34">
        <f ca="1">OFFSET(Org_dat!$F$5,$H182,0)</f>
        <v>0</v>
      </c>
      <c r="N182" s="35">
        <f ca="1">OFFSET(Org_dat!$G$5,$H182,0)</f>
        <v>0</v>
      </c>
      <c r="O182" s="35">
        <f ca="1">OFFSET(Org_dat!$H$5,$H182,0)</f>
        <v>1.7000000000000001E-2</v>
      </c>
      <c r="P182" s="34">
        <f ca="1">OFFSET(Org_dat!$I$5,$H182,0)</f>
        <v>0</v>
      </c>
      <c r="Q182" s="35">
        <f ca="1">OFFSET(Org_dat!$J$5,$H182,0)</f>
        <v>0</v>
      </c>
      <c r="R182" s="35">
        <f ca="1">OFFSET(Org_dat!$K$5,$H182,0)</f>
        <v>0</v>
      </c>
      <c r="S182" s="34">
        <f ca="1">OFFSET(Org_dat!$L$5,$H182,0)</f>
        <v>0</v>
      </c>
      <c r="T182" s="35">
        <f ca="1">OFFSET(Org_dat!$M$5,$H182,0)</f>
        <v>0</v>
      </c>
    </row>
    <row r="183" spans="2:20" x14ac:dyDescent="0.2">
      <c r="B183" s="342">
        <f>Org_dat!K179+(C183/100000)</f>
        <v>1.74E-3</v>
      </c>
      <c r="C183" s="31">
        <f>Org_dat!B179</f>
        <v>174</v>
      </c>
      <c r="D183" s="32" t="str">
        <f>Org_dat!C179</f>
        <v>ZUŠ O-Svinov, Bílovecká</v>
      </c>
      <c r="E183" s="33">
        <f ca="1">OFFSET(Org_dat!$C179,0,OrgSortCriteria)</f>
        <v>0</v>
      </c>
      <c r="F183" s="33">
        <f t="shared" ca="1" si="18"/>
        <v>1.7400000000000001E-12</v>
      </c>
      <c r="G183" s="33">
        <f t="shared" ca="1" si="19"/>
        <v>-999999999</v>
      </c>
      <c r="H183" s="31">
        <f t="shared" ca="1" si="20"/>
        <v>32</v>
      </c>
      <c r="J183" s="32" t="str">
        <f ca="1">OFFSET(Org_dat!$C$5,$H183,0)</f>
        <v/>
      </c>
      <c r="K183" s="158" t="str">
        <f ca="1">OFFSET(Org_dat!$D$5,$H183,0)</f>
        <v/>
      </c>
      <c r="L183" s="34" t="str">
        <f ca="1">OFFSET(Org_dat!$E$5,$H183,0)</f>
        <v/>
      </c>
      <c r="M183" s="34" t="str">
        <f ca="1">OFFSET(Org_dat!$F$5,$H183,0)</f>
        <v/>
      </c>
      <c r="N183" s="35">
        <f ca="1">OFFSET(Org_dat!$G$5,$H183,0)</f>
        <v>0</v>
      </c>
      <c r="O183" s="35" t="str">
        <f ca="1">OFFSET(Org_dat!$H$5,$H183,0)</f>
        <v/>
      </c>
      <c r="P183" s="34" t="str">
        <f ca="1">OFFSET(Org_dat!$I$5,$H183,0)</f>
        <v/>
      </c>
      <c r="Q183" s="35">
        <f ca="1">OFFSET(Org_dat!$J$5,$H183,0)</f>
        <v>0</v>
      </c>
      <c r="R183" s="35">
        <f ca="1">OFFSET(Org_dat!$K$5,$H183,0)</f>
        <v>0</v>
      </c>
      <c r="S183" s="34" t="str">
        <f ca="1">OFFSET(Org_dat!$L$5,$H183,0)</f>
        <v/>
      </c>
      <c r="T183" s="35">
        <f ca="1">OFFSET(Org_dat!$M$5,$H183,0)</f>
        <v>0</v>
      </c>
    </row>
    <row r="184" spans="2:20" x14ac:dyDescent="0.2">
      <c r="B184" s="342">
        <f>Org_dat!K180+(C184/100000)</f>
        <v>1.75E-3</v>
      </c>
      <c r="C184" s="31">
        <f>Org_dat!B180</f>
        <v>175</v>
      </c>
      <c r="D184" s="32" t="str">
        <f>Org_dat!C180</f>
        <v/>
      </c>
      <c r="E184" s="33" t="str">
        <f ca="1">OFFSET(Org_dat!$C180,0,OrgSortCriteria)</f>
        <v/>
      </c>
      <c r="F184" s="33">
        <f t="shared" si="18"/>
        <v>-999999999</v>
      </c>
      <c r="G184" s="33">
        <f t="shared" ca="1" si="19"/>
        <v>-999999999</v>
      </c>
      <c r="H184" s="31">
        <f t="shared" ca="1" si="20"/>
        <v>32</v>
      </c>
      <c r="J184" s="32" t="str">
        <f ca="1">OFFSET(Org_dat!$C$5,$H184,0)</f>
        <v/>
      </c>
      <c r="K184" s="158" t="str">
        <f ca="1">OFFSET(Org_dat!$D$5,$H184,0)</f>
        <v/>
      </c>
      <c r="L184" s="34" t="str">
        <f ca="1">OFFSET(Org_dat!$E$5,$H184,0)</f>
        <v/>
      </c>
      <c r="M184" s="34" t="str">
        <f ca="1">OFFSET(Org_dat!$F$5,$H184,0)</f>
        <v/>
      </c>
      <c r="N184" s="35">
        <f ca="1">OFFSET(Org_dat!$G$5,$H184,0)</f>
        <v>0</v>
      </c>
      <c r="O184" s="35" t="str">
        <f ca="1">OFFSET(Org_dat!$H$5,$H184,0)</f>
        <v/>
      </c>
      <c r="P184" s="34" t="str">
        <f ca="1">OFFSET(Org_dat!$I$5,$H184,0)</f>
        <v/>
      </c>
      <c r="Q184" s="35">
        <f ca="1">OFFSET(Org_dat!$J$5,$H184,0)</f>
        <v>0</v>
      </c>
      <c r="R184" s="35">
        <f ca="1">OFFSET(Org_dat!$K$5,$H184,0)</f>
        <v>0</v>
      </c>
      <c r="S184" s="34" t="str">
        <f ca="1">OFFSET(Org_dat!$L$5,$H184,0)</f>
        <v/>
      </c>
      <c r="T184" s="35">
        <f ca="1">OFFSET(Org_dat!$M$5,$H184,0)</f>
        <v>0</v>
      </c>
    </row>
    <row r="185" spans="2:20" x14ac:dyDescent="0.2">
      <c r="B185" s="342">
        <f>Org_dat!K181+(C185/100000)</f>
        <v>1.7600000000000001E-3</v>
      </c>
      <c r="C185" s="31">
        <f>Org_dat!B181</f>
        <v>176</v>
      </c>
      <c r="D185" s="32" t="str">
        <f>Org_dat!C181</f>
        <v/>
      </c>
      <c r="E185" s="33" t="str">
        <f ca="1">OFFSET(Org_dat!$C181,0,OrgSortCriteria)</f>
        <v/>
      </c>
      <c r="F185" s="33">
        <f t="shared" si="18"/>
        <v>-999999999</v>
      </c>
      <c r="G185" s="33">
        <f t="shared" ca="1" si="19"/>
        <v>-999999999</v>
      </c>
      <c r="H185" s="31">
        <f t="shared" ca="1" si="20"/>
        <v>32</v>
      </c>
      <c r="J185" s="32" t="str">
        <f ca="1">OFFSET(Org_dat!$C$5,$H185,0)</f>
        <v/>
      </c>
      <c r="K185" s="158" t="str">
        <f ca="1">OFFSET(Org_dat!$D$5,$H185,0)</f>
        <v/>
      </c>
      <c r="L185" s="34" t="str">
        <f ca="1">OFFSET(Org_dat!$E$5,$H185,0)</f>
        <v/>
      </c>
      <c r="M185" s="34" t="str">
        <f ca="1">OFFSET(Org_dat!$F$5,$H185,0)</f>
        <v/>
      </c>
      <c r="N185" s="35">
        <f ca="1">OFFSET(Org_dat!$G$5,$H185,0)</f>
        <v>0</v>
      </c>
      <c r="O185" s="35" t="str">
        <f ca="1">OFFSET(Org_dat!$H$5,$H185,0)</f>
        <v/>
      </c>
      <c r="P185" s="34" t="str">
        <f ca="1">OFFSET(Org_dat!$I$5,$H185,0)</f>
        <v/>
      </c>
      <c r="Q185" s="35">
        <f ca="1">OFFSET(Org_dat!$J$5,$H185,0)</f>
        <v>0</v>
      </c>
      <c r="R185" s="35">
        <f ca="1">OFFSET(Org_dat!$K$5,$H185,0)</f>
        <v>0</v>
      </c>
      <c r="S185" s="34" t="str">
        <f ca="1">OFFSET(Org_dat!$L$5,$H185,0)</f>
        <v/>
      </c>
      <c r="T185" s="35">
        <f ca="1">OFFSET(Org_dat!$M$5,$H185,0)</f>
        <v>0</v>
      </c>
    </row>
    <row r="186" spans="2:20" x14ac:dyDescent="0.2">
      <c r="C186" s="99"/>
      <c r="D186" s="100"/>
      <c r="E186" s="99"/>
      <c r="F186" s="99"/>
      <c r="G186" s="99"/>
      <c r="H186" s="99"/>
      <c r="J186" s="99"/>
      <c r="L186" s="99"/>
      <c r="M186" s="99"/>
      <c r="N186" s="99"/>
      <c r="O186" s="99"/>
      <c r="P186" s="99"/>
      <c r="Q186" s="99"/>
      <c r="R186" s="99"/>
      <c r="S186" s="99"/>
      <c r="T186" s="99"/>
    </row>
  </sheetData>
  <mergeCells count="3">
    <mergeCell ref="X8:Y8"/>
    <mergeCell ref="AC8:AD8"/>
    <mergeCell ref="AH8:AI8"/>
  </mergeCells>
  <phoneticPr fontId="4" type="noConversion"/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indexed="30"/>
  </sheetPr>
  <dimension ref="B1:O184"/>
  <sheetViews>
    <sheetView workbookViewId="0">
      <selection activeCell="C6" sqref="C6"/>
    </sheetView>
  </sheetViews>
  <sheetFormatPr defaultRowHeight="11.25" x14ac:dyDescent="0.2"/>
  <cols>
    <col min="1" max="1" width="2" style="19" customWidth="1"/>
    <col min="2" max="2" width="4.33203125" style="19" customWidth="1"/>
    <col min="3" max="3" width="32.83203125" style="19" bestFit="1" customWidth="1"/>
    <col min="4" max="4" width="7.1640625" style="19" customWidth="1"/>
    <col min="5" max="6" width="12.83203125" style="19" customWidth="1"/>
    <col min="7" max="7" width="11.33203125" style="19" customWidth="1"/>
    <col min="8" max="8" width="9.6640625" style="19" customWidth="1"/>
    <col min="9" max="9" width="12.83203125" style="19" customWidth="1"/>
    <col min="10" max="10" width="9.83203125" style="19" customWidth="1"/>
    <col min="11" max="11" width="10.5" style="19" customWidth="1"/>
    <col min="12" max="13" width="12.83203125" style="19" customWidth="1"/>
    <col min="14" max="14" width="16" style="19" bestFit="1" customWidth="1"/>
    <col min="15" max="15" width="12.1640625" style="19" customWidth="1"/>
    <col min="16" max="16384" width="9.33203125" style="19"/>
  </cols>
  <sheetData>
    <row r="1" spans="2:15" x14ac:dyDescent="0.2">
      <c r="C1" s="214"/>
      <c r="F1" s="215"/>
      <c r="H1" s="298" t="s">
        <v>249</v>
      </c>
      <c r="O1" s="49"/>
    </row>
    <row r="2" spans="2:15" x14ac:dyDescent="0.2">
      <c r="D2" s="50">
        <v>35</v>
      </c>
      <c r="E2" s="50">
        <v>27</v>
      </c>
      <c r="F2" s="50">
        <v>28</v>
      </c>
      <c r="G2" s="50" t="s">
        <v>350</v>
      </c>
      <c r="H2" s="50">
        <v>29</v>
      </c>
      <c r="I2" s="50">
        <v>31</v>
      </c>
      <c r="J2" s="50" t="s">
        <v>351</v>
      </c>
      <c r="K2" s="50" t="s">
        <v>388</v>
      </c>
      <c r="L2" s="50">
        <v>32</v>
      </c>
      <c r="M2" s="50" t="s">
        <v>352</v>
      </c>
    </row>
    <row r="3" spans="2:15" x14ac:dyDescent="0.2">
      <c r="C3" s="51" t="s">
        <v>70</v>
      </c>
      <c r="D3" s="73"/>
      <c r="E3" s="42">
        <f t="shared" ref="E3:L3" si="0">AVERAGE(E6:E184)</f>
        <v>16553931.992519895</v>
      </c>
      <c r="F3" s="42">
        <f t="shared" si="0"/>
        <v>8740913.3294797707</v>
      </c>
      <c r="G3" s="43">
        <f t="shared" si="0"/>
        <v>0.32597444930095915</v>
      </c>
      <c r="H3" s="324">
        <f>IF(ISERROR(AVERAGEIF(H6:H184,"&gt;0",H6:H184)),zarad,AVERAGEIF(H6:H184,"&gt;0",H6:H184))</f>
        <v>0.21301352798726786</v>
      </c>
      <c r="I3" s="42">
        <f t="shared" si="0"/>
        <v>2174581.3879190767</v>
      </c>
      <c r="J3" s="43">
        <f>IF(ISERROR(AVERAGEIF(J6:J184,"&gt;0",J6:J184)),zarad,AVERAGEIF(J6:J184,"&gt;0",J6:J184))</f>
        <v>0.12631357559746129</v>
      </c>
      <c r="K3" s="43">
        <f>IF(ISERROR(AVERAGEIF(K6:K184,"&gt;0",K6:K184)),zarad,AVERAGEIF(K6:K184,"&gt;0",K6:K184))</f>
        <v>0.56461872400516389</v>
      </c>
      <c r="L3" s="42">
        <f t="shared" si="0"/>
        <v>577782.13589595375</v>
      </c>
      <c r="M3" s="43">
        <f>AVERAGEIF(M6:M184,"&gt;0",M6:M184)</f>
        <v>0.3451439677363074</v>
      </c>
    </row>
    <row r="4" spans="2:15" x14ac:dyDescent="0.2">
      <c r="C4" s="51" t="s">
        <v>71</v>
      </c>
      <c r="E4" s="49">
        <f t="shared" ref="E4:L4" si="1">SUM(E6:E184)</f>
        <v>2863830234.7059417</v>
      </c>
      <c r="F4" s="49">
        <f t="shared" si="1"/>
        <v>1512178006.0000002</v>
      </c>
      <c r="G4" s="323">
        <f>F4/E4</f>
        <v>0.5280264129047687</v>
      </c>
      <c r="H4" s="299">
        <f>IF((F4/(E4*data!$O$6)*vahaE)&gt;vahaE,vahaE,F4/(E4*data!$O$6)*vahaE)+IF((I4/N4*vahaD)&gt;vahaD,vahaD,I4/N4*vahaD)</f>
        <v>68.832856929251761</v>
      </c>
      <c r="I4" s="49">
        <f t="shared" si="1"/>
        <v>376202580.11000031</v>
      </c>
      <c r="J4" s="323">
        <f>I4/E4</f>
        <v>0.1313634361251266</v>
      </c>
      <c r="K4" s="323">
        <f>I4/(E4*H3)</f>
        <v>0.61669058001320176</v>
      </c>
      <c r="L4" s="49">
        <f t="shared" si="1"/>
        <v>99956309.510000005</v>
      </c>
      <c r="M4" s="53">
        <f>L4/I4</f>
        <v>0.26569809670303995</v>
      </c>
      <c r="N4" s="49">
        <f>SUM(N6:N184)</f>
        <v>531966475.48923171</v>
      </c>
    </row>
    <row r="5" spans="2:15" ht="43.5" customHeight="1" x14ac:dyDescent="0.2">
      <c r="B5" s="73"/>
      <c r="C5" s="52" t="s">
        <v>28</v>
      </c>
      <c r="D5" s="251" t="s">
        <v>391</v>
      </c>
      <c r="E5" s="45" t="s">
        <v>73</v>
      </c>
      <c r="F5" s="45" t="s">
        <v>74</v>
      </c>
      <c r="G5" s="45" t="s">
        <v>72</v>
      </c>
      <c r="H5" s="74" t="s">
        <v>240</v>
      </c>
      <c r="I5" s="74" t="s">
        <v>75</v>
      </c>
      <c r="J5" s="74" t="s">
        <v>383</v>
      </c>
      <c r="K5" s="74" t="s">
        <v>384</v>
      </c>
      <c r="L5" s="44" t="s">
        <v>59</v>
      </c>
      <c r="M5" s="44" t="s">
        <v>72</v>
      </c>
      <c r="N5" s="74" t="s">
        <v>378</v>
      </c>
    </row>
    <row r="6" spans="2:15" x14ac:dyDescent="0.2">
      <c r="B6" s="19">
        <v>1</v>
      </c>
      <c r="C6" s="19" t="str">
        <f>IF(ISERROR(INDEX(data!$A$12:$AI$213,MATCH(HLOOKUP('II. Sledování projektu'!$L$5,vstupy!$N$2:$BY$180,$B6+1,0),data!$B$12:$B$213,0),3)),"",INDEX(data!$A$12:$AI$213,MATCH(HLOOKUP('II. Sledování projektu'!$L$5,vstupy!$N$2:$BY$180,$B6+1,0),data!$B$12:$B$213,0),3))</f>
        <v>Domov Slunečnice</v>
      </c>
      <c r="D6" s="156">
        <f>IF(ISERROR(INDEX(data!$A$12:$AI$213,MATCH(HLOOKUP('II. Sledování projektu'!$L$5,vstupy!$N$2:$BY$180,$B6+1,0),data!$B$12:$B$213,0),35)),"",INDEX(data!$A$12:$AI$213,MATCH(HLOOKUP('II. Sledování projektu'!$L$5,vstupy!$N$2:$BY$180,$B6+1,0),data!$B$12:$B$213,0),35))</f>
        <v>67.160518212993807</v>
      </c>
      <c r="E6" s="49">
        <f>IF(ISERROR(INDEX(data!$A$12:$AI$213,MATCH(HLOOKUP('II. Sledování projektu'!$L$5,vstupy!$N$2:$BY$180,$B6+1,0),data!$B$12:$B$213,0),27)),"",INDEX(data!$A$12:$AI$213,MATCH(HLOOKUP('II. Sledování projektu'!$L$5,vstupy!$N$2:$BY$180,$B6+1,0),data!$B$12:$B$213,0),27))</f>
        <v>28366500</v>
      </c>
      <c r="F6" s="54">
        <f>IF(ISERROR(INDEX(data!$A$12:$AI$213,MATCH(HLOOKUP('II. Sledování projektu'!$L$5,vstupy!$N$2:$BY$180,$B6+1,0),data!$B$12:$B$213,0),28)),"",INDEX(data!$A$12:$AI$213,MATCH(HLOOKUP('II. Sledování projektu'!$L$5,vstupy!$N$2:$BY$180,$B6+1,0),data!$B$12:$B$213,0),28))</f>
        <v>21918063.619999997</v>
      </c>
      <c r="G6" s="53">
        <f>IF(ISERROR(F6/E6),0,F6/E6)</f>
        <v>0.77267423263356416</v>
      </c>
      <c r="H6" s="53">
        <f>IF(ISERROR(INDEX(data!$A$12:$AI$213,MATCH(HLOOKUP('II. Sledování projektu'!$L$5,vstupy!$N$2:$BY$180,$B6+1,0),data!$B$12:$B$213,0),29)),"",INDEX(data!$A$12:$AI$213,MATCH(HLOOKUP('II. Sledování projektu'!$L$5,vstupy!$N$2:$BY$180,$B6+1,0),data!$B$12:$B$213,0),29))</f>
        <v>0.54</v>
      </c>
      <c r="I6" s="54">
        <f>IF(ISERROR(INDEX(data!$A$12:$AI$213,MATCH(HLOOKUP('II. Sledování projektu'!$L$5,vstupy!$N$2:$BY$180,$B6+1,0),data!$B$12:$B$213,0),31)),"",INDEX(data!$A$12:$AI$213,MATCH(HLOOKUP('II. Sledování projektu'!$L$5,vstupy!$N$2:$BY$180,$B6+1,0),data!$B$12:$B$213,0),31))</f>
        <v>7282850.9300000006</v>
      </c>
      <c r="J6" s="53">
        <f>IF(ISERROR(I6/(E6)),0,I6/(E6))</f>
        <v>0.25674125923184038</v>
      </c>
      <c r="K6" s="53">
        <f>IF(ISERROR(I6/(N6)),0,I6/(N6))</f>
        <v>0.47544677635525995</v>
      </c>
      <c r="L6" s="54">
        <f>IF(ISERROR(INDEX(data!$A$12:$AI$213,MATCH(HLOOKUP('II. Sledování projektu'!$L$5,vstupy!$N$2:$BY$180,$B6+1,0),data!$B$12:$B$213,0),32)),"",INDEX(data!$A$12:$AI$213,MATCH(HLOOKUP('II. Sledování projektu'!$L$5,vstupy!$N$2:$BY$180,$B6+1,0),data!$B$12:$B$213,0),32))</f>
        <v>1879958.4000000001</v>
      </c>
      <c r="M6" s="53">
        <f t="shared" ref="M6:M37" si="2">IF(ISERROR(L6/I6),0,IF(uspora="A",L6/I6,L6/(I6+L6)))</f>
        <v>0.20517270765908213</v>
      </c>
      <c r="N6" s="54">
        <f>IF(ISERROR(VLOOKUP(C6,data!$C$12:$AD$213,28,0)),0,VLOOKUP(C6,data!$C$12:$AD$213,28,0))</f>
        <v>15317910.000000002</v>
      </c>
    </row>
    <row r="7" spans="2:15" x14ac:dyDescent="0.2">
      <c r="B7" s="19">
        <f>B6+1</f>
        <v>2</v>
      </c>
      <c r="C7" s="19" t="str">
        <f>IF(ISERROR(INDEX(data!$A$12:$AI$213,MATCH(HLOOKUP('II. Sledování projektu'!$L$5,vstupy!$N$2:$BY$180,$B7+1,0),data!$B$12:$B$213,0),3)),"",INDEX(data!$A$12:$AI$213,MATCH(HLOOKUP('II. Sledování projektu'!$L$5,vstupy!$N$2:$BY$180,$B7+1,0),data!$B$12:$B$213,0),3))</f>
        <v>Dopravní podnik Ostrava</v>
      </c>
      <c r="D7" s="156">
        <f>IF(ISERROR(INDEX(data!$A$12:$AI$213,MATCH(HLOOKUP('II. Sledování projektu'!$L$5,vstupy!$N$2:$BY$180,$B7+1,0),data!$B$12:$B$213,0),35)),"",INDEX(data!$A$12:$AI$213,MATCH(HLOOKUP('II. Sledování projektu'!$L$5,vstupy!$N$2:$BY$180,$B7+1,0),data!$B$12:$B$213,0),35))</f>
        <v>79.740361214801155</v>
      </c>
      <c r="E7" s="49">
        <f>IF(ISERROR(INDEX(data!$A$12:$AI$213,MATCH(HLOOKUP('II. Sledování projektu'!$L$5,vstupy!$N$2:$BY$180,$B7+1,0),data!$B$12:$B$213,0),27)),"",INDEX(data!$A$12:$AI$213,MATCH(HLOOKUP('II. Sledování projektu'!$L$5,vstupy!$N$2:$BY$180,$B7+1,0),data!$B$12:$B$213,0),27))</f>
        <v>311627135.76094127</v>
      </c>
      <c r="F7" s="54">
        <f>IF(ISERROR(INDEX(data!$A$12:$AI$213,MATCH(HLOOKUP('II. Sledování projektu'!$L$5,vstupy!$N$2:$BY$180,$B7+1,0),data!$B$12:$B$213,0),28)),"",INDEX(data!$A$12:$AI$213,MATCH(HLOOKUP('II. Sledování projektu'!$L$5,vstupy!$N$2:$BY$180,$B7+1,0),data!$B$12:$B$213,0),28))</f>
        <v>274818574.81999999</v>
      </c>
      <c r="G7" s="53">
        <f t="shared" ref="G7:G70" si="3">IF(ISERROR(F7/E7),0,F7/E7)</f>
        <v>0.88188268376866175</v>
      </c>
      <c r="H7" s="53">
        <f>IF(ISERROR(INDEX(data!$A$12:$AI$213,MATCH(HLOOKUP('II. Sledování projektu'!$L$5,vstupy!$N$2:$BY$180,$B7+1,0),data!$B$12:$B$213,0),29)),"",INDEX(data!$A$12:$AI$213,MATCH(HLOOKUP('II. Sledování projektu'!$L$5,vstupy!$N$2:$BY$180,$B7+1,0),data!$B$12:$B$213,0),29))</f>
        <v>0.38</v>
      </c>
      <c r="I7" s="54">
        <f>IF(ISERROR(INDEX(data!$A$12:$AI$213,MATCH(HLOOKUP('II. Sledování projektu'!$L$5,vstupy!$N$2:$BY$180,$B7+1,0),data!$B$12:$B$213,0),31)),"",INDEX(data!$A$12:$AI$213,MATCH(HLOOKUP('II. Sledování projektu'!$L$5,vstupy!$N$2:$BY$180,$B7+1,0),data!$B$12:$B$213,0),31))</f>
        <v>78433107.950000003</v>
      </c>
      <c r="J7" s="53">
        <f t="shared" ref="J7:J70" si="4">IF(ISERROR(I7/(E7)),0,I7/(E7))</f>
        <v>0.25168895436040734</v>
      </c>
      <c r="K7" s="53">
        <f>IF(ISERROR(I7/(N7)),0,I7/(N7))</f>
        <v>0.66233935358001927</v>
      </c>
      <c r="L7" s="54">
        <f>IF(ISERROR(INDEX(data!$A$12:$AI$213,MATCH(HLOOKUP('II. Sledování projektu'!$L$5,vstupy!$N$2:$BY$180,$B7+1,0),data!$B$12:$B$213,0),32)),"",INDEX(data!$A$12:$AI$213,MATCH(HLOOKUP('II. Sledování projektu'!$L$5,vstupy!$N$2:$BY$180,$B7+1,0),data!$B$12:$B$213,0),32))</f>
        <v>9053327.209999999</v>
      </c>
      <c r="M7" s="53">
        <f t="shared" si="2"/>
        <v>0.10348263926222136</v>
      </c>
      <c r="N7" s="54">
        <f>IF(ISERROR(VLOOKUP(C7,data!$C$12:$AD$213,28,0)),0,VLOOKUP(C7,data!$C$12:$AD$213,28,0))</f>
        <v>118418311.58915769</v>
      </c>
    </row>
    <row r="8" spans="2:15" x14ac:dyDescent="0.2">
      <c r="B8" s="19">
        <f t="shared" ref="B8:B71" si="5">B7+1</f>
        <v>3</v>
      </c>
      <c r="C8" s="19" t="str">
        <f>IF(ISERROR(INDEX(data!$A$12:$AI$213,MATCH(HLOOKUP('II. Sledování projektu'!$L$5,vstupy!$N$2:$BY$180,$B8+1,0),data!$B$12:$B$213,0),3)),"",INDEX(data!$A$12:$AI$213,MATCH(HLOOKUP('II. Sledování projektu'!$L$5,vstupy!$N$2:$BY$180,$B8+1,0),data!$B$12:$B$213,0),3))</f>
        <v>Magistrát města Ostrava</v>
      </c>
      <c r="D8" s="156">
        <f>IF(ISERROR(INDEX(data!$A$12:$AI$213,MATCH(HLOOKUP('II. Sledování projektu'!$L$5,vstupy!$N$2:$BY$180,$B8+1,0),data!$B$12:$B$213,0),35)),"",INDEX(data!$A$12:$AI$213,MATCH(HLOOKUP('II. Sledování projektu'!$L$5,vstupy!$N$2:$BY$180,$B8+1,0),data!$B$12:$B$213,0),35))</f>
        <v>73.568893744281411</v>
      </c>
      <c r="E8" s="49">
        <f>IF(ISERROR(INDEX(data!$A$12:$AI$213,MATCH(HLOOKUP('II. Sledování projektu'!$L$5,vstupy!$N$2:$BY$180,$B8+1,0),data!$B$12:$B$213,0),27)),"",INDEX(data!$A$12:$AI$213,MATCH(HLOOKUP('II. Sledování projektu'!$L$5,vstupy!$N$2:$BY$180,$B8+1,0),data!$B$12:$B$213,0),27))</f>
        <v>521560500</v>
      </c>
      <c r="F8" s="54">
        <f>IF(ISERROR(INDEX(data!$A$12:$AI$213,MATCH(HLOOKUP('II. Sledování projektu'!$L$5,vstupy!$N$2:$BY$180,$B8+1,0),data!$B$12:$B$213,0),28)),"",INDEX(data!$A$12:$AI$213,MATCH(HLOOKUP('II. Sledování projektu'!$L$5,vstupy!$N$2:$BY$180,$B8+1,0),data!$B$12:$B$213,0),28))</f>
        <v>434208001.56999999</v>
      </c>
      <c r="G8" s="53">
        <f t="shared" si="3"/>
        <v>0.83251703602937721</v>
      </c>
      <c r="H8" s="53">
        <f>IF(ISERROR(INDEX(data!$A$12:$AI$213,MATCH(HLOOKUP('II. Sledování projektu'!$L$5,vstupy!$N$2:$BY$180,$B8+1,0),data!$B$12:$B$213,0),29)),"",INDEX(data!$A$12:$AI$213,MATCH(HLOOKUP('II. Sledování projektu'!$L$5,vstupy!$N$2:$BY$180,$B8+1,0),data!$B$12:$B$213,0),29))</f>
        <v>7.0000000000000007E-2</v>
      </c>
      <c r="I8" s="54">
        <f>IF(ISERROR(INDEX(data!$A$12:$AI$213,MATCH(HLOOKUP('II. Sledování projektu'!$L$5,vstupy!$N$2:$BY$180,$B8+1,0),data!$B$12:$B$213,0),31)),"",INDEX(data!$A$12:$AI$213,MATCH(HLOOKUP('II. Sledování projektu'!$L$5,vstupy!$N$2:$BY$180,$B8+1,0),data!$B$12:$B$213,0),31))</f>
        <v>20426243.84</v>
      </c>
      <c r="J8" s="53">
        <f t="shared" si="4"/>
        <v>3.9163709368328317E-2</v>
      </c>
      <c r="K8" s="53">
        <f t="shared" ref="K8:K71" si="6">IF(ISERROR(I8/(N8)),0,I8/(N8))</f>
        <v>0.55948156240469016</v>
      </c>
      <c r="L8" s="54">
        <f>IF(ISERROR(INDEX(data!$A$12:$AI$213,MATCH(HLOOKUP('II. Sledování projektu'!$L$5,vstupy!$N$2:$BY$180,$B8+1,0),data!$B$12:$B$213,0),32)),"",INDEX(data!$A$12:$AI$213,MATCH(HLOOKUP('II. Sledování projektu'!$L$5,vstupy!$N$2:$BY$180,$B8+1,0),data!$B$12:$B$213,0),32))</f>
        <v>9607244.4199999999</v>
      </c>
      <c r="M8" s="53">
        <f t="shared" si="2"/>
        <v>0.31988440159964293</v>
      </c>
      <c r="N8" s="54">
        <f>IF(ISERROR(VLOOKUP(C8,data!$C$12:$AD$213,28,0)),0,VLOOKUP(C8,data!$C$12:$AD$213,28,0))</f>
        <v>36509235</v>
      </c>
    </row>
    <row r="9" spans="2:15" x14ac:dyDescent="0.2">
      <c r="B9" s="19">
        <f t="shared" si="5"/>
        <v>4</v>
      </c>
      <c r="C9" s="19" t="str">
        <f>IF(ISERROR(INDEX(data!$A$12:$AI$213,MATCH(HLOOKUP('II. Sledování projektu'!$L$5,vstupy!$N$2:$BY$180,$B9+1,0),data!$B$12:$B$213,0),3)),"",INDEX(data!$A$12:$AI$213,MATCH(HLOOKUP('II. Sledování projektu'!$L$5,vstupy!$N$2:$BY$180,$B9+1,0),data!$B$12:$B$213,0),3))</f>
        <v>Městská nemocnice Ostrava</v>
      </c>
      <c r="D9" s="156">
        <f>IF(ISERROR(INDEX(data!$A$12:$AI$213,MATCH(HLOOKUP('II. Sledování projektu'!$L$5,vstupy!$N$2:$BY$180,$B9+1,0),data!$B$12:$B$213,0),35)),"",INDEX(data!$A$12:$AI$213,MATCH(HLOOKUP('II. Sledování projektu'!$L$5,vstupy!$N$2:$BY$180,$B9+1,0),data!$B$12:$B$213,0),35))</f>
        <v>56.154218610267009</v>
      </c>
      <c r="E9" s="49">
        <f>IF(ISERROR(INDEX(data!$A$12:$AI$213,MATCH(HLOOKUP('II. Sledování projektu'!$L$5,vstupy!$N$2:$BY$180,$B9+1,0),data!$B$12:$B$213,0),27)),"",INDEX(data!$A$12:$AI$213,MATCH(HLOOKUP('II. Sledování projektu'!$L$5,vstupy!$N$2:$BY$180,$B9+1,0),data!$B$12:$B$213,0),27))</f>
        <v>406783500</v>
      </c>
      <c r="F9" s="54">
        <f>IF(ISERROR(INDEX(data!$A$12:$AI$213,MATCH(HLOOKUP('II. Sledování projektu'!$L$5,vstupy!$N$2:$BY$180,$B9+1,0),data!$B$12:$B$213,0),28)),"",INDEX(data!$A$12:$AI$213,MATCH(HLOOKUP('II. Sledování projektu'!$L$5,vstupy!$N$2:$BY$180,$B9+1,0),data!$B$12:$B$213,0),28))</f>
        <v>102342680.73</v>
      </c>
      <c r="G9" s="53">
        <f t="shared" si="3"/>
        <v>0.2515900490801618</v>
      </c>
      <c r="H9" s="53">
        <f>IF(ISERROR(INDEX(data!$A$12:$AI$213,MATCH(HLOOKUP('II. Sledování projektu'!$L$5,vstupy!$N$2:$BY$180,$B9+1,0),data!$B$12:$B$213,0),29)),"",INDEX(data!$A$12:$AI$213,MATCH(HLOOKUP('II. Sledování projektu'!$L$5,vstupy!$N$2:$BY$180,$B9+1,0),data!$B$12:$B$213,0),29))</f>
        <v>6.6600000000000006E-2</v>
      </c>
      <c r="I9" s="54">
        <f>IF(ISERROR(INDEX(data!$A$12:$AI$213,MATCH(HLOOKUP('II. Sledování projektu'!$L$5,vstupy!$N$2:$BY$180,$B9+1,0),data!$B$12:$B$213,0),31)),"",INDEX(data!$A$12:$AI$213,MATCH(HLOOKUP('II. Sledování projektu'!$L$5,vstupy!$N$2:$BY$180,$B9+1,0),data!$B$12:$B$213,0),31))</f>
        <v>19675277.859999999</v>
      </c>
      <c r="J9" s="53">
        <f t="shared" si="4"/>
        <v>4.8367934933447397E-2</v>
      </c>
      <c r="K9" s="53">
        <f t="shared" si="6"/>
        <v>0.72624526927098187</v>
      </c>
      <c r="L9" s="54">
        <f>IF(ISERROR(INDEX(data!$A$12:$AI$213,MATCH(HLOOKUP('II. Sledování projektu'!$L$5,vstupy!$N$2:$BY$180,$B9+1,0),data!$B$12:$B$213,0),32)),"",INDEX(data!$A$12:$AI$213,MATCH(HLOOKUP('II. Sledování projektu'!$L$5,vstupy!$N$2:$BY$180,$B9+1,0),data!$B$12:$B$213,0),32))</f>
        <v>5813958.5700000003</v>
      </c>
      <c r="M9" s="53">
        <f t="shared" si="2"/>
        <v>0.22809465422656447</v>
      </c>
      <c r="N9" s="54">
        <f>IF(ISERROR(VLOOKUP(C9,data!$C$12:$AD$213,28,0)),0,VLOOKUP(C9,data!$C$12:$AD$213,28,0))</f>
        <v>27091781.100000001</v>
      </c>
    </row>
    <row r="10" spans="2:15" x14ac:dyDescent="0.2">
      <c r="B10" s="19">
        <f t="shared" si="5"/>
        <v>5</v>
      </c>
      <c r="C10" s="19" t="str">
        <f>IF(ISERROR(INDEX(data!$A$12:$AI$213,MATCH(HLOOKUP('II. Sledování projektu'!$L$5,vstupy!$N$2:$BY$180,$B10+1,0),data!$B$12:$B$213,0),3)),"",INDEX(data!$A$12:$AI$213,MATCH(HLOOKUP('II. Sledování projektu'!$L$5,vstupy!$N$2:$BY$180,$B10+1,0),data!$B$12:$B$213,0),3))</f>
        <v>Národní divadlo Moravskoslezské</v>
      </c>
      <c r="D10" s="156">
        <f>IF(ISERROR(INDEX(data!$A$12:$AI$213,MATCH(HLOOKUP('II. Sledování projektu'!$L$5,vstupy!$N$2:$BY$180,$B10+1,0),data!$B$12:$B$213,0),35)),"",INDEX(data!$A$12:$AI$213,MATCH(HLOOKUP('II. Sledování projektu'!$L$5,vstupy!$N$2:$BY$180,$B10+1,0),data!$B$12:$B$213,0),35))</f>
        <v>88.440932973235945</v>
      </c>
      <c r="E10" s="49">
        <f>IF(ISERROR(INDEX(data!$A$12:$AI$213,MATCH(HLOOKUP('II. Sledování projektu'!$L$5,vstupy!$N$2:$BY$180,$B10+1,0),data!$B$12:$B$213,0),27)),"",INDEX(data!$A$12:$AI$213,MATCH(HLOOKUP('II. Sledování projektu'!$L$5,vstupy!$N$2:$BY$180,$B10+1,0),data!$B$12:$B$213,0),27))</f>
        <v>51447000</v>
      </c>
      <c r="F10" s="54">
        <f>IF(ISERROR(INDEX(data!$A$12:$AI$213,MATCH(HLOOKUP('II. Sledování projektu'!$L$5,vstupy!$N$2:$BY$180,$B10+1,0),data!$B$12:$B$213,0),28)),"",INDEX(data!$A$12:$AI$213,MATCH(HLOOKUP('II. Sledování projektu'!$L$5,vstupy!$N$2:$BY$180,$B10+1,0),data!$B$12:$B$213,0),28))</f>
        <v>40884481.510000005</v>
      </c>
      <c r="G10" s="53">
        <f t="shared" si="3"/>
        <v>0.79469126499115605</v>
      </c>
      <c r="H10" s="53">
        <f>IF(ISERROR(INDEX(data!$A$12:$AI$213,MATCH(HLOOKUP('II. Sledování projektu'!$L$5,vstupy!$N$2:$BY$180,$B10+1,0),data!$B$12:$B$213,0),29)),"",INDEX(data!$A$12:$AI$213,MATCH(HLOOKUP('II. Sledování projektu'!$L$5,vstupy!$N$2:$BY$180,$B10+1,0),data!$B$12:$B$213,0),29))</f>
        <v>9.8124220413000354E-2</v>
      </c>
      <c r="I10" s="54">
        <f>IF(ISERROR(INDEX(data!$A$12:$AI$213,MATCH(HLOOKUP('II. Sledování projektu'!$L$5,vstupy!$N$2:$BY$180,$B10+1,0),data!$B$12:$B$213,0),31)),"",INDEX(data!$A$12:$AI$213,MATCH(HLOOKUP('II. Sledování projektu'!$L$5,vstupy!$N$2:$BY$180,$B10+1,0),data!$B$12:$B$213,0),31))</f>
        <v>4097988.9699999997</v>
      </c>
      <c r="J10" s="53">
        <f t="shared" si="4"/>
        <v>7.9654575971388031E-2</v>
      </c>
      <c r="K10" s="53">
        <f t="shared" si="6"/>
        <v>0.81177282872796908</v>
      </c>
      <c r="L10" s="54">
        <f>IF(ISERROR(INDEX(data!$A$12:$AI$213,MATCH(HLOOKUP('II. Sledování projektu'!$L$5,vstupy!$N$2:$BY$180,$B10+1,0),data!$B$12:$B$213,0),32)),"",INDEX(data!$A$12:$AI$213,MATCH(HLOOKUP('II. Sledování projektu'!$L$5,vstupy!$N$2:$BY$180,$B10+1,0),data!$B$12:$B$213,0),32))</f>
        <v>1843379.42</v>
      </c>
      <c r="M10" s="53">
        <f t="shared" si="2"/>
        <v>0.31026176109574649</v>
      </c>
      <c r="N10" s="54">
        <f>IF(ISERROR(VLOOKUP(C10,data!$C$12:$AD$213,28,0)),0,VLOOKUP(C10,data!$C$12:$AD$213,28,0))</f>
        <v>5048196.7675876291</v>
      </c>
    </row>
    <row r="11" spans="2:15" x14ac:dyDescent="0.2">
      <c r="B11" s="19">
        <f t="shared" si="5"/>
        <v>6</v>
      </c>
      <c r="C11" s="19" t="str">
        <f>IF(ISERROR(INDEX(data!$A$12:$AI$213,MATCH(HLOOKUP('II. Sledování projektu'!$L$5,vstupy!$N$2:$BY$180,$B11+1,0),data!$B$12:$B$213,0),3)),"",INDEX(data!$A$12:$AI$213,MATCH(HLOOKUP('II. Sledování projektu'!$L$5,vstupy!$N$2:$BY$180,$B11+1,0),data!$B$12:$B$213,0),3))</f>
        <v>OZO Ostrava</v>
      </c>
      <c r="D11" s="156">
        <f>IF(ISERROR(INDEX(data!$A$12:$AI$213,MATCH(HLOOKUP('II. Sledování projektu'!$L$5,vstupy!$N$2:$BY$180,$B11+1,0),data!$B$12:$B$213,0),35)),"",INDEX(data!$A$12:$AI$213,MATCH(HLOOKUP('II. Sledování projektu'!$L$5,vstupy!$N$2:$BY$180,$B11+1,0),data!$B$12:$B$213,0),35))</f>
        <v>75.717163824822933</v>
      </c>
      <c r="E11" s="49">
        <f>IF(ISERROR(INDEX(data!$A$12:$AI$213,MATCH(HLOOKUP('II. Sledování projektu'!$L$5,vstupy!$N$2:$BY$180,$B11+1,0),data!$B$12:$B$213,0),27)),"",INDEX(data!$A$12:$AI$213,MATCH(HLOOKUP('II. Sledování projektu'!$L$5,vstupy!$N$2:$BY$180,$B11+1,0),data!$B$12:$B$213,0),27))</f>
        <v>112132500</v>
      </c>
      <c r="F11" s="54">
        <f>IF(ISERROR(INDEX(data!$A$12:$AI$213,MATCH(HLOOKUP('II. Sledování projektu'!$L$5,vstupy!$N$2:$BY$180,$B11+1,0),data!$B$12:$B$213,0),28)),"",INDEX(data!$A$12:$AI$213,MATCH(HLOOKUP('II. Sledování projektu'!$L$5,vstupy!$N$2:$BY$180,$B11+1,0),data!$B$12:$B$213,0),28))</f>
        <v>87370339.329999998</v>
      </c>
      <c r="G11" s="53">
        <f t="shared" si="3"/>
        <v>0.77917052888324079</v>
      </c>
      <c r="H11" s="53">
        <f>IF(ISERROR(INDEX(data!$A$12:$AI$213,MATCH(HLOOKUP('II. Sledování projektu'!$L$5,vstupy!$N$2:$BY$180,$B11+1,0),data!$B$12:$B$213,0),29)),"",INDEX(data!$A$12:$AI$213,MATCH(HLOOKUP('II. Sledování projektu'!$L$5,vstupy!$N$2:$BY$180,$B11+1,0),data!$B$12:$B$213,0),29))</f>
        <v>0.23</v>
      </c>
      <c r="I11" s="54">
        <f>IF(ISERROR(INDEX(data!$A$12:$AI$213,MATCH(HLOOKUP('II. Sledování projektu'!$L$5,vstupy!$N$2:$BY$180,$B11+1,0),data!$B$12:$B$213,0),31)),"",INDEX(data!$A$12:$AI$213,MATCH(HLOOKUP('II. Sledování projektu'!$L$5,vstupy!$N$2:$BY$180,$B11+1,0),data!$B$12:$B$213,0),31))</f>
        <v>15800378.640000001</v>
      </c>
      <c r="J11" s="53">
        <f t="shared" si="4"/>
        <v>0.14090810995920006</v>
      </c>
      <c r="K11" s="53">
        <f t="shared" si="6"/>
        <v>0.6126439563443481</v>
      </c>
      <c r="L11" s="54">
        <f>IF(ISERROR(INDEX(data!$A$12:$AI$213,MATCH(HLOOKUP('II. Sledování projektu'!$L$5,vstupy!$N$2:$BY$180,$B11+1,0),data!$B$12:$B$213,0),32)),"",INDEX(data!$A$12:$AI$213,MATCH(HLOOKUP('II. Sledování projektu'!$L$5,vstupy!$N$2:$BY$180,$B11+1,0),data!$B$12:$B$213,0),32))</f>
        <v>1592765.76</v>
      </c>
      <c r="M11" s="53">
        <f t="shared" si="2"/>
        <v>9.1574342359855287E-2</v>
      </c>
      <c r="N11" s="54">
        <f>IF(ISERROR(VLOOKUP(C11,data!$C$12:$AD$213,28,0)),0,VLOOKUP(C11,data!$C$12:$AD$213,28,0))</f>
        <v>25790475</v>
      </c>
    </row>
    <row r="12" spans="2:15" x14ac:dyDescent="0.2">
      <c r="B12" s="19">
        <f t="shared" si="5"/>
        <v>7</v>
      </c>
      <c r="C12" s="19" t="str">
        <f>IF(ISERROR(INDEX(data!$A$12:$AI$213,MATCH(HLOOKUP('II. Sledování projektu'!$L$5,vstupy!$N$2:$BY$180,$B12+1,0),data!$B$12:$B$213,0),3)),"",INDEX(data!$A$12:$AI$213,MATCH(HLOOKUP('II. Sledování projektu'!$L$5,vstupy!$N$2:$BY$180,$B12+1,0),data!$B$12:$B$213,0),3))</f>
        <v>Centrum kultury a vzdělávání Moravská Ostrava</v>
      </c>
      <c r="D12" s="156">
        <f>IF(ISERROR(INDEX(data!$A$12:$AI$213,MATCH(HLOOKUP('II. Sledování projektu'!$L$5,vstupy!$N$2:$BY$180,$B12+1,0),data!$B$12:$B$213,0),35)),"",INDEX(data!$A$12:$AI$213,MATCH(HLOOKUP('II. Sledování projektu'!$L$5,vstupy!$N$2:$BY$180,$B12+1,0),data!$B$12:$B$213,0),35))</f>
        <v>13.98739737608533</v>
      </c>
      <c r="E12" s="49">
        <f>IF(ISERROR(INDEX(data!$A$12:$AI$213,MATCH(HLOOKUP('II. Sledování projektu'!$L$5,vstupy!$N$2:$BY$180,$B12+1,0),data!$B$12:$B$213,0),27)),"",INDEX(data!$A$12:$AI$213,MATCH(HLOOKUP('II. Sledování projektu'!$L$5,vstupy!$N$2:$BY$180,$B12+1,0),data!$B$12:$B$213,0),27))</f>
        <v>7646250</v>
      </c>
      <c r="F12" s="54">
        <f>IF(ISERROR(INDEX(data!$A$12:$AI$213,MATCH(HLOOKUP('II. Sledování projektu'!$L$5,vstupy!$N$2:$BY$180,$B12+1,0),data!$B$12:$B$213,0),28)),"",INDEX(data!$A$12:$AI$213,MATCH(HLOOKUP('II. Sledování projektu'!$L$5,vstupy!$N$2:$BY$180,$B12+1,0),data!$B$12:$B$213,0),28))</f>
        <v>13668.88</v>
      </c>
      <c r="G12" s="53">
        <f t="shared" si="3"/>
        <v>1.7876580022887034E-3</v>
      </c>
      <c r="H12" s="53">
        <f>IF(ISERROR(INDEX(data!$A$12:$AI$213,MATCH(HLOOKUP('II. Sledování projektu'!$L$5,vstupy!$N$2:$BY$180,$B12+1,0),data!$B$12:$B$213,0),29)),"",INDEX(data!$A$12:$AI$213,MATCH(HLOOKUP('II. Sledování projektu'!$L$5,vstupy!$N$2:$BY$180,$B12+1,0),data!$B$12:$B$213,0),29))</f>
        <v>7.3318441064654863E-2</v>
      </c>
      <c r="I12" s="54">
        <f>IF(ISERROR(INDEX(data!$A$12:$AI$213,MATCH(HLOOKUP('II. Sledování projektu'!$L$5,vstupy!$N$2:$BY$180,$B12+1,0),data!$B$12:$B$213,0),31)),"",INDEX(data!$A$12:$AI$213,MATCH(HLOOKUP('II. Sledování projektu'!$L$5,vstupy!$N$2:$BY$180,$B12+1,0),data!$B$12:$B$213,0),31))</f>
        <v>129856.36</v>
      </c>
      <c r="J12" s="53">
        <f t="shared" si="4"/>
        <v>1.698301258786987E-2</v>
      </c>
      <c r="K12" s="53">
        <f t="shared" si="6"/>
        <v>0.23163357459951492</v>
      </c>
      <c r="L12" s="54">
        <f>IF(ISERROR(INDEX(data!$A$12:$AI$213,MATCH(HLOOKUP('II. Sledování projektu'!$L$5,vstupy!$N$2:$BY$180,$B12+1,0),data!$B$12:$B$213,0),32)),"",INDEX(data!$A$12:$AI$213,MATCH(HLOOKUP('II. Sledování projektu'!$L$5,vstupy!$N$2:$BY$180,$B12+1,0),data!$B$12:$B$213,0),32))</f>
        <v>113438.05</v>
      </c>
      <c r="M12" s="53">
        <f t="shared" si="2"/>
        <v>0.4662583492978733</v>
      </c>
      <c r="N12" s="54">
        <f>IF(ISERROR(VLOOKUP(C12,data!$C$12:$AD$213,28,0)),0,VLOOKUP(C12,data!$C$12:$AD$213,28,0))</f>
        <v>560611.12999061728</v>
      </c>
    </row>
    <row r="13" spans="2:15" x14ac:dyDescent="0.2">
      <c r="B13" s="19">
        <f t="shared" si="5"/>
        <v>8</v>
      </c>
      <c r="C13" s="19" t="str">
        <f>IF(ISERROR(INDEX(data!$A$12:$AI$213,MATCH(HLOOKUP('II. Sledování projektu'!$L$5,vstupy!$N$2:$BY$180,$B13+1,0),data!$B$12:$B$213,0),3)),"",INDEX(data!$A$12:$AI$213,MATCH(HLOOKUP('II. Sledování projektu'!$L$5,vstupy!$N$2:$BY$180,$B13+1,0),data!$B$12:$B$213,0),3))</f>
        <v>Čtyřlístek</v>
      </c>
      <c r="D13" s="156">
        <f>IF(ISERROR(INDEX(data!$A$12:$AI$213,MATCH(HLOOKUP('II. Sledování projektu'!$L$5,vstupy!$N$2:$BY$180,$B13+1,0),data!$B$12:$B$213,0),35)),"",INDEX(data!$A$12:$AI$213,MATCH(HLOOKUP('II. Sledování projektu'!$L$5,vstupy!$N$2:$BY$180,$B13+1,0),data!$B$12:$B$213,0),35))</f>
        <v>97.02942433937028</v>
      </c>
      <c r="E13" s="49">
        <f>IF(ISERROR(INDEX(data!$A$12:$AI$213,MATCH(HLOOKUP('II. Sledování projektu'!$L$5,vstupy!$N$2:$BY$180,$B13+1,0),data!$B$12:$B$213,0),27)),"",INDEX(data!$A$12:$AI$213,MATCH(HLOOKUP('II. Sledování projektu'!$L$5,vstupy!$N$2:$BY$180,$B13+1,0),data!$B$12:$B$213,0),27))</f>
        <v>27663000</v>
      </c>
      <c r="F13" s="54">
        <f>IF(ISERROR(INDEX(data!$A$12:$AI$213,MATCH(HLOOKUP('II. Sledování projektu'!$L$5,vstupy!$N$2:$BY$180,$B13+1,0),data!$B$12:$B$213,0),28)),"",INDEX(data!$A$12:$AI$213,MATCH(HLOOKUP('II. Sledování projektu'!$L$5,vstupy!$N$2:$BY$180,$B13+1,0),data!$B$12:$B$213,0),28))</f>
        <v>20766339.350000001</v>
      </c>
      <c r="G13" s="53">
        <f t="shared" si="3"/>
        <v>0.75069006796081417</v>
      </c>
      <c r="H13" s="53">
        <f>IF(ISERROR(INDEX(data!$A$12:$AI$213,MATCH(HLOOKUP('II. Sledování projektu'!$L$5,vstupy!$N$2:$BY$180,$B13+1,0),data!$B$12:$B$213,0),29)),"",INDEX(data!$A$12:$AI$213,MATCH(HLOOKUP('II. Sledování projektu'!$L$5,vstupy!$N$2:$BY$180,$B13+1,0),data!$B$12:$B$213,0),29))</f>
        <v>0.4</v>
      </c>
      <c r="I13" s="54">
        <f>IF(ISERROR(INDEX(data!$A$12:$AI$213,MATCH(HLOOKUP('II. Sledování projektu'!$L$5,vstupy!$N$2:$BY$180,$B13+1,0),data!$B$12:$B$213,0),31)),"",INDEX(data!$A$12:$AI$213,MATCH(HLOOKUP('II. Sledování projektu'!$L$5,vstupy!$N$2:$BY$180,$B13+1,0),data!$B$12:$B$213,0),31))</f>
        <v>10972053.32</v>
      </c>
      <c r="J13" s="53">
        <f t="shared" si="4"/>
        <v>0.39663280627553049</v>
      </c>
      <c r="K13" s="53">
        <f t="shared" si="6"/>
        <v>0.9915820156888262</v>
      </c>
      <c r="L13" s="54">
        <f>IF(ISERROR(INDEX(data!$A$12:$AI$213,MATCH(HLOOKUP('II. Sledování projektu'!$L$5,vstupy!$N$2:$BY$180,$B13+1,0),data!$B$12:$B$213,0),32)),"",INDEX(data!$A$12:$AI$213,MATCH(HLOOKUP('II. Sledování projektu'!$L$5,vstupy!$N$2:$BY$180,$B13+1,0),data!$B$12:$B$213,0),32))</f>
        <v>4098309.57</v>
      </c>
      <c r="M13" s="53">
        <f t="shared" si="2"/>
        <v>0.2719449823414305</v>
      </c>
      <c r="N13" s="54">
        <f>IF(ISERROR(VLOOKUP(C13,data!$C$12:$AD$213,28,0)),0,VLOOKUP(C13,data!$C$12:$AD$213,28,0))</f>
        <v>11065200</v>
      </c>
    </row>
    <row r="14" spans="2:15" x14ac:dyDescent="0.2">
      <c r="B14" s="19">
        <f t="shared" si="5"/>
        <v>9</v>
      </c>
      <c r="C14" s="19" t="str">
        <f>IF(ISERROR(INDEX(data!$A$12:$AI$213,MATCH(HLOOKUP('II. Sledování projektu'!$L$5,vstupy!$N$2:$BY$180,$B14+1,0),data!$B$12:$B$213,0),3)),"",INDEX(data!$A$12:$AI$213,MATCH(HLOOKUP('II. Sledování projektu'!$L$5,vstupy!$N$2:$BY$180,$B14+1,0),data!$B$12:$B$213,0),3))</f>
        <v>Dětské centrum Domeček</v>
      </c>
      <c r="D14" s="156">
        <f>IF(ISERROR(INDEX(data!$A$12:$AI$213,MATCH(HLOOKUP('II. Sledování projektu'!$L$5,vstupy!$N$2:$BY$180,$B14+1,0),data!$B$12:$B$213,0),35)),"",INDEX(data!$A$12:$AI$213,MATCH(HLOOKUP('II. Sledování projektu'!$L$5,vstupy!$N$2:$BY$180,$B14+1,0),data!$B$12:$B$213,0),35))</f>
        <v>75.58697671232909</v>
      </c>
      <c r="E14" s="49">
        <f>IF(ISERROR(INDEX(data!$A$12:$AI$213,MATCH(HLOOKUP('II. Sledování projektu'!$L$5,vstupy!$N$2:$BY$180,$B14+1,0),data!$B$12:$B$213,0),27)),"",INDEX(data!$A$12:$AI$213,MATCH(HLOOKUP('II. Sledování projektu'!$L$5,vstupy!$N$2:$BY$180,$B14+1,0),data!$B$12:$B$213,0),27))</f>
        <v>7640250</v>
      </c>
      <c r="F14" s="54">
        <f>IF(ISERROR(INDEX(data!$A$12:$AI$213,MATCH(HLOOKUP('II. Sledování projektu'!$L$5,vstupy!$N$2:$BY$180,$B14+1,0),data!$B$12:$B$213,0),28)),"",INDEX(data!$A$12:$AI$213,MATCH(HLOOKUP('II. Sledování projektu'!$L$5,vstupy!$N$2:$BY$180,$B14+1,0),data!$B$12:$B$213,0),28))</f>
        <v>4809697.9000000004</v>
      </c>
      <c r="G14" s="53">
        <f t="shared" si="3"/>
        <v>0.62952101043814013</v>
      </c>
      <c r="H14" s="53">
        <f>IF(ISERROR(INDEX(data!$A$12:$AI$213,MATCH(HLOOKUP('II. Sledování projektu'!$L$5,vstupy!$N$2:$BY$180,$B14+1,0),data!$B$12:$B$213,0),29)),"",INDEX(data!$A$12:$AI$213,MATCH(HLOOKUP('II. Sledování projektu'!$L$5,vstupy!$N$2:$BY$180,$B14+1,0),data!$B$12:$B$213,0),29))</f>
        <v>0.31910743587956197</v>
      </c>
      <c r="I14" s="54">
        <f>IF(ISERROR(INDEX(data!$A$12:$AI$213,MATCH(HLOOKUP('II. Sledování projektu'!$L$5,vstupy!$N$2:$BY$180,$B14+1,0),data!$B$12:$B$213,0),31)),"",INDEX(data!$A$12:$AI$213,MATCH(HLOOKUP('II. Sledování projektu'!$L$5,vstupy!$N$2:$BY$180,$B14+1,0),data!$B$12:$B$213,0),31))</f>
        <v>1792418.51</v>
      </c>
      <c r="J14" s="53">
        <f t="shared" si="4"/>
        <v>0.23460207584830339</v>
      </c>
      <c r="K14" s="53">
        <f t="shared" si="6"/>
        <v>0.73518210317370125</v>
      </c>
      <c r="L14" s="54">
        <f>IF(ISERROR(INDEX(data!$A$12:$AI$213,MATCH(HLOOKUP('II. Sledování projektu'!$L$5,vstupy!$N$2:$BY$180,$B14+1,0),data!$B$12:$B$213,0),32)),"",INDEX(data!$A$12:$AI$213,MATCH(HLOOKUP('II. Sledování projektu'!$L$5,vstupy!$N$2:$BY$180,$B14+1,0),data!$B$12:$B$213,0),32))</f>
        <v>568219.9</v>
      </c>
      <c r="M14" s="53">
        <f t="shared" si="2"/>
        <v>0.24070603002685192</v>
      </c>
      <c r="N14" s="54">
        <f>IF(ISERROR(VLOOKUP(C14,data!$C$12:$AD$213,28,0)),0,VLOOKUP(C14,data!$C$12:$AD$213,28,0))</f>
        <v>2438060.5869788234</v>
      </c>
    </row>
    <row r="15" spans="2:15" x14ac:dyDescent="0.2">
      <c r="B15" s="19">
        <f t="shared" si="5"/>
        <v>10</v>
      </c>
      <c r="C15" s="19" t="str">
        <f>IF(ISERROR(INDEX(data!$A$12:$AI$213,MATCH(HLOOKUP('II. Sledování projektu'!$L$5,vstupy!$N$2:$BY$180,$B15+1,0),data!$B$12:$B$213,0),3)),"",INDEX(data!$A$12:$AI$213,MATCH(HLOOKUP('II. Sledování projektu'!$L$5,vstupy!$N$2:$BY$180,$B15+1,0),data!$B$12:$B$213,0),3))</f>
        <v>Divadlo loutek Ostrava</v>
      </c>
      <c r="D15" s="156">
        <f>IF(ISERROR(INDEX(data!$A$12:$AI$213,MATCH(HLOOKUP('II. Sledování projektu'!$L$5,vstupy!$N$2:$BY$180,$B15+1,0),data!$B$12:$B$213,0),35)),"",INDEX(data!$A$12:$AI$213,MATCH(HLOOKUP('II. Sledování projektu'!$L$5,vstupy!$N$2:$BY$180,$B15+1,0),data!$B$12:$B$213,0),35))</f>
        <v>91.904858098188882</v>
      </c>
      <c r="E15" s="49">
        <f>IF(ISERROR(INDEX(data!$A$12:$AI$213,MATCH(HLOOKUP('II. Sledování projektu'!$L$5,vstupy!$N$2:$BY$180,$B15+1,0),data!$B$12:$B$213,0),27)),"",INDEX(data!$A$12:$AI$213,MATCH(HLOOKUP('II. Sledování projektu'!$L$5,vstupy!$N$2:$BY$180,$B15+1,0),data!$B$12:$B$213,0),27))</f>
        <v>5658705</v>
      </c>
      <c r="F15" s="54">
        <f>IF(ISERROR(INDEX(data!$A$12:$AI$213,MATCH(HLOOKUP('II. Sledování projektu'!$L$5,vstupy!$N$2:$BY$180,$B15+1,0),data!$B$12:$B$213,0),28)),"",INDEX(data!$A$12:$AI$213,MATCH(HLOOKUP('II. Sledování projektu'!$L$5,vstupy!$N$2:$BY$180,$B15+1,0),data!$B$12:$B$213,0),28))</f>
        <v>4771253.0999999996</v>
      </c>
      <c r="G15" s="53">
        <f t="shared" si="3"/>
        <v>0.84317049572296132</v>
      </c>
      <c r="H15" s="53">
        <f>IF(ISERROR(INDEX(data!$A$12:$AI$213,MATCH(HLOOKUP('II. Sledování projektu'!$L$5,vstupy!$N$2:$BY$180,$B15+1,0),data!$B$12:$B$213,0),29)),"",INDEX(data!$A$12:$AI$213,MATCH(HLOOKUP('II. Sledování projektu'!$L$5,vstupy!$N$2:$BY$180,$B15+1,0),data!$B$12:$B$213,0),29))</f>
        <v>0.23641056672313276</v>
      </c>
      <c r="I15" s="54">
        <f>IF(ISERROR(INDEX(data!$A$12:$AI$213,MATCH(HLOOKUP('II. Sledování projektu'!$L$5,vstupy!$N$2:$BY$180,$B15+1,0),data!$B$12:$B$213,0),31)),"",INDEX(data!$A$12:$AI$213,MATCH(HLOOKUP('II. Sledování projektu'!$L$5,vstupy!$N$2:$BY$180,$B15+1,0),data!$B$12:$B$213,0),31))</f>
        <v>1157285.99</v>
      </c>
      <c r="J15" s="53">
        <f t="shared" si="4"/>
        <v>0.20451428197794372</v>
      </c>
      <c r="K15" s="53">
        <f t="shared" si="6"/>
        <v>0.86508096830314807</v>
      </c>
      <c r="L15" s="54">
        <f>IF(ISERROR(INDEX(data!$A$12:$AI$213,MATCH(HLOOKUP('II. Sledování projektu'!$L$5,vstupy!$N$2:$BY$180,$B15+1,0),data!$B$12:$B$213,0),32)),"",INDEX(data!$A$12:$AI$213,MATCH(HLOOKUP('II. Sledování projektu'!$L$5,vstupy!$N$2:$BY$180,$B15+1,0),data!$B$12:$B$213,0),32))</f>
        <v>664645.29999999993</v>
      </c>
      <c r="M15" s="53">
        <f t="shared" si="2"/>
        <v>0.36480261558052496</v>
      </c>
      <c r="N15" s="54">
        <f>IF(ISERROR(VLOOKUP(C15,data!$C$12:$AD$213,28,0)),0,VLOOKUP(C15,data!$C$12:$AD$213,28,0))</f>
        <v>1337777.6559690251</v>
      </c>
    </row>
    <row r="16" spans="2:15" x14ac:dyDescent="0.2">
      <c r="B16" s="19">
        <f t="shared" si="5"/>
        <v>11</v>
      </c>
      <c r="C16" s="19" t="str">
        <f>IF(ISERROR(INDEX(data!$A$12:$AI$213,MATCH(HLOOKUP('II. Sledování projektu'!$L$5,vstupy!$N$2:$BY$180,$B16+1,0),data!$B$12:$B$213,0),3)),"",INDEX(data!$A$12:$AI$213,MATCH(HLOOKUP('II. Sledování projektu'!$L$5,vstupy!$N$2:$BY$180,$B16+1,0),data!$B$12:$B$213,0),3))</f>
        <v>Domov Čujkovova</v>
      </c>
      <c r="D16" s="156">
        <f>IF(ISERROR(INDEX(data!$A$12:$AI$213,MATCH(HLOOKUP('II. Sledování projektu'!$L$5,vstupy!$N$2:$BY$180,$B16+1,0),data!$B$12:$B$213,0),35)),"",INDEX(data!$A$12:$AI$213,MATCH(HLOOKUP('II. Sledování projektu'!$L$5,vstupy!$N$2:$BY$180,$B16+1,0),data!$B$12:$B$213,0),35))</f>
        <v>95.49675359850383</v>
      </c>
      <c r="E16" s="49">
        <f>IF(ISERROR(INDEX(data!$A$12:$AI$213,MATCH(HLOOKUP('II. Sledování projektu'!$L$5,vstupy!$N$2:$BY$180,$B16+1,0),data!$B$12:$B$213,0),27)),"",INDEX(data!$A$12:$AI$213,MATCH(HLOOKUP('II. Sledování projektu'!$L$5,vstupy!$N$2:$BY$180,$B16+1,0),data!$B$12:$B$213,0),27))</f>
        <v>14971500</v>
      </c>
      <c r="F16" s="54">
        <f>IF(ISERROR(INDEX(data!$A$12:$AI$213,MATCH(HLOOKUP('II. Sledování projektu'!$L$5,vstupy!$N$2:$BY$180,$B16+1,0),data!$B$12:$B$213,0),28)),"",INDEX(data!$A$12:$AI$213,MATCH(HLOOKUP('II. Sledování projektu'!$L$5,vstupy!$N$2:$BY$180,$B16+1,0),data!$B$12:$B$213,0),28))</f>
        <v>10628792.93</v>
      </c>
      <c r="G16" s="53">
        <f t="shared" si="3"/>
        <v>0.70993507197007644</v>
      </c>
      <c r="H16" s="53">
        <f>IF(ISERROR(INDEX(data!$A$12:$AI$213,MATCH(HLOOKUP('II. Sledování projektu'!$L$5,vstupy!$N$2:$BY$180,$B16+1,0),data!$B$12:$B$213,0),29)),"",INDEX(data!$A$12:$AI$213,MATCH(HLOOKUP('II. Sledování projektu'!$L$5,vstupy!$N$2:$BY$180,$B16+1,0),data!$B$12:$B$213,0),29))</f>
        <v>0.39</v>
      </c>
      <c r="I16" s="54">
        <f>IF(ISERROR(INDEX(data!$A$12:$AI$213,MATCH(HLOOKUP('II. Sledování projektu'!$L$5,vstupy!$N$2:$BY$180,$B16+1,0),data!$B$12:$B$213,0),31)),"",INDEX(data!$A$12:$AI$213,MATCH(HLOOKUP('II. Sledování projektu'!$L$5,vstupy!$N$2:$BY$180,$B16+1,0),data!$B$12:$B$213,0),31))</f>
        <v>6749068.5899999999</v>
      </c>
      <c r="J16" s="53">
        <f t="shared" si="4"/>
        <v>0.45079441538923953</v>
      </c>
      <c r="K16" s="53">
        <f t="shared" si="6"/>
        <v>1.1558831163826655</v>
      </c>
      <c r="L16" s="54">
        <f>IF(ISERROR(INDEX(data!$A$12:$AI$213,MATCH(HLOOKUP('II. Sledování projektu'!$L$5,vstupy!$N$2:$BY$180,$B16+1,0),data!$B$12:$B$213,0),32)),"",INDEX(data!$A$12:$AI$213,MATCH(HLOOKUP('II. Sledování projektu'!$L$5,vstupy!$N$2:$BY$180,$B16+1,0),data!$B$12:$B$213,0),32))</f>
        <v>1953667.8</v>
      </c>
      <c r="M16" s="53">
        <f t="shared" si="2"/>
        <v>0.22448890928661117</v>
      </c>
      <c r="N16" s="54">
        <f>IF(ISERROR(VLOOKUP(C16,data!$C$12:$AD$213,28,0)),0,VLOOKUP(C16,data!$C$12:$AD$213,28,0))</f>
        <v>5838885</v>
      </c>
    </row>
    <row r="17" spans="2:14" x14ac:dyDescent="0.2">
      <c r="B17" s="19">
        <f t="shared" si="5"/>
        <v>12</v>
      </c>
      <c r="C17" s="19" t="str">
        <f>IF(ISERROR(INDEX(data!$A$12:$AI$213,MATCH(HLOOKUP('II. Sledování projektu'!$L$5,vstupy!$N$2:$BY$180,$B17+1,0),data!$B$12:$B$213,0),3)),"",INDEX(data!$A$12:$AI$213,MATCH(HLOOKUP('II. Sledování projektu'!$L$5,vstupy!$N$2:$BY$180,$B17+1,0),data!$B$12:$B$213,0),3))</f>
        <v>Domov Korýtko</v>
      </c>
      <c r="D17" s="156">
        <f>IF(ISERROR(INDEX(data!$A$12:$AI$213,MATCH(HLOOKUP('II. Sledování projektu'!$L$5,vstupy!$N$2:$BY$180,$B17+1,0),data!$B$12:$B$213,0),35)),"",INDEX(data!$A$12:$AI$213,MATCH(HLOOKUP('II. Sledování projektu'!$L$5,vstupy!$N$2:$BY$180,$B17+1,0),data!$B$12:$B$213,0),35))</f>
        <v>93.223499276837174</v>
      </c>
      <c r="E17" s="49">
        <f>IF(ISERROR(INDEX(data!$A$12:$AI$213,MATCH(HLOOKUP('II. Sledování projektu'!$L$5,vstupy!$N$2:$BY$180,$B17+1,0),data!$B$12:$B$213,0),27)),"",INDEX(data!$A$12:$AI$213,MATCH(HLOOKUP('II. Sledování projektu'!$L$5,vstupy!$N$2:$BY$180,$B17+1,0),data!$B$12:$B$213,0),27))</f>
        <v>18475665.75</v>
      </c>
      <c r="F17" s="54">
        <f>IF(ISERROR(INDEX(data!$A$12:$AI$213,MATCH(HLOOKUP('II. Sledování projektu'!$L$5,vstupy!$N$2:$BY$180,$B17+1,0),data!$B$12:$B$213,0),28)),"",INDEX(data!$A$12:$AI$213,MATCH(HLOOKUP('II. Sledování projektu'!$L$5,vstupy!$N$2:$BY$180,$B17+1,0),data!$B$12:$B$213,0),28))</f>
        <v>12453007.379999999</v>
      </c>
      <c r="G17" s="53">
        <f t="shared" si="3"/>
        <v>0.67402211906761733</v>
      </c>
      <c r="H17" s="53">
        <f>IF(ISERROR(INDEX(data!$A$12:$AI$213,MATCH(HLOOKUP('II. Sledování projektu'!$L$5,vstupy!$N$2:$BY$180,$B17+1,0),data!$B$12:$B$213,0),29)),"",INDEX(data!$A$12:$AI$213,MATCH(HLOOKUP('II. Sledování projektu'!$L$5,vstupy!$N$2:$BY$180,$B17+1,0),data!$B$12:$B$213,0),29))</f>
        <v>0.38</v>
      </c>
      <c r="I17" s="54">
        <f>IF(ISERROR(INDEX(data!$A$12:$AI$213,MATCH(HLOOKUP('II. Sledování projektu'!$L$5,vstupy!$N$2:$BY$180,$B17+1,0),data!$B$12:$B$213,0),31)),"",INDEX(data!$A$12:$AI$213,MATCH(HLOOKUP('II. Sledování projektu'!$L$5,vstupy!$N$2:$BY$180,$B17+1,0),data!$B$12:$B$213,0),31))</f>
        <v>6964867.0099999998</v>
      </c>
      <c r="J17" s="53">
        <f t="shared" si="4"/>
        <v>0.37697515771522333</v>
      </c>
      <c r="K17" s="53">
        <f t="shared" si="6"/>
        <v>0.99203988872427185</v>
      </c>
      <c r="L17" s="54">
        <f>IF(ISERROR(INDEX(data!$A$12:$AI$213,MATCH(HLOOKUP('II. Sledování projektu'!$L$5,vstupy!$N$2:$BY$180,$B17+1,0),data!$B$12:$B$213,0),32)),"",INDEX(data!$A$12:$AI$213,MATCH(HLOOKUP('II. Sledování projektu'!$L$5,vstupy!$N$2:$BY$180,$B17+1,0),data!$B$12:$B$213,0),32))</f>
        <v>1599563.17</v>
      </c>
      <c r="M17" s="53">
        <f t="shared" si="2"/>
        <v>0.18676819547614082</v>
      </c>
      <c r="N17" s="54">
        <f>IF(ISERROR(VLOOKUP(C17,data!$C$12:$AD$213,28,0)),0,VLOOKUP(C17,data!$C$12:$AD$213,28,0))</f>
        <v>7020752.9850000003</v>
      </c>
    </row>
    <row r="18" spans="2:14" x14ac:dyDescent="0.2">
      <c r="B18" s="19">
        <f t="shared" si="5"/>
        <v>13</v>
      </c>
      <c r="C18" s="19" t="str">
        <f>IF(ISERROR(INDEX(data!$A$12:$AI$213,MATCH(HLOOKUP('II. Sledování projektu'!$L$5,vstupy!$N$2:$BY$180,$B18+1,0),data!$B$12:$B$213,0),3)),"",INDEX(data!$A$12:$AI$213,MATCH(HLOOKUP('II. Sledování projektu'!$L$5,vstupy!$N$2:$BY$180,$B18+1,0),data!$B$12:$B$213,0),3))</f>
        <v>Domov Magnolie</v>
      </c>
      <c r="D18" s="156">
        <f>IF(ISERROR(INDEX(data!$A$12:$AI$213,MATCH(HLOOKUP('II. Sledování projektu'!$L$5,vstupy!$N$2:$BY$180,$B18+1,0),data!$B$12:$B$213,0),35)),"",INDEX(data!$A$12:$AI$213,MATCH(HLOOKUP('II. Sledování projektu'!$L$5,vstupy!$N$2:$BY$180,$B18+1,0),data!$B$12:$B$213,0),35))</f>
        <v>85.348248469026771</v>
      </c>
      <c r="E18" s="49">
        <f>IF(ISERROR(INDEX(data!$A$12:$AI$213,MATCH(HLOOKUP('II. Sledování projektu'!$L$5,vstupy!$N$2:$BY$180,$B18+1,0),data!$B$12:$B$213,0),27)),"",INDEX(data!$A$12:$AI$213,MATCH(HLOOKUP('II. Sledování projektu'!$L$5,vstupy!$N$2:$BY$180,$B18+1,0),data!$B$12:$B$213,0),27))</f>
        <v>5424750</v>
      </c>
      <c r="F18" s="54">
        <f>IF(ISERROR(INDEX(data!$A$12:$AI$213,MATCH(HLOOKUP('II. Sledování projektu'!$L$5,vstupy!$N$2:$BY$180,$B18+1,0),data!$B$12:$B$213,0),28)),"",INDEX(data!$A$12:$AI$213,MATCH(HLOOKUP('II. Sledování projektu'!$L$5,vstupy!$N$2:$BY$180,$B18+1,0),data!$B$12:$B$213,0),28))</f>
        <v>4027497.3</v>
      </c>
      <c r="G18" s="53">
        <f t="shared" si="3"/>
        <v>0.74243002903359601</v>
      </c>
      <c r="H18" s="53">
        <f>IF(ISERROR(INDEX(data!$A$12:$AI$213,MATCH(HLOOKUP('II. Sledování projektu'!$L$5,vstupy!$N$2:$BY$180,$B18+1,0),data!$B$12:$B$213,0),29)),"",INDEX(data!$A$12:$AI$213,MATCH(HLOOKUP('II. Sledování projektu'!$L$5,vstupy!$N$2:$BY$180,$B18+1,0),data!$B$12:$B$213,0),29))</f>
        <v>0.51</v>
      </c>
      <c r="I18" s="54">
        <f>IF(ISERROR(INDEX(data!$A$12:$AI$213,MATCH(HLOOKUP('II. Sledování projektu'!$L$5,vstupy!$N$2:$BY$180,$B18+1,0),data!$B$12:$B$213,0),31)),"",INDEX(data!$A$12:$AI$213,MATCH(HLOOKUP('II. Sledování projektu'!$L$5,vstupy!$N$2:$BY$180,$B18+1,0),data!$B$12:$B$213,0),31))</f>
        <v>2223753.39</v>
      </c>
      <c r="J18" s="53">
        <f t="shared" si="4"/>
        <v>0.4099273496474492</v>
      </c>
      <c r="K18" s="53">
        <f t="shared" si="6"/>
        <v>0.80377911695578275</v>
      </c>
      <c r="L18" s="54">
        <f>IF(ISERROR(INDEX(data!$A$12:$AI$213,MATCH(HLOOKUP('II. Sledování projektu'!$L$5,vstupy!$N$2:$BY$180,$B18+1,0),data!$B$12:$B$213,0),32)),"",INDEX(data!$A$12:$AI$213,MATCH(HLOOKUP('II. Sledování projektu'!$L$5,vstupy!$N$2:$BY$180,$B18+1,0),data!$B$12:$B$213,0),32))</f>
        <v>1282627.26</v>
      </c>
      <c r="M18" s="53">
        <f t="shared" si="2"/>
        <v>0.36579806587741692</v>
      </c>
      <c r="N18" s="54">
        <f>IF(ISERROR(VLOOKUP(C18,data!$C$12:$AD$213,28,0)),0,VLOOKUP(C18,data!$C$12:$AD$213,28,0))</f>
        <v>2766622.5</v>
      </c>
    </row>
    <row r="19" spans="2:14" x14ac:dyDescent="0.2">
      <c r="B19" s="19">
        <f t="shared" si="5"/>
        <v>14</v>
      </c>
      <c r="C19" s="19" t="str">
        <f>IF(ISERROR(INDEX(data!$A$12:$AI$213,MATCH(HLOOKUP('II. Sledování projektu'!$L$5,vstupy!$N$2:$BY$180,$B19+1,0),data!$B$12:$B$213,0),3)),"",INDEX(data!$A$12:$AI$213,MATCH(HLOOKUP('II. Sledování projektu'!$L$5,vstupy!$N$2:$BY$180,$B19+1,0),data!$B$12:$B$213,0),3))</f>
        <v>Dům kultury Akord</v>
      </c>
      <c r="D19" s="156">
        <f>IF(ISERROR(INDEX(data!$A$12:$AI$213,MATCH(HLOOKUP('II. Sledování projektu'!$L$5,vstupy!$N$2:$BY$180,$B19+1,0),data!$B$12:$B$213,0),35)),"",INDEX(data!$A$12:$AI$213,MATCH(HLOOKUP('II. Sledování projektu'!$L$5,vstupy!$N$2:$BY$180,$B19+1,0),data!$B$12:$B$213,0),35))</f>
        <v>30.913588627992631</v>
      </c>
      <c r="E19" s="49">
        <f>IF(ISERROR(INDEX(data!$A$12:$AI$213,MATCH(HLOOKUP('II. Sledování projektu'!$L$5,vstupy!$N$2:$BY$180,$B19+1,0),data!$B$12:$B$213,0),27)),"",INDEX(data!$A$12:$AI$213,MATCH(HLOOKUP('II. Sledování projektu'!$L$5,vstupy!$N$2:$BY$180,$B19+1,0),data!$B$12:$B$213,0),27))</f>
        <v>10860000</v>
      </c>
      <c r="F19" s="54">
        <f>IF(ISERROR(INDEX(data!$A$12:$AI$213,MATCH(HLOOKUP('II. Sledování projektu'!$L$5,vstupy!$N$2:$BY$180,$B19+1,0),data!$B$12:$B$213,0),28)),"",INDEX(data!$A$12:$AI$213,MATCH(HLOOKUP('II. Sledování projektu'!$L$5,vstupy!$N$2:$BY$180,$B19+1,0),data!$B$12:$B$213,0),28))</f>
        <v>2443682.0099999998</v>
      </c>
      <c r="G19" s="53">
        <f t="shared" si="3"/>
        <v>0.22501675966850826</v>
      </c>
      <c r="H19" s="53">
        <f>IF(ISERROR(INDEX(data!$A$12:$AI$213,MATCH(HLOOKUP('II. Sledování projektu'!$L$5,vstupy!$N$2:$BY$180,$B19+1,0),data!$B$12:$B$213,0),29)),"",INDEX(data!$A$12:$AI$213,MATCH(HLOOKUP('II. Sledování projektu'!$L$5,vstupy!$N$2:$BY$180,$B19+1,0),data!$B$12:$B$213,0),29))</f>
        <v>0.15</v>
      </c>
      <c r="I19" s="54">
        <f>IF(ISERROR(INDEX(data!$A$12:$AI$213,MATCH(HLOOKUP('II. Sledování projektu'!$L$5,vstupy!$N$2:$BY$180,$B19+1,0),data!$B$12:$B$213,0),31)),"",INDEX(data!$A$12:$AI$213,MATCH(HLOOKUP('II. Sledování projektu'!$L$5,vstupy!$N$2:$BY$180,$B19+1,0),data!$B$12:$B$213,0),31))</f>
        <v>533843.67999999993</v>
      </c>
      <c r="J19" s="53">
        <f t="shared" si="4"/>
        <v>4.9156876611418043E-2</v>
      </c>
      <c r="K19" s="53">
        <f t="shared" si="6"/>
        <v>0.32771251074278696</v>
      </c>
      <c r="L19" s="54">
        <f>IF(ISERROR(INDEX(data!$A$12:$AI$213,MATCH(HLOOKUP('II. Sledování projektu'!$L$5,vstupy!$N$2:$BY$180,$B19+1,0),data!$B$12:$B$213,0),32)),"",INDEX(data!$A$12:$AI$213,MATCH(HLOOKUP('II. Sledování projektu'!$L$5,vstupy!$N$2:$BY$180,$B19+1,0),data!$B$12:$B$213,0),32))</f>
        <v>274639.5</v>
      </c>
      <c r="M19" s="53">
        <f t="shared" si="2"/>
        <v>0.33969723402285257</v>
      </c>
      <c r="N19" s="54">
        <f>IF(ISERROR(VLOOKUP(C19,data!$C$12:$AD$213,28,0)),0,VLOOKUP(C19,data!$C$12:$AD$213,28,0))</f>
        <v>1629000</v>
      </c>
    </row>
    <row r="20" spans="2:14" x14ac:dyDescent="0.2">
      <c r="B20" s="19">
        <f t="shared" si="5"/>
        <v>15</v>
      </c>
      <c r="C20" s="19" t="str">
        <f>IF(ISERROR(INDEX(data!$A$12:$AI$213,MATCH(HLOOKUP('II. Sledování projektu'!$L$5,vstupy!$N$2:$BY$180,$B20+1,0),data!$B$12:$B$213,0),3)),"",INDEX(data!$A$12:$AI$213,MATCH(HLOOKUP('II. Sledování projektu'!$L$5,vstupy!$N$2:$BY$180,$B20+1,0),data!$B$12:$B$213,0),3))</f>
        <v>Komorní scéna Aréna</v>
      </c>
      <c r="D20" s="156">
        <f>IF(ISERROR(INDEX(data!$A$12:$AI$213,MATCH(HLOOKUP('II. Sledování projektu'!$L$5,vstupy!$N$2:$BY$180,$B20+1,0),data!$B$12:$B$213,0),35)),"",INDEX(data!$A$12:$AI$213,MATCH(HLOOKUP('II. Sledování projektu'!$L$5,vstupy!$N$2:$BY$180,$B20+1,0),data!$B$12:$B$213,0),35))</f>
        <v>47.25643187356556</v>
      </c>
      <c r="E20" s="49">
        <f>IF(ISERROR(INDEX(data!$A$12:$AI$213,MATCH(HLOOKUP('II. Sledování projektu'!$L$5,vstupy!$N$2:$BY$180,$B20+1,0),data!$B$12:$B$213,0),27)),"",INDEX(data!$A$12:$AI$213,MATCH(HLOOKUP('II. Sledování projektu'!$L$5,vstupy!$N$2:$BY$180,$B20+1,0),data!$B$12:$B$213,0),27))</f>
        <v>3837000</v>
      </c>
      <c r="F20" s="54">
        <f>IF(ISERROR(INDEX(data!$A$12:$AI$213,MATCH(HLOOKUP('II. Sledování projektu'!$L$5,vstupy!$N$2:$BY$180,$B20+1,0),data!$B$12:$B$213,0),28)),"",INDEX(data!$A$12:$AI$213,MATCH(HLOOKUP('II. Sledování projektu'!$L$5,vstupy!$N$2:$BY$180,$B20+1,0),data!$B$12:$B$213,0),28))</f>
        <v>2788310.3</v>
      </c>
      <c r="G20" s="53">
        <f t="shared" si="3"/>
        <v>0.7266902006776127</v>
      </c>
      <c r="H20" s="53">
        <f>IF(ISERROR(INDEX(data!$A$12:$AI$213,MATCH(HLOOKUP('II. Sledování projektu'!$L$5,vstupy!$N$2:$BY$180,$B20+1,0),data!$B$12:$B$213,0),29)),"",INDEX(data!$A$12:$AI$213,MATCH(HLOOKUP('II. Sledování projektu'!$L$5,vstupy!$N$2:$BY$180,$B20+1,0),data!$B$12:$B$213,0),29))</f>
        <v>8.9867162672331385E-2</v>
      </c>
      <c r="I20" s="54">
        <f>IF(ISERROR(INDEX(data!$A$12:$AI$213,MATCH(HLOOKUP('II. Sledování projektu'!$L$5,vstupy!$N$2:$BY$180,$B20+1,0),data!$B$12:$B$213,0),31)),"",INDEX(data!$A$12:$AI$213,MATCH(HLOOKUP('II. Sledování projektu'!$L$5,vstupy!$N$2:$BY$180,$B20+1,0),data!$B$12:$B$213,0),31))</f>
        <v>62768.340000000004</v>
      </c>
      <c r="J20" s="53">
        <f t="shared" si="4"/>
        <v>1.6358702111024238E-2</v>
      </c>
      <c r="K20" s="53">
        <f t="shared" si="6"/>
        <v>0.18203203066141549</v>
      </c>
      <c r="L20" s="54">
        <f>IF(ISERROR(INDEX(data!$A$12:$AI$213,MATCH(HLOOKUP('II. Sledování projektu'!$L$5,vstupy!$N$2:$BY$180,$B20+1,0),data!$B$12:$B$213,0),32)),"",INDEX(data!$A$12:$AI$213,MATCH(HLOOKUP('II. Sledování projektu'!$L$5,vstupy!$N$2:$BY$180,$B20+1,0),data!$B$12:$B$213,0),32))</f>
        <v>74613.41</v>
      </c>
      <c r="M20" s="53">
        <f t="shared" si="2"/>
        <v>0.54311005646674326</v>
      </c>
      <c r="N20" s="54">
        <f>IF(ISERROR(VLOOKUP(C20,data!$C$12:$AD$213,28,0)),0,VLOOKUP(C20,data!$C$12:$AD$213,28,0))</f>
        <v>344820.3031737355</v>
      </c>
    </row>
    <row r="21" spans="2:14" x14ac:dyDescent="0.2">
      <c r="B21" s="19">
        <f t="shared" si="5"/>
        <v>16</v>
      </c>
      <c r="C21" s="19" t="str">
        <f>IF(ISERROR(INDEX(data!$A$12:$AI$213,MATCH(HLOOKUP('II. Sledování projektu'!$L$5,vstupy!$N$2:$BY$180,$B21+1,0),data!$B$12:$B$213,0),3)),"",INDEX(data!$A$12:$AI$213,MATCH(HLOOKUP('II. Sledování projektu'!$L$5,vstupy!$N$2:$BY$180,$B21+1,0),data!$B$12:$B$213,0),3))</f>
        <v>Ostravské komunikace</v>
      </c>
      <c r="D21" s="156">
        <f>IF(ISERROR(INDEX(data!$A$12:$AI$213,MATCH(HLOOKUP('II. Sledování projektu'!$L$5,vstupy!$N$2:$BY$180,$B21+1,0),data!$B$12:$B$213,0),35)),"",INDEX(data!$A$12:$AI$213,MATCH(HLOOKUP('II. Sledování projektu'!$L$5,vstupy!$N$2:$BY$180,$B21+1,0),data!$B$12:$B$213,0),35))</f>
        <v>50.783528090882385</v>
      </c>
      <c r="E21" s="49">
        <f>IF(ISERROR(INDEX(data!$A$12:$AI$213,MATCH(HLOOKUP('II. Sledování projektu'!$L$5,vstupy!$N$2:$BY$180,$B21+1,0),data!$B$12:$B$213,0),27)),"",INDEX(data!$A$12:$AI$213,MATCH(HLOOKUP('II. Sledování projektu'!$L$5,vstupy!$N$2:$BY$180,$B21+1,0),data!$B$12:$B$213,0),27))</f>
        <v>143431374</v>
      </c>
      <c r="F21" s="54">
        <f>IF(ISERROR(INDEX(data!$A$12:$AI$213,MATCH(HLOOKUP('II. Sledování projektu'!$L$5,vstupy!$N$2:$BY$180,$B21+1,0),data!$B$12:$B$213,0),28)),"",INDEX(data!$A$12:$AI$213,MATCH(HLOOKUP('II. Sledování projektu'!$L$5,vstupy!$N$2:$BY$180,$B21+1,0),data!$B$12:$B$213,0),28))</f>
        <v>12448514.27</v>
      </c>
      <c r="G21" s="53">
        <f t="shared" si="3"/>
        <v>8.6790734292205823E-2</v>
      </c>
      <c r="H21" s="53">
        <f>IF(ISERROR(INDEX(data!$A$12:$AI$213,MATCH(HLOOKUP('II. Sledování projektu'!$L$5,vstupy!$N$2:$BY$180,$B21+1,0),data!$B$12:$B$213,0),29)),"",INDEX(data!$A$12:$AI$213,MATCH(HLOOKUP('II. Sledování projektu'!$L$5,vstupy!$N$2:$BY$180,$B21+1,0),data!$B$12:$B$213,0),29))</f>
        <v>0.21</v>
      </c>
      <c r="I21" s="54">
        <f>IF(ISERROR(INDEX(data!$A$12:$AI$213,MATCH(HLOOKUP('II. Sledování projektu'!$L$5,vstupy!$N$2:$BY$180,$B21+1,0),data!$B$12:$B$213,0),31)),"",INDEX(data!$A$12:$AI$213,MATCH(HLOOKUP('II. Sledování projektu'!$L$5,vstupy!$N$2:$BY$180,$B21+1,0),data!$B$12:$B$213,0),31))</f>
        <v>23315339.240000002</v>
      </c>
      <c r="J21" s="53">
        <f t="shared" si="4"/>
        <v>0.16255396981695233</v>
      </c>
      <c r="K21" s="53">
        <f t="shared" si="6"/>
        <v>0.77406652293786826</v>
      </c>
      <c r="L21" s="54">
        <f>IF(ISERROR(INDEX(data!$A$12:$AI$213,MATCH(HLOOKUP('II. Sledování projektu'!$L$5,vstupy!$N$2:$BY$180,$B21+1,0),data!$B$12:$B$213,0),32)),"",INDEX(data!$A$12:$AI$213,MATCH(HLOOKUP('II. Sledování projektu'!$L$5,vstupy!$N$2:$BY$180,$B21+1,0),data!$B$12:$B$213,0),32))</f>
        <v>1405369.1</v>
      </c>
      <c r="M21" s="53">
        <f t="shared" si="2"/>
        <v>5.6849871802662107E-2</v>
      </c>
      <c r="N21" s="54">
        <f>IF(ISERROR(VLOOKUP(C21,data!$C$12:$AD$213,28,0)),0,VLOOKUP(C21,data!$C$12:$AD$213,28,0))</f>
        <v>30120588.539999999</v>
      </c>
    </row>
    <row r="22" spans="2:14" x14ac:dyDescent="0.2">
      <c r="B22" s="19">
        <f t="shared" si="5"/>
        <v>17</v>
      </c>
      <c r="C22" s="19" t="str">
        <f>IF(ISERROR(INDEX(data!$A$12:$AI$213,MATCH(HLOOKUP('II. Sledování projektu'!$L$5,vstupy!$N$2:$BY$180,$B22+1,0),data!$B$12:$B$213,0),3)),"",INDEX(data!$A$12:$AI$213,MATCH(HLOOKUP('II. Sledování projektu'!$L$5,vstupy!$N$2:$BY$180,$B22+1,0),data!$B$12:$B$213,0),3))</f>
        <v>SAREZA</v>
      </c>
      <c r="D22" s="156">
        <f>IF(ISERROR(INDEX(data!$A$12:$AI$213,MATCH(HLOOKUP('II. Sledování projektu'!$L$5,vstupy!$N$2:$BY$180,$B22+1,0),data!$B$12:$B$213,0),35)),"",INDEX(data!$A$12:$AI$213,MATCH(HLOOKUP('II. Sledování projektu'!$L$5,vstupy!$N$2:$BY$180,$B22+1,0),data!$B$12:$B$213,0),35))</f>
        <v>71.040275587274408</v>
      </c>
      <c r="E22" s="49">
        <f>IF(ISERROR(INDEX(data!$A$12:$AI$213,MATCH(HLOOKUP('II. Sledování projektu'!$L$5,vstupy!$N$2:$BY$180,$B22+1,0),data!$B$12:$B$213,0),27)),"",INDEX(data!$A$12:$AI$213,MATCH(HLOOKUP('II. Sledování projektu'!$L$5,vstupy!$N$2:$BY$180,$B22+1,0),data!$B$12:$B$213,0),27))</f>
        <v>49698000</v>
      </c>
      <c r="F22" s="54">
        <f>IF(ISERROR(INDEX(data!$A$12:$AI$213,MATCH(HLOOKUP('II. Sledování projektu'!$L$5,vstupy!$N$2:$BY$180,$B22+1,0),data!$B$12:$B$213,0),28)),"",INDEX(data!$A$12:$AI$213,MATCH(HLOOKUP('II. Sledování projektu'!$L$5,vstupy!$N$2:$BY$180,$B22+1,0),data!$B$12:$B$213,0),28))</f>
        <v>35951186.450000003</v>
      </c>
      <c r="G22" s="53">
        <f t="shared" si="3"/>
        <v>0.72339302285806273</v>
      </c>
      <c r="H22" s="53">
        <f>IF(ISERROR(INDEX(data!$A$12:$AI$213,MATCH(HLOOKUP('II. Sledování projektu'!$L$5,vstupy!$N$2:$BY$180,$B22+1,0),data!$B$12:$B$213,0),29)),"",INDEX(data!$A$12:$AI$213,MATCH(HLOOKUP('II. Sledování projektu'!$L$5,vstupy!$N$2:$BY$180,$B22+1,0),data!$B$12:$B$213,0),29))</f>
        <v>0.22</v>
      </c>
      <c r="I22" s="54">
        <f>IF(ISERROR(INDEX(data!$A$12:$AI$213,MATCH(HLOOKUP('II. Sledování projektu'!$L$5,vstupy!$N$2:$BY$180,$B22+1,0),data!$B$12:$B$213,0),31)),"",INDEX(data!$A$12:$AI$213,MATCH(HLOOKUP('II. Sledování projektu'!$L$5,vstupy!$N$2:$BY$180,$B22+1,0),data!$B$12:$B$213,0),31))</f>
        <v>6354334.4100000001</v>
      </c>
      <c r="J22" s="53">
        <f t="shared" si="4"/>
        <v>0.127858956296028</v>
      </c>
      <c r="K22" s="53">
        <f t="shared" si="6"/>
        <v>0.58117707407285457</v>
      </c>
      <c r="L22" s="54">
        <f>IF(ISERROR(INDEX(data!$A$12:$AI$213,MATCH(HLOOKUP('II. Sledování projektu'!$L$5,vstupy!$N$2:$BY$180,$B22+1,0),data!$B$12:$B$213,0),32)),"",INDEX(data!$A$12:$AI$213,MATCH(HLOOKUP('II. Sledování projektu'!$L$5,vstupy!$N$2:$BY$180,$B22+1,0),data!$B$12:$B$213,0),32))</f>
        <v>3087111.85</v>
      </c>
      <c r="M22" s="53">
        <f t="shared" si="2"/>
        <v>0.32697446609202013</v>
      </c>
      <c r="N22" s="54">
        <f>IF(ISERROR(VLOOKUP(C22,data!$C$12:$AD$213,28,0)),0,VLOOKUP(C22,data!$C$12:$AD$213,28,0))</f>
        <v>10933560</v>
      </c>
    </row>
    <row r="23" spans="2:14" x14ac:dyDescent="0.2">
      <c r="B23" s="19">
        <f t="shared" si="5"/>
        <v>18</v>
      </c>
      <c r="C23" s="19" t="str">
        <f>IF(ISERROR(INDEX(data!$A$12:$AI$213,MATCH(HLOOKUP('II. Sledování projektu'!$L$5,vstupy!$N$2:$BY$180,$B23+1,0),data!$B$12:$B$213,0),3)),"",INDEX(data!$A$12:$AI$213,MATCH(HLOOKUP('II. Sledování projektu'!$L$5,vstupy!$N$2:$BY$180,$B23+1,0),data!$B$12:$B$213,0),3))</f>
        <v>VÍTKOVICE ARÉNA</v>
      </c>
      <c r="D23" s="156">
        <f>IF(ISERROR(INDEX(data!$A$12:$AI$213,MATCH(HLOOKUP('II. Sledování projektu'!$L$5,vstupy!$N$2:$BY$180,$B23+1,0),data!$B$12:$B$213,0),35)),"",INDEX(data!$A$12:$AI$213,MATCH(HLOOKUP('II. Sledování projektu'!$L$5,vstupy!$N$2:$BY$180,$B23+1,0),data!$B$12:$B$213,0),35))</f>
        <v>75.741791954022972</v>
      </c>
      <c r="E23" s="49">
        <f>IF(ISERROR(INDEX(data!$A$12:$AI$213,MATCH(HLOOKUP('II. Sledování projektu'!$L$5,vstupy!$N$2:$BY$180,$B23+1,0),data!$B$12:$B$213,0),27)),"",INDEX(data!$A$12:$AI$213,MATCH(HLOOKUP('II. Sledování projektu'!$L$5,vstupy!$N$2:$BY$180,$B23+1,0),data!$B$12:$B$213,0),27))</f>
        <v>59160000</v>
      </c>
      <c r="F23" s="54">
        <f>IF(ISERROR(INDEX(data!$A$12:$AI$213,MATCH(HLOOKUP('II. Sledování projektu'!$L$5,vstupy!$N$2:$BY$180,$B23+1,0),data!$B$12:$B$213,0),28)),"",INDEX(data!$A$12:$AI$213,MATCH(HLOOKUP('II. Sledování projektu'!$L$5,vstupy!$N$2:$BY$180,$B23+1,0),data!$B$12:$B$213,0),28))</f>
        <v>38423737.039999999</v>
      </c>
      <c r="G23" s="53">
        <f t="shared" si="3"/>
        <v>0.64948845571331981</v>
      </c>
      <c r="H23" s="53">
        <f>IF(ISERROR(INDEX(data!$A$12:$AI$213,MATCH(HLOOKUP('II. Sledování projektu'!$L$5,vstupy!$N$2:$BY$180,$B23+1,0),data!$B$12:$B$213,0),29)),"",INDEX(data!$A$12:$AI$213,MATCH(HLOOKUP('II. Sledování projektu'!$L$5,vstupy!$N$2:$BY$180,$B23+1,0),data!$B$12:$B$213,0),29))</f>
        <v>7.0000000000000007E-2</v>
      </c>
      <c r="I23" s="54">
        <f>IF(ISERROR(INDEX(data!$A$12:$AI$213,MATCH(HLOOKUP('II. Sledování projektu'!$L$5,vstupy!$N$2:$BY$180,$B23+1,0),data!$B$12:$B$213,0),31)),"",INDEX(data!$A$12:$AI$213,MATCH(HLOOKUP('II. Sledování projektu'!$L$5,vstupy!$N$2:$BY$180,$B23+1,0),data!$B$12:$B$213,0),31))</f>
        <v>2986313.82</v>
      </c>
      <c r="J23" s="53">
        <f t="shared" si="4"/>
        <v>5.0478597363083161E-2</v>
      </c>
      <c r="K23" s="53">
        <f t="shared" si="6"/>
        <v>0.72112281947261647</v>
      </c>
      <c r="L23" s="54">
        <f>IF(ISERROR(INDEX(data!$A$12:$AI$213,MATCH(HLOOKUP('II. Sledování projektu'!$L$5,vstupy!$N$2:$BY$180,$B23+1,0),data!$B$12:$B$213,0),32)),"",INDEX(data!$A$12:$AI$213,MATCH(HLOOKUP('II. Sledování projektu'!$L$5,vstupy!$N$2:$BY$180,$B23+1,0),data!$B$12:$B$213,0),32))</f>
        <v>1407574.03</v>
      </c>
      <c r="M23" s="53">
        <f t="shared" si="2"/>
        <v>0.32034819231901884</v>
      </c>
      <c r="N23" s="54">
        <f>IF(ISERROR(VLOOKUP(C23,data!$C$12:$AD$213,28,0)),0,VLOOKUP(C23,data!$C$12:$AD$213,28,0))</f>
        <v>4141200.0000000005</v>
      </c>
    </row>
    <row r="24" spans="2:14" x14ac:dyDescent="0.2">
      <c r="B24" s="19">
        <f t="shared" si="5"/>
        <v>19</v>
      </c>
      <c r="C24" s="19" t="str">
        <f>IF(ISERROR(INDEX(data!$A$12:$AI$213,MATCH(HLOOKUP('II. Sledování projektu'!$L$5,vstupy!$N$2:$BY$180,$B24+1,0),data!$B$12:$B$213,0),3)),"",INDEX(data!$A$12:$AI$213,MATCH(HLOOKUP('II. Sledování projektu'!$L$5,vstupy!$N$2:$BY$180,$B24+1,0),data!$B$12:$B$213,0),3))</f>
        <v>ZOO Ostrava</v>
      </c>
      <c r="D24" s="156">
        <f>IF(ISERROR(INDEX(data!$A$12:$AI$213,MATCH(HLOOKUP('II. Sledování projektu'!$L$5,vstupy!$N$2:$BY$180,$B24+1,0),data!$B$12:$B$213,0),35)),"",INDEX(data!$A$12:$AI$213,MATCH(HLOOKUP('II. Sledování projektu'!$L$5,vstupy!$N$2:$BY$180,$B24+1,0),data!$B$12:$B$213,0),35))</f>
        <v>52.839160076495837</v>
      </c>
      <c r="E24" s="49">
        <f>IF(ISERROR(INDEX(data!$A$12:$AI$213,MATCH(HLOOKUP('II. Sledování projektu'!$L$5,vstupy!$N$2:$BY$180,$B24+1,0),data!$B$12:$B$213,0),27)),"",INDEX(data!$A$12:$AI$213,MATCH(HLOOKUP('II. Sledování projektu'!$L$5,vstupy!$N$2:$BY$180,$B24+1,0),data!$B$12:$B$213,0),27))</f>
        <v>21897750</v>
      </c>
      <c r="F24" s="54">
        <f>IF(ISERROR(INDEX(data!$A$12:$AI$213,MATCH(HLOOKUP('II. Sledování projektu'!$L$5,vstupy!$N$2:$BY$180,$B24+1,0),data!$B$12:$B$213,0),28)),"",INDEX(data!$A$12:$AI$213,MATCH(HLOOKUP('II. Sledování projektu'!$L$5,vstupy!$N$2:$BY$180,$B24+1,0),data!$B$12:$B$213,0),28))</f>
        <v>5049782.1900000004</v>
      </c>
      <c r="G24" s="53">
        <f t="shared" si="3"/>
        <v>0.23060735418022402</v>
      </c>
      <c r="H24" s="53">
        <f>IF(ISERROR(INDEX(data!$A$12:$AI$213,MATCH(HLOOKUP('II. Sledování projektu'!$L$5,vstupy!$N$2:$BY$180,$B24+1,0),data!$B$12:$B$213,0),29)),"",INDEX(data!$A$12:$AI$213,MATCH(HLOOKUP('II. Sledování projektu'!$L$5,vstupy!$N$2:$BY$180,$B24+1,0),data!$B$12:$B$213,0),29))</f>
        <v>0.28270000000000001</v>
      </c>
      <c r="I24" s="54">
        <f>IF(ISERROR(INDEX(data!$A$12:$AI$213,MATCH(HLOOKUP('II. Sledování projektu'!$L$5,vstupy!$N$2:$BY$180,$B24+1,0),data!$B$12:$B$213,0),31)),"",INDEX(data!$A$12:$AI$213,MATCH(HLOOKUP('II. Sledování projektu'!$L$5,vstupy!$N$2:$BY$180,$B24+1,0),data!$B$12:$B$213,0),31))</f>
        <v>4262030.47</v>
      </c>
      <c r="J24" s="53">
        <f t="shared" si="4"/>
        <v>0.19463326003813175</v>
      </c>
      <c r="K24" s="53">
        <f t="shared" si="6"/>
        <v>0.68847987279141054</v>
      </c>
      <c r="L24" s="54">
        <f>IF(ISERROR(INDEX(data!$A$12:$AI$213,MATCH(HLOOKUP('II. Sledování projektu'!$L$5,vstupy!$N$2:$BY$180,$B24+1,0),data!$B$12:$B$213,0),32)),"",INDEX(data!$A$12:$AI$213,MATCH(HLOOKUP('II. Sledování projektu'!$L$5,vstupy!$N$2:$BY$180,$B24+1,0),data!$B$12:$B$213,0),32))</f>
        <v>1508873.52</v>
      </c>
      <c r="M24" s="53">
        <f t="shared" si="2"/>
        <v>0.26146224622946812</v>
      </c>
      <c r="N24" s="54">
        <f>IF(ISERROR(VLOOKUP(C24,data!$C$12:$AD$213,28,0)),0,VLOOKUP(C24,data!$C$12:$AD$213,28,0))</f>
        <v>6190493.9249999998</v>
      </c>
    </row>
    <row r="25" spans="2:14" x14ac:dyDescent="0.2">
      <c r="B25" s="19">
        <f t="shared" si="5"/>
        <v>20</v>
      </c>
      <c r="C25" s="19" t="str">
        <f>IF(ISERROR(INDEX(data!$A$12:$AI$213,MATCH(HLOOKUP('II. Sledování projektu'!$L$5,vstupy!$N$2:$BY$180,$B25+1,0),data!$B$12:$B$213,0),3)),"",INDEX(data!$A$12:$AI$213,MATCH(HLOOKUP('II. Sledování projektu'!$L$5,vstupy!$N$2:$BY$180,$B25+1,0),data!$B$12:$B$213,0),3))</f>
        <v>ZŠ a MŠ MO a Přívoz, Ostrčilova</v>
      </c>
      <c r="D25" s="156">
        <f>IF(ISERROR(INDEX(data!$A$12:$AI$213,MATCH(HLOOKUP('II. Sledování projektu'!$L$5,vstupy!$N$2:$BY$180,$B25+1,0),data!$B$12:$B$213,0),35)),"",INDEX(data!$A$12:$AI$213,MATCH(HLOOKUP('II. Sledování projektu'!$L$5,vstupy!$N$2:$BY$180,$B25+1,0),data!$B$12:$B$213,0),35))</f>
        <v>49.727549463895855</v>
      </c>
      <c r="E25" s="49">
        <f>IF(ISERROR(INDEX(data!$A$12:$AI$213,MATCH(HLOOKUP('II. Sledování projektu'!$L$5,vstupy!$N$2:$BY$180,$B25+1,0),data!$B$12:$B$213,0),27)),"",INDEX(data!$A$12:$AI$213,MATCH(HLOOKUP('II. Sledování projektu'!$L$5,vstupy!$N$2:$BY$180,$B25+1,0),data!$B$12:$B$213,0),27))</f>
        <v>9281250</v>
      </c>
      <c r="F25" s="54">
        <f>IF(ISERROR(INDEX(data!$A$12:$AI$213,MATCH(HLOOKUP('II. Sledování projektu'!$L$5,vstupy!$N$2:$BY$180,$B25+1,0),data!$B$12:$B$213,0),28)),"",INDEX(data!$A$12:$AI$213,MATCH(HLOOKUP('II. Sledování projektu'!$L$5,vstupy!$N$2:$BY$180,$B25+1,0),data!$B$12:$B$213,0),28))</f>
        <v>3233689.21</v>
      </c>
      <c r="G25" s="53">
        <f t="shared" si="3"/>
        <v>0.34841095865319865</v>
      </c>
      <c r="H25" s="53">
        <f>IF(ISERROR(INDEX(data!$A$12:$AI$213,MATCH(HLOOKUP('II. Sledování projektu'!$L$5,vstupy!$N$2:$BY$180,$B25+1,0),data!$B$12:$B$213,0),29)),"",INDEX(data!$A$12:$AI$213,MATCH(HLOOKUP('II. Sledování projektu'!$L$5,vstupy!$N$2:$BY$180,$B25+1,0),data!$B$12:$B$213,0),29))</f>
        <v>0.23549999999999999</v>
      </c>
      <c r="I25" s="54">
        <f>IF(ISERROR(INDEX(data!$A$12:$AI$213,MATCH(HLOOKUP('II. Sledování projektu'!$L$5,vstupy!$N$2:$BY$180,$B25+1,0),data!$B$12:$B$213,0),31)),"",INDEX(data!$A$12:$AI$213,MATCH(HLOOKUP('II. Sledování projektu'!$L$5,vstupy!$N$2:$BY$180,$B25+1,0),data!$B$12:$B$213,0),31))</f>
        <v>1176908.73</v>
      </c>
      <c r="J25" s="53">
        <f t="shared" si="4"/>
        <v>0.12680498101010101</v>
      </c>
      <c r="K25" s="53">
        <f t="shared" si="6"/>
        <v>0.53845002552059873</v>
      </c>
      <c r="L25" s="54">
        <f>IF(ISERROR(INDEX(data!$A$12:$AI$213,MATCH(HLOOKUP('II. Sledování projektu'!$L$5,vstupy!$N$2:$BY$180,$B25+1,0),data!$B$12:$B$213,0),32)),"",INDEX(data!$A$12:$AI$213,MATCH(HLOOKUP('II. Sledování projektu'!$L$5,vstupy!$N$2:$BY$180,$B25+1,0),data!$B$12:$B$213,0),32))</f>
        <v>497536.33</v>
      </c>
      <c r="M25" s="53">
        <f t="shared" si="2"/>
        <v>0.29713505798751022</v>
      </c>
      <c r="N25" s="54">
        <f>IF(ISERROR(VLOOKUP(C25,data!$C$12:$AD$213,28,0)),0,VLOOKUP(C25,data!$C$12:$AD$213,28,0))</f>
        <v>2185734.375</v>
      </c>
    </row>
    <row r="26" spans="2:14" x14ac:dyDescent="0.2">
      <c r="B26" s="19">
        <f t="shared" si="5"/>
        <v>21</v>
      </c>
      <c r="C26" s="19" t="str">
        <f>IF(ISERROR(INDEX(data!$A$12:$AI$213,MATCH(HLOOKUP('II. Sledování projektu'!$L$5,vstupy!$N$2:$BY$180,$B26+1,0),data!$B$12:$B$213,0),3)),"",INDEX(data!$A$12:$AI$213,MATCH(HLOOKUP('II. Sledování projektu'!$L$5,vstupy!$N$2:$BY$180,$B26+1,0),data!$B$12:$B$213,0),3))</f>
        <v>ZŠ a MŠ O-Bělský Les</v>
      </c>
      <c r="D26" s="156">
        <f>IF(ISERROR(INDEX(data!$A$12:$AI$213,MATCH(HLOOKUP('II. Sledování projektu'!$L$5,vstupy!$N$2:$BY$180,$B26+1,0),data!$B$12:$B$213,0),35)),"",INDEX(data!$A$12:$AI$213,MATCH(HLOOKUP('II. Sledování projektu'!$L$5,vstupy!$N$2:$BY$180,$B26+1,0),data!$B$12:$B$213,0),35))</f>
        <v>18.984317718863295</v>
      </c>
      <c r="E26" s="49">
        <f>IF(ISERROR(INDEX(data!$A$12:$AI$213,MATCH(HLOOKUP('II. Sledování projektu'!$L$5,vstupy!$N$2:$BY$180,$B26+1,0),data!$B$12:$B$213,0),27)),"",INDEX(data!$A$12:$AI$213,MATCH(HLOOKUP('II. Sledování projektu'!$L$5,vstupy!$N$2:$BY$180,$B26+1,0),data!$B$12:$B$213,0),27))</f>
        <v>8295825</v>
      </c>
      <c r="F26" s="54">
        <f>IF(ISERROR(INDEX(data!$A$12:$AI$213,MATCH(HLOOKUP('II. Sledování projektu'!$L$5,vstupy!$N$2:$BY$180,$B26+1,0),data!$B$12:$B$213,0),28)),"",INDEX(data!$A$12:$AI$213,MATCH(HLOOKUP('II. Sledování projektu'!$L$5,vstupy!$N$2:$BY$180,$B26+1,0),data!$B$12:$B$213,0),28))</f>
        <v>2234565.19</v>
      </c>
      <c r="G26" s="53">
        <f t="shared" si="3"/>
        <v>0.26936021311924974</v>
      </c>
      <c r="H26" s="53">
        <f>IF(ISERROR(INDEX(data!$A$12:$AI$213,MATCH(HLOOKUP('II. Sledování projektu'!$L$5,vstupy!$N$2:$BY$180,$B26+1,0),data!$B$12:$B$213,0),29)),"",INDEX(data!$A$12:$AI$213,MATCH(HLOOKUP('II. Sledování projektu'!$L$5,vstupy!$N$2:$BY$180,$B26+1,0),data!$B$12:$B$213,0),29))</f>
        <v>0.22450000000000001</v>
      </c>
      <c r="I26" s="54">
        <f>IF(ISERROR(INDEX(data!$A$12:$AI$213,MATCH(HLOOKUP('II. Sledování projektu'!$L$5,vstupy!$N$2:$BY$180,$B26+1,0),data!$B$12:$B$213,0),31)),"",INDEX(data!$A$12:$AI$213,MATCH(HLOOKUP('II. Sledování projektu'!$L$5,vstupy!$N$2:$BY$180,$B26+1,0),data!$B$12:$B$213,0),31))</f>
        <v>171227.34</v>
      </c>
      <c r="J26" s="53">
        <f t="shared" si="4"/>
        <v>2.0640182260353853E-2</v>
      </c>
      <c r="K26" s="53">
        <f t="shared" si="6"/>
        <v>9.1938451048346775E-2</v>
      </c>
      <c r="L26" s="54">
        <f>IF(ISERROR(INDEX(data!$A$12:$AI$213,MATCH(HLOOKUP('II. Sledování projektu'!$L$5,vstupy!$N$2:$BY$180,$B26+1,0),data!$B$12:$B$213,0),32)),"",INDEX(data!$A$12:$AI$213,MATCH(HLOOKUP('II. Sledování projektu'!$L$5,vstupy!$N$2:$BY$180,$B26+1,0),data!$B$12:$B$213,0),32))</f>
        <v>131014.8</v>
      </c>
      <c r="M26" s="53">
        <f t="shared" si="2"/>
        <v>0.43347628494160345</v>
      </c>
      <c r="N26" s="54">
        <f>IF(ISERROR(VLOOKUP(C26,data!$C$12:$AD$213,28,0)),0,VLOOKUP(C26,data!$C$12:$AD$213,28,0))</f>
        <v>1862412.7125000001</v>
      </c>
    </row>
    <row r="27" spans="2:14" x14ac:dyDescent="0.2">
      <c r="B27" s="19">
        <f t="shared" si="5"/>
        <v>22</v>
      </c>
      <c r="C27" s="19" t="str">
        <f>IF(ISERROR(INDEX(data!$A$12:$AI$213,MATCH(HLOOKUP('II. Sledování projektu'!$L$5,vstupy!$N$2:$BY$180,$B27+1,0),data!$B$12:$B$213,0),3)),"",INDEX(data!$A$12:$AI$213,MATCH(HLOOKUP('II. Sledování projektu'!$L$5,vstupy!$N$2:$BY$180,$B27+1,0),data!$B$12:$B$213,0),3))</f>
        <v>ZŠ a MŠ O-Hrabůvka, A.Kučery</v>
      </c>
      <c r="D27" s="156">
        <f>IF(ISERROR(INDEX(data!$A$12:$AI$213,MATCH(HLOOKUP('II. Sledování projektu'!$L$5,vstupy!$N$2:$BY$180,$B27+1,0),data!$B$12:$B$213,0),35)),"",INDEX(data!$A$12:$AI$213,MATCH(HLOOKUP('II. Sledování projektu'!$L$5,vstupy!$N$2:$BY$180,$B27+1,0),data!$B$12:$B$213,0),35))</f>
        <v>39.976073962703225</v>
      </c>
      <c r="E27" s="49">
        <f>IF(ISERROR(INDEX(data!$A$12:$AI$213,MATCH(HLOOKUP('II. Sledování projektu'!$L$5,vstupy!$N$2:$BY$180,$B27+1,0),data!$B$12:$B$213,0),27)),"",INDEX(data!$A$12:$AI$213,MATCH(HLOOKUP('II. Sledování projektu'!$L$5,vstupy!$N$2:$BY$180,$B27+1,0),data!$B$12:$B$213,0),27))</f>
        <v>9648874.5</v>
      </c>
      <c r="F27" s="54">
        <f>IF(ISERROR(INDEX(data!$A$12:$AI$213,MATCH(HLOOKUP('II. Sledování projektu'!$L$5,vstupy!$N$2:$BY$180,$B27+1,0),data!$B$12:$B$213,0),28)),"",INDEX(data!$A$12:$AI$213,MATCH(HLOOKUP('II. Sledování projektu'!$L$5,vstupy!$N$2:$BY$180,$B27+1,0),data!$B$12:$B$213,0),28))</f>
        <v>3026257.21</v>
      </c>
      <c r="G27" s="53">
        <f t="shared" si="3"/>
        <v>0.31363836372832915</v>
      </c>
      <c r="H27" s="53">
        <f>IF(ISERROR(INDEX(data!$A$12:$AI$213,MATCH(HLOOKUP('II. Sledování projektu'!$L$5,vstupy!$N$2:$BY$180,$B27+1,0),data!$B$12:$B$213,0),29)),"",INDEX(data!$A$12:$AI$213,MATCH(HLOOKUP('II. Sledování projektu'!$L$5,vstupy!$N$2:$BY$180,$B27+1,0),data!$B$12:$B$213,0),29))</f>
        <v>0.2606</v>
      </c>
      <c r="I27" s="54">
        <f>IF(ISERROR(INDEX(data!$A$12:$AI$213,MATCH(HLOOKUP('II. Sledování projektu'!$L$5,vstupy!$N$2:$BY$180,$B27+1,0),data!$B$12:$B$213,0),31)),"",INDEX(data!$A$12:$AI$213,MATCH(HLOOKUP('II. Sledování projektu'!$L$5,vstupy!$N$2:$BY$180,$B27+1,0),data!$B$12:$B$213,0),31))</f>
        <v>1018126.24</v>
      </c>
      <c r="J27" s="53">
        <f t="shared" si="4"/>
        <v>0.10551761658833887</v>
      </c>
      <c r="K27" s="53">
        <f t="shared" si="6"/>
        <v>0.4049025962714462</v>
      </c>
      <c r="L27" s="54">
        <f>IF(ISERROR(INDEX(data!$A$12:$AI$213,MATCH(HLOOKUP('II. Sledování projektu'!$L$5,vstupy!$N$2:$BY$180,$B27+1,0),data!$B$12:$B$213,0),32)),"",INDEX(data!$A$12:$AI$213,MATCH(HLOOKUP('II. Sledování projektu'!$L$5,vstupy!$N$2:$BY$180,$B27+1,0),data!$B$12:$B$213,0),32))</f>
        <v>310264.09999999998</v>
      </c>
      <c r="M27" s="53">
        <f t="shared" si="2"/>
        <v>0.23356395379990494</v>
      </c>
      <c r="N27" s="54">
        <f>IF(ISERROR(VLOOKUP(C27,data!$C$12:$AD$213,28,0)),0,VLOOKUP(C27,data!$C$12:$AD$213,28,0))</f>
        <v>2514496.6946999999</v>
      </c>
    </row>
    <row r="28" spans="2:14" x14ac:dyDescent="0.2">
      <c r="B28" s="19">
        <f t="shared" si="5"/>
        <v>23</v>
      </c>
      <c r="C28" s="19" t="str">
        <f>IF(ISERROR(INDEX(data!$A$12:$AI$213,MATCH(HLOOKUP('II. Sledování projektu'!$L$5,vstupy!$N$2:$BY$180,$B28+1,0),data!$B$12:$B$213,0),3)),"",INDEX(data!$A$12:$AI$213,MATCH(HLOOKUP('II. Sledování projektu'!$L$5,vstupy!$N$2:$BY$180,$B28+1,0),data!$B$12:$B$213,0),3))</f>
        <v>ZŠ MO a Přívoz, Matiční</v>
      </c>
      <c r="D28" s="156">
        <f>IF(ISERROR(INDEX(data!$A$12:$AI$213,MATCH(HLOOKUP('II. Sledování projektu'!$L$5,vstupy!$N$2:$BY$180,$B28+1,0),data!$B$12:$B$213,0),35)),"",INDEX(data!$A$12:$AI$213,MATCH(HLOOKUP('II. Sledování projektu'!$L$5,vstupy!$N$2:$BY$180,$B28+1,0),data!$B$12:$B$213,0),35))</f>
        <v>89.989191361984183</v>
      </c>
      <c r="E28" s="49">
        <f>IF(ISERROR(INDEX(data!$A$12:$AI$213,MATCH(HLOOKUP('II. Sledování projektu'!$L$5,vstupy!$N$2:$BY$180,$B28+1,0),data!$B$12:$B$213,0),27)),"",INDEX(data!$A$12:$AI$213,MATCH(HLOOKUP('II. Sledování projektu'!$L$5,vstupy!$N$2:$BY$180,$B28+1,0),data!$B$12:$B$213,0),27))</f>
        <v>8184750</v>
      </c>
      <c r="F28" s="54">
        <f>IF(ISERROR(INDEX(data!$A$12:$AI$213,MATCH(HLOOKUP('II. Sledování projektu'!$L$5,vstupy!$N$2:$BY$180,$B28+1,0),data!$B$12:$B$213,0),28)),"",INDEX(data!$A$12:$AI$213,MATCH(HLOOKUP('II. Sledování projektu'!$L$5,vstupy!$N$2:$BY$180,$B28+1,0),data!$B$12:$B$213,0),28))</f>
        <v>4909080.68</v>
      </c>
      <c r="G28" s="53">
        <f t="shared" si="3"/>
        <v>0.59978382723968349</v>
      </c>
      <c r="H28" s="53">
        <f>IF(ISERROR(INDEX(data!$A$12:$AI$213,MATCH(HLOOKUP('II. Sledování projektu'!$L$5,vstupy!$N$2:$BY$180,$B28+1,0),data!$B$12:$B$213,0),29)),"",INDEX(data!$A$12:$AI$213,MATCH(HLOOKUP('II. Sledování projektu'!$L$5,vstupy!$N$2:$BY$180,$B28+1,0),data!$B$12:$B$213,0),29))</f>
        <v>0.32140000000000002</v>
      </c>
      <c r="I28" s="54">
        <f>IF(ISERROR(INDEX(data!$A$12:$AI$213,MATCH(HLOOKUP('II. Sledování projektu'!$L$5,vstupy!$N$2:$BY$180,$B28+1,0),data!$B$12:$B$213,0),31)),"",INDEX(data!$A$12:$AI$213,MATCH(HLOOKUP('II. Sledování projektu'!$L$5,vstupy!$N$2:$BY$180,$B28+1,0),data!$B$12:$B$213,0),31))</f>
        <v>3056437.0300000003</v>
      </c>
      <c r="J28" s="53">
        <f t="shared" si="4"/>
        <v>0.37343071321665294</v>
      </c>
      <c r="K28" s="53">
        <f t="shared" si="6"/>
        <v>1.1618877200269224</v>
      </c>
      <c r="L28" s="54">
        <f>IF(ISERROR(INDEX(data!$A$12:$AI$213,MATCH(HLOOKUP('II. Sledování projektu'!$L$5,vstupy!$N$2:$BY$180,$B28+1,0),data!$B$12:$B$213,0),32)),"",INDEX(data!$A$12:$AI$213,MATCH(HLOOKUP('II. Sledování projektu'!$L$5,vstupy!$N$2:$BY$180,$B28+1,0),data!$B$12:$B$213,0),32))</f>
        <v>820785.04999999993</v>
      </c>
      <c r="M28" s="53">
        <f t="shared" si="2"/>
        <v>0.21169410290782206</v>
      </c>
      <c r="N28" s="54">
        <f>IF(ISERROR(VLOOKUP(C28,data!$C$12:$AD$213,28,0)),0,VLOOKUP(C28,data!$C$12:$AD$213,28,0))</f>
        <v>2630578.6500000004</v>
      </c>
    </row>
    <row r="29" spans="2:14" x14ac:dyDescent="0.2">
      <c r="B29" s="19">
        <f t="shared" si="5"/>
        <v>24</v>
      </c>
      <c r="C29" s="19" t="str">
        <f>IF(ISERROR(INDEX(data!$A$12:$AI$213,MATCH(HLOOKUP('II. Sledování projektu'!$L$5,vstupy!$N$2:$BY$180,$B29+1,0),data!$B$12:$B$213,0),3)),"",INDEX(data!$A$12:$AI$213,MATCH(HLOOKUP('II. Sledování projektu'!$L$5,vstupy!$N$2:$BY$180,$B29+1,0),data!$B$12:$B$213,0),3))</f>
        <v>Centrum sociálních služeb Poruba</v>
      </c>
      <c r="D29" s="156">
        <f>IF(ISERROR(INDEX(data!$A$12:$AI$213,MATCH(HLOOKUP('II. Sledování projektu'!$L$5,vstupy!$N$2:$BY$180,$B29+1,0),data!$B$12:$B$213,0),35)),"",INDEX(data!$A$12:$AI$213,MATCH(HLOOKUP('II. Sledování projektu'!$L$5,vstupy!$N$2:$BY$180,$B29+1,0),data!$B$12:$B$213,0),35))</f>
        <v>82.136481123205414</v>
      </c>
      <c r="E29" s="49">
        <f>IF(ISERROR(INDEX(data!$A$12:$AI$213,MATCH(HLOOKUP('II. Sledování projektu'!$L$5,vstupy!$N$2:$BY$180,$B29+1,0),data!$B$12:$B$213,0),27)),"",INDEX(data!$A$12:$AI$213,MATCH(HLOOKUP('II. Sledování projektu'!$L$5,vstupy!$N$2:$BY$180,$B29+1,0),data!$B$12:$B$213,0),27))</f>
        <v>3029625</v>
      </c>
      <c r="F29" s="54">
        <f>IF(ISERROR(INDEX(data!$A$12:$AI$213,MATCH(HLOOKUP('II. Sledování projektu'!$L$5,vstupy!$N$2:$BY$180,$B29+1,0),data!$B$12:$B$213,0),28)),"",INDEX(data!$A$12:$AI$213,MATCH(HLOOKUP('II. Sledování projektu'!$L$5,vstupy!$N$2:$BY$180,$B29+1,0),data!$B$12:$B$213,0),28))</f>
        <v>2115801.83</v>
      </c>
      <c r="G29" s="53">
        <f t="shared" si="3"/>
        <v>0.69837086438090523</v>
      </c>
      <c r="H29" s="53">
        <f>IF(ISERROR(INDEX(data!$A$12:$AI$213,MATCH(HLOOKUP('II. Sledování projektu'!$L$5,vstupy!$N$2:$BY$180,$B29+1,0),data!$B$12:$B$213,0),29)),"",INDEX(data!$A$12:$AI$213,MATCH(HLOOKUP('II. Sledování projektu'!$L$5,vstupy!$N$2:$BY$180,$B29+1,0),data!$B$12:$B$213,0),29))</f>
        <v>0.14353952548280566</v>
      </c>
      <c r="I29" s="54">
        <f>IF(ISERROR(INDEX(data!$A$12:$AI$213,MATCH(HLOOKUP('II. Sledování projektu'!$L$5,vstupy!$N$2:$BY$180,$B29+1,0),data!$B$12:$B$213,0),31)),"",INDEX(data!$A$12:$AI$213,MATCH(HLOOKUP('II. Sledování projektu'!$L$5,vstupy!$N$2:$BY$180,$B29+1,0),data!$B$12:$B$213,0),31))</f>
        <v>342228.47999999998</v>
      </c>
      <c r="J29" s="53">
        <f t="shared" si="4"/>
        <v>0.11296067335066221</v>
      </c>
      <c r="K29" s="53">
        <f t="shared" si="6"/>
        <v>0.78696563173600265</v>
      </c>
      <c r="L29" s="54">
        <f>IF(ISERROR(INDEX(data!$A$12:$AI$213,MATCH(HLOOKUP('II. Sledování projektu'!$L$5,vstupy!$N$2:$BY$180,$B29+1,0),data!$B$12:$B$213,0),32)),"",INDEX(data!$A$12:$AI$213,MATCH(HLOOKUP('II. Sledování projektu'!$L$5,vstupy!$N$2:$BY$180,$B29+1,0),data!$B$12:$B$213,0),32))</f>
        <v>80319.28</v>
      </c>
      <c r="M29" s="53">
        <f t="shared" si="2"/>
        <v>0.19008331744558296</v>
      </c>
      <c r="N29" s="54">
        <f>IF(ISERROR(VLOOKUP(C29,data!$C$12:$AD$213,28,0)),0,VLOOKUP(C29,data!$C$12:$AD$213,28,0))</f>
        <v>434870.93489084509</v>
      </c>
    </row>
    <row r="30" spans="2:14" x14ac:dyDescent="0.2">
      <c r="B30" s="19">
        <f t="shared" si="5"/>
        <v>25</v>
      </c>
      <c r="C30" s="19" t="str">
        <f>IF(ISERROR(INDEX(data!$A$12:$AI$213,MATCH(HLOOKUP('II. Sledování projektu'!$L$5,vstupy!$N$2:$BY$180,$B30+1,0),data!$B$12:$B$213,0),3)),"",INDEX(data!$A$12:$AI$213,MATCH(HLOOKUP('II. Sledování projektu'!$L$5,vstupy!$N$2:$BY$180,$B30+1,0),data!$B$12:$B$213,0),3))</f>
        <v>DK POKLAD</v>
      </c>
      <c r="D30" s="156">
        <f>IF(ISERROR(INDEX(data!$A$12:$AI$213,MATCH(HLOOKUP('II. Sledování projektu'!$L$5,vstupy!$N$2:$BY$180,$B30+1,0),data!$B$12:$B$213,0),35)),"",INDEX(data!$A$12:$AI$213,MATCH(HLOOKUP('II. Sledování projektu'!$L$5,vstupy!$N$2:$BY$180,$B30+1,0),data!$B$12:$B$213,0),35))</f>
        <v>45.883222623349866</v>
      </c>
      <c r="E30" s="49">
        <f>IF(ISERROR(INDEX(data!$A$12:$AI$213,MATCH(HLOOKUP('II. Sledování projektu'!$L$5,vstupy!$N$2:$BY$180,$B30+1,0),data!$B$12:$B$213,0),27)),"",INDEX(data!$A$12:$AI$213,MATCH(HLOOKUP('II. Sledování projektu'!$L$5,vstupy!$N$2:$BY$180,$B30+1,0),data!$B$12:$B$213,0),27))</f>
        <v>1598250</v>
      </c>
      <c r="F30" s="54">
        <f>IF(ISERROR(INDEX(data!$A$12:$AI$213,MATCH(HLOOKUP('II. Sledování projektu'!$L$5,vstupy!$N$2:$BY$180,$B30+1,0),data!$B$12:$B$213,0),28)),"",INDEX(data!$A$12:$AI$213,MATCH(HLOOKUP('II. Sledování projektu'!$L$5,vstupy!$N$2:$BY$180,$B30+1,0),data!$B$12:$B$213,0),28))</f>
        <v>0</v>
      </c>
      <c r="G30" s="53">
        <f t="shared" si="3"/>
        <v>0</v>
      </c>
      <c r="H30" s="53">
        <f>IF(ISERROR(INDEX(data!$A$12:$AI$213,MATCH(HLOOKUP('II. Sledování projektu'!$L$5,vstupy!$N$2:$BY$180,$B30+1,0),data!$B$12:$B$213,0),29)),"",INDEX(data!$A$12:$AI$213,MATCH(HLOOKUP('II. Sledování projektu'!$L$5,vstupy!$N$2:$BY$180,$B30+1,0),data!$B$12:$B$213,0),29))</f>
        <v>7.5300000000000006E-2</v>
      </c>
      <c r="I30" s="54">
        <f>IF(ISERROR(INDEX(data!$A$12:$AI$213,MATCH(HLOOKUP('II. Sledování projektu'!$L$5,vstupy!$N$2:$BY$180,$B30+1,0),data!$B$12:$B$213,0),31)),"",INDEX(data!$A$12:$AI$213,MATCH(HLOOKUP('II. Sledování projektu'!$L$5,vstupy!$N$2:$BY$180,$B30+1,0),data!$B$12:$B$213,0),31))</f>
        <v>92032.74</v>
      </c>
      <c r="J30" s="53">
        <f t="shared" si="4"/>
        <v>5.7583444392304083E-2</v>
      </c>
      <c r="K30" s="53">
        <f t="shared" si="6"/>
        <v>0.76472037705583107</v>
      </c>
      <c r="L30" s="54">
        <f>IF(ISERROR(INDEX(data!$A$12:$AI$213,MATCH(HLOOKUP('II. Sledování projektu'!$L$5,vstupy!$N$2:$BY$180,$B30+1,0),data!$B$12:$B$213,0),32)),"",INDEX(data!$A$12:$AI$213,MATCH(HLOOKUP('II. Sledování projektu'!$L$5,vstupy!$N$2:$BY$180,$B30+1,0),data!$B$12:$B$213,0),32))</f>
        <v>67887</v>
      </c>
      <c r="M30" s="53">
        <f t="shared" si="2"/>
        <v>0.42450669316996142</v>
      </c>
      <c r="N30" s="54">
        <f>IF(ISERROR(VLOOKUP(C30,data!$C$12:$AD$213,28,0)),0,VLOOKUP(C30,data!$C$12:$AD$213,28,0))</f>
        <v>120348.22500000001</v>
      </c>
    </row>
    <row r="31" spans="2:14" x14ac:dyDescent="0.2">
      <c r="B31" s="19">
        <f t="shared" si="5"/>
        <v>26</v>
      </c>
      <c r="C31" s="19" t="str">
        <f>IF(ISERROR(INDEX(data!$A$12:$AI$213,MATCH(HLOOKUP('II. Sledování projektu'!$L$5,vstupy!$N$2:$BY$180,$B31+1,0),data!$B$12:$B$213,0),3)),"",INDEX(data!$A$12:$AI$213,MATCH(HLOOKUP('II. Sledování projektu'!$L$5,vstupy!$N$2:$BY$180,$B31+1,0),data!$B$12:$B$213,0),3))</f>
        <v>Domov Sluníčko</v>
      </c>
      <c r="D31" s="156">
        <f>IF(ISERROR(INDEX(data!$A$12:$AI$213,MATCH(HLOOKUP('II. Sledování projektu'!$L$5,vstupy!$N$2:$BY$180,$B31+1,0),data!$B$12:$B$213,0),35)),"",INDEX(data!$A$12:$AI$213,MATCH(HLOOKUP('II. Sledování projektu'!$L$5,vstupy!$N$2:$BY$180,$B31+1,0),data!$B$12:$B$213,0),35))</f>
        <v>88.870863209015994</v>
      </c>
      <c r="E31" s="49">
        <f>IF(ISERROR(INDEX(data!$A$12:$AI$213,MATCH(HLOOKUP('II. Sledování projektu'!$L$5,vstupy!$N$2:$BY$180,$B31+1,0),data!$B$12:$B$213,0),27)),"",INDEX(data!$A$12:$AI$213,MATCH(HLOOKUP('II. Sledování projektu'!$L$5,vstupy!$N$2:$BY$180,$B31+1,0),data!$B$12:$B$213,0),27))</f>
        <v>11928000</v>
      </c>
      <c r="F31" s="54">
        <f>IF(ISERROR(INDEX(data!$A$12:$AI$213,MATCH(HLOOKUP('II. Sledování projektu'!$L$5,vstupy!$N$2:$BY$180,$B31+1,0),data!$B$12:$B$213,0),28)),"",INDEX(data!$A$12:$AI$213,MATCH(HLOOKUP('II. Sledování projektu'!$L$5,vstupy!$N$2:$BY$180,$B31+1,0),data!$B$12:$B$213,0),28))</f>
        <v>8650265.2699999996</v>
      </c>
      <c r="G31" s="53">
        <f t="shared" si="3"/>
        <v>0.72520667924211935</v>
      </c>
      <c r="H31" s="53">
        <f>IF(ISERROR(INDEX(data!$A$12:$AI$213,MATCH(HLOOKUP('II. Sledování projektu'!$L$5,vstupy!$N$2:$BY$180,$B31+1,0),data!$B$12:$B$213,0),29)),"",INDEX(data!$A$12:$AI$213,MATCH(HLOOKUP('II. Sledování projektu'!$L$5,vstupy!$N$2:$BY$180,$B31+1,0),data!$B$12:$B$213,0),29))</f>
        <v>0.56000000000000005</v>
      </c>
      <c r="I31" s="54">
        <f>IF(ISERROR(INDEX(data!$A$12:$AI$213,MATCH(HLOOKUP('II. Sledování projektu'!$L$5,vstupy!$N$2:$BY$180,$B31+1,0),data!$B$12:$B$213,0),31)),"",INDEX(data!$A$12:$AI$213,MATCH(HLOOKUP('II. Sledování projektu'!$L$5,vstupy!$N$2:$BY$180,$B31+1,0),data!$B$12:$B$213,0),31))</f>
        <v>5857025</v>
      </c>
      <c r="J31" s="53">
        <f t="shared" si="4"/>
        <v>0.49103160630449361</v>
      </c>
      <c r="K31" s="53">
        <f t="shared" si="6"/>
        <v>0.87684215411516708</v>
      </c>
      <c r="L31" s="54">
        <f>IF(ISERROR(INDEX(data!$A$12:$AI$213,MATCH(HLOOKUP('II. Sledování projektu'!$L$5,vstupy!$N$2:$BY$180,$B31+1,0),data!$B$12:$B$213,0),32)),"",INDEX(data!$A$12:$AI$213,MATCH(HLOOKUP('II. Sledování projektu'!$L$5,vstupy!$N$2:$BY$180,$B31+1,0),data!$B$12:$B$213,0),32))</f>
        <v>1849004.87</v>
      </c>
      <c r="M31" s="53">
        <f t="shared" si="2"/>
        <v>0.23994260354456687</v>
      </c>
      <c r="N31" s="54">
        <f>IF(ISERROR(VLOOKUP(C31,data!$C$12:$AD$213,28,0)),0,VLOOKUP(C31,data!$C$12:$AD$213,28,0))</f>
        <v>6679680.0000000009</v>
      </c>
    </row>
    <row r="32" spans="2:14" x14ac:dyDescent="0.2">
      <c r="B32" s="19">
        <f t="shared" si="5"/>
        <v>27</v>
      </c>
      <c r="C32" s="19" t="str">
        <f>IF(ISERROR(INDEX(data!$A$12:$AI$213,MATCH(HLOOKUP('II. Sledování projektu'!$L$5,vstupy!$N$2:$BY$180,$B32+1,0),data!$B$12:$B$213,0),3)),"",INDEX(data!$A$12:$AI$213,MATCH(HLOOKUP('II. Sledování projektu'!$L$5,vstupy!$N$2:$BY$180,$B32+1,0),data!$B$12:$B$213,0),3))</f>
        <v>Domov Slunovrat</v>
      </c>
      <c r="D32" s="156">
        <f>IF(ISERROR(INDEX(data!$A$12:$AI$213,MATCH(HLOOKUP('II. Sledování projektu'!$L$5,vstupy!$N$2:$BY$180,$B32+1,0),data!$B$12:$B$213,0),35)),"",INDEX(data!$A$12:$AI$213,MATCH(HLOOKUP('II. Sledování projektu'!$L$5,vstupy!$N$2:$BY$180,$B32+1,0),data!$B$12:$B$213,0),35))</f>
        <v>70.434719486228062</v>
      </c>
      <c r="E32" s="49">
        <f>IF(ISERROR(INDEX(data!$A$12:$AI$213,MATCH(HLOOKUP('II. Sledování projektu'!$L$5,vstupy!$N$2:$BY$180,$B32+1,0),data!$B$12:$B$213,0),27)),"",INDEX(data!$A$12:$AI$213,MATCH(HLOOKUP('II. Sledování projektu'!$L$5,vstupy!$N$2:$BY$180,$B32+1,0),data!$B$12:$B$213,0),27))</f>
        <v>8043750</v>
      </c>
      <c r="F32" s="54">
        <f>IF(ISERROR(INDEX(data!$A$12:$AI$213,MATCH(HLOOKUP('II. Sledování projektu'!$L$5,vstupy!$N$2:$BY$180,$B32+1,0),data!$B$12:$B$213,0),28)),"",INDEX(data!$A$12:$AI$213,MATCH(HLOOKUP('II. Sledování projektu'!$L$5,vstupy!$N$2:$BY$180,$B32+1,0),data!$B$12:$B$213,0),28))</f>
        <v>4090797.93</v>
      </c>
      <c r="G32" s="53">
        <f t="shared" si="3"/>
        <v>0.50856850722610725</v>
      </c>
      <c r="H32" s="53">
        <f>IF(ISERROR(INDEX(data!$A$12:$AI$213,MATCH(HLOOKUP('II. Sledování projektu'!$L$5,vstupy!$N$2:$BY$180,$B32+1,0),data!$B$12:$B$213,0),29)),"",INDEX(data!$A$12:$AI$213,MATCH(HLOOKUP('II. Sledování projektu'!$L$5,vstupy!$N$2:$BY$180,$B32+1,0),data!$B$12:$B$213,0),29))</f>
        <v>0.49</v>
      </c>
      <c r="I32" s="54">
        <f>IF(ISERROR(INDEX(data!$A$12:$AI$213,MATCH(HLOOKUP('II. Sledování projektu'!$L$5,vstupy!$N$2:$BY$180,$B32+1,0),data!$B$12:$B$213,0),31)),"",INDEX(data!$A$12:$AI$213,MATCH(HLOOKUP('II. Sledování projektu'!$L$5,vstupy!$N$2:$BY$180,$B32+1,0),data!$B$12:$B$213,0),31))</f>
        <v>2956491.59</v>
      </c>
      <c r="J32" s="53">
        <f t="shared" si="4"/>
        <v>0.36755140202020198</v>
      </c>
      <c r="K32" s="53">
        <f t="shared" si="6"/>
        <v>0.75010490208204494</v>
      </c>
      <c r="L32" s="54">
        <f>IF(ISERROR(INDEX(data!$A$12:$AI$213,MATCH(HLOOKUP('II. Sledování projektu'!$L$5,vstupy!$N$2:$BY$180,$B32+1,0),data!$B$12:$B$213,0),32)),"",INDEX(data!$A$12:$AI$213,MATCH(HLOOKUP('II. Sledování projektu'!$L$5,vstupy!$N$2:$BY$180,$B32+1,0),data!$B$12:$B$213,0),32))</f>
        <v>1398146.89</v>
      </c>
      <c r="M32" s="53">
        <f t="shared" si="2"/>
        <v>0.32107071492189637</v>
      </c>
      <c r="N32" s="54">
        <f>IF(ISERROR(VLOOKUP(C32,data!$C$12:$AD$213,28,0)),0,VLOOKUP(C32,data!$C$12:$AD$213,28,0))</f>
        <v>3941437.5</v>
      </c>
    </row>
    <row r="33" spans="2:14" x14ac:dyDescent="0.2">
      <c r="B33" s="19">
        <f t="shared" si="5"/>
        <v>28</v>
      </c>
      <c r="C33" s="19" t="str">
        <f>IF(ISERROR(INDEX(data!$A$12:$AI$213,MATCH(HLOOKUP('II. Sledování projektu'!$L$5,vstupy!$N$2:$BY$180,$B33+1,0),data!$B$12:$B$213,0),3)),"",INDEX(data!$A$12:$AI$213,MATCH(HLOOKUP('II. Sledování projektu'!$L$5,vstupy!$N$2:$BY$180,$B33+1,0),data!$B$12:$B$213,0),3))</f>
        <v>DPS Iris</v>
      </c>
      <c r="D33" s="156">
        <f>IF(ISERROR(INDEX(data!$A$12:$AI$213,MATCH(HLOOKUP('II. Sledování projektu'!$L$5,vstupy!$N$2:$BY$180,$B33+1,0),data!$B$12:$B$213,0),35)),"",INDEX(data!$A$12:$AI$213,MATCH(HLOOKUP('II. Sledování projektu'!$L$5,vstupy!$N$2:$BY$180,$B33+1,0),data!$B$12:$B$213,0),35))</f>
        <v>81.997999027214831</v>
      </c>
      <c r="E33" s="49">
        <f>IF(ISERROR(INDEX(data!$A$12:$AI$213,MATCH(HLOOKUP('II. Sledování projektu'!$L$5,vstupy!$N$2:$BY$180,$B33+1,0),data!$B$12:$B$213,0),27)),"",INDEX(data!$A$12:$AI$213,MATCH(HLOOKUP('II. Sledování projektu'!$L$5,vstupy!$N$2:$BY$180,$B33+1,0),data!$B$12:$B$213,0),27))</f>
        <v>5887500</v>
      </c>
      <c r="F33" s="54">
        <f>IF(ISERROR(INDEX(data!$A$12:$AI$213,MATCH(HLOOKUP('II. Sledování projektu'!$L$5,vstupy!$N$2:$BY$180,$B33+1,0),data!$B$12:$B$213,0),28)),"",INDEX(data!$A$12:$AI$213,MATCH(HLOOKUP('II. Sledování projektu'!$L$5,vstupy!$N$2:$BY$180,$B33+1,0),data!$B$12:$B$213,0),28))</f>
        <v>4950596.66</v>
      </c>
      <c r="G33" s="53">
        <f t="shared" si="3"/>
        <v>0.84086567473460727</v>
      </c>
      <c r="H33" s="53">
        <f>IF(ISERROR(INDEX(data!$A$12:$AI$213,MATCH(HLOOKUP('II. Sledování projektu'!$L$5,vstupy!$N$2:$BY$180,$B33+1,0),data!$B$12:$B$213,0),29)),"",INDEX(data!$A$12:$AI$213,MATCH(HLOOKUP('II. Sledování projektu'!$L$5,vstupy!$N$2:$BY$180,$B33+1,0),data!$B$12:$B$213,0),29))</f>
        <v>0.55000000000000004</v>
      </c>
      <c r="I33" s="54">
        <f>IF(ISERROR(INDEX(data!$A$12:$AI$213,MATCH(HLOOKUP('II. Sledování projektu'!$L$5,vstupy!$N$2:$BY$180,$B33+1,0),data!$B$12:$B$213,0),31)),"",INDEX(data!$A$12:$AI$213,MATCH(HLOOKUP('II. Sledování projektu'!$L$5,vstupy!$N$2:$BY$180,$B33+1,0),data!$B$12:$B$213,0),31))</f>
        <v>2266579.5100000002</v>
      </c>
      <c r="J33" s="53">
        <f t="shared" si="4"/>
        <v>0.38498165774946924</v>
      </c>
      <c r="K33" s="53">
        <f t="shared" si="6"/>
        <v>0.69996665045358042</v>
      </c>
      <c r="L33" s="54">
        <f>IF(ISERROR(INDEX(data!$A$12:$AI$213,MATCH(HLOOKUP('II. Sledování projektu'!$L$5,vstupy!$N$2:$BY$180,$B33+1,0),data!$B$12:$B$213,0),32)),"",INDEX(data!$A$12:$AI$213,MATCH(HLOOKUP('II. Sledování projektu'!$L$5,vstupy!$N$2:$BY$180,$B33+1,0),data!$B$12:$B$213,0),32))</f>
        <v>687205.85</v>
      </c>
      <c r="M33" s="53">
        <f t="shared" si="2"/>
        <v>0.23265260208344993</v>
      </c>
      <c r="N33" s="54">
        <f>IF(ISERROR(VLOOKUP(C33,data!$C$12:$AD$213,28,0)),0,VLOOKUP(C33,data!$C$12:$AD$213,28,0))</f>
        <v>3238125.0000000005</v>
      </c>
    </row>
    <row r="34" spans="2:14" x14ac:dyDescent="0.2">
      <c r="B34" s="19">
        <f t="shared" si="5"/>
        <v>29</v>
      </c>
      <c r="C34" s="19" t="str">
        <f>IF(ISERROR(INDEX(data!$A$12:$AI$213,MATCH(HLOOKUP('II. Sledování projektu'!$L$5,vstupy!$N$2:$BY$180,$B34+1,0),data!$B$12:$B$213,0),3)),"",INDEX(data!$A$12:$AI$213,MATCH(HLOOKUP('II. Sledování projektu'!$L$5,vstupy!$N$2:$BY$180,$B34+1,0),data!$B$12:$B$213,0),3))</f>
        <v>DPS Kamenec</v>
      </c>
      <c r="D34" s="156">
        <f>IF(ISERROR(INDEX(data!$A$12:$AI$213,MATCH(HLOOKUP('II. Sledování projektu'!$L$5,vstupy!$N$2:$BY$180,$B34+1,0),data!$B$12:$B$213,0),35)),"",INDEX(data!$A$12:$AI$213,MATCH(HLOOKUP('II. Sledování projektu'!$L$5,vstupy!$N$2:$BY$180,$B34+1,0),data!$B$12:$B$213,0),35))</f>
        <v>94.945068860700047</v>
      </c>
      <c r="E34" s="49">
        <f>IF(ISERROR(INDEX(data!$A$12:$AI$213,MATCH(HLOOKUP('II. Sledování projektu'!$L$5,vstupy!$N$2:$BY$180,$B34+1,0),data!$B$12:$B$213,0),27)),"",INDEX(data!$A$12:$AI$213,MATCH(HLOOKUP('II. Sledování projektu'!$L$5,vstupy!$N$2:$BY$180,$B34+1,0),data!$B$12:$B$213,0),27))</f>
        <v>13266750</v>
      </c>
      <c r="F34" s="54">
        <f>IF(ISERROR(INDEX(data!$A$12:$AI$213,MATCH(HLOOKUP('II. Sledování projektu'!$L$5,vstupy!$N$2:$BY$180,$B34+1,0),data!$B$12:$B$213,0),28)),"",INDEX(data!$A$12:$AI$213,MATCH(HLOOKUP('II. Sledování projektu'!$L$5,vstupy!$N$2:$BY$180,$B34+1,0),data!$B$12:$B$213,0),28))</f>
        <v>12378654.9</v>
      </c>
      <c r="G34" s="53">
        <f t="shared" si="3"/>
        <v>0.93305857877777154</v>
      </c>
      <c r="H34" s="53">
        <f>IF(ISERROR(INDEX(data!$A$12:$AI$213,MATCH(HLOOKUP('II. Sledování projektu'!$L$5,vstupy!$N$2:$BY$180,$B34+1,0),data!$B$12:$B$213,0),29)),"",INDEX(data!$A$12:$AI$213,MATCH(HLOOKUP('II. Sledování projektu'!$L$5,vstupy!$N$2:$BY$180,$B34+1,0),data!$B$12:$B$213,0),29))</f>
        <v>0.39</v>
      </c>
      <c r="I34" s="54">
        <f>IF(ISERROR(INDEX(data!$A$12:$AI$213,MATCH(HLOOKUP('II. Sledování projektu'!$L$5,vstupy!$N$2:$BY$180,$B34+1,0),data!$B$12:$B$213,0),31)),"",INDEX(data!$A$12:$AI$213,MATCH(HLOOKUP('II. Sledování projektu'!$L$5,vstupy!$N$2:$BY$180,$B34+1,0),data!$B$12:$B$213,0),31))</f>
        <v>4738126.2</v>
      </c>
      <c r="J34" s="53">
        <f t="shared" si="4"/>
        <v>0.35714294759455029</v>
      </c>
      <c r="K34" s="53">
        <f t="shared" si="6"/>
        <v>0.9157511476783341</v>
      </c>
      <c r="L34" s="54">
        <f>IF(ISERROR(INDEX(data!$A$12:$AI$213,MATCH(HLOOKUP('II. Sledování projektu'!$L$5,vstupy!$N$2:$BY$180,$B34+1,0),data!$B$12:$B$213,0),32)),"",INDEX(data!$A$12:$AI$213,MATCH(HLOOKUP('II. Sledování projektu'!$L$5,vstupy!$N$2:$BY$180,$B34+1,0),data!$B$12:$B$213,0),32))</f>
        <v>1120695.3399999999</v>
      </c>
      <c r="M34" s="53">
        <f t="shared" si="2"/>
        <v>0.19128340611651398</v>
      </c>
      <c r="N34" s="54">
        <f>IF(ISERROR(VLOOKUP(C34,data!$C$12:$AD$213,28,0)),0,VLOOKUP(C34,data!$C$12:$AD$213,28,0))</f>
        <v>5174032.5</v>
      </c>
    </row>
    <row r="35" spans="2:14" x14ac:dyDescent="0.2">
      <c r="B35" s="19">
        <f t="shared" si="5"/>
        <v>30</v>
      </c>
      <c r="C35" s="19" t="str">
        <f>IF(ISERROR(INDEX(data!$A$12:$AI$213,MATCH(HLOOKUP('II. Sledování projektu'!$L$5,vstupy!$N$2:$BY$180,$B35+1,0),data!$B$12:$B$213,0),3)),"",INDEX(data!$A$12:$AI$213,MATCH(HLOOKUP('II. Sledování projektu'!$L$5,vstupy!$N$2:$BY$180,$B35+1,0),data!$B$12:$B$213,0),3))</f>
        <v>Dům dětí a mládeže Poruba</v>
      </c>
      <c r="D35" s="156">
        <f>IF(ISERROR(INDEX(data!$A$12:$AI$213,MATCH(HLOOKUP('II. Sledování projektu'!$L$5,vstupy!$N$2:$BY$180,$B35+1,0),data!$B$12:$B$213,0),35)),"",INDEX(data!$A$12:$AI$213,MATCH(HLOOKUP('II. Sledování projektu'!$L$5,vstupy!$N$2:$BY$180,$B35+1,0),data!$B$12:$B$213,0),35))</f>
        <v>64.057308604028407</v>
      </c>
      <c r="E35" s="49">
        <f>IF(ISERROR(INDEX(data!$A$12:$AI$213,MATCH(HLOOKUP('II. Sledování projektu'!$L$5,vstupy!$N$2:$BY$180,$B35+1,0),data!$B$12:$B$213,0),27)),"",INDEX(data!$A$12:$AI$213,MATCH(HLOOKUP('II. Sledování projektu'!$L$5,vstupy!$N$2:$BY$180,$B35+1,0),data!$B$12:$B$213,0),27))</f>
        <v>3067500</v>
      </c>
      <c r="F35" s="54">
        <f>IF(ISERROR(INDEX(data!$A$12:$AI$213,MATCH(HLOOKUP('II. Sledování projektu'!$L$5,vstupy!$N$2:$BY$180,$B35+1,0),data!$B$12:$B$213,0),28)),"",INDEX(data!$A$12:$AI$213,MATCH(HLOOKUP('II. Sledování projektu'!$L$5,vstupy!$N$2:$BY$180,$B35+1,0),data!$B$12:$B$213,0),28))</f>
        <v>1323105.1400000001</v>
      </c>
      <c r="G35" s="53">
        <f t="shared" si="3"/>
        <v>0.4313301189894051</v>
      </c>
      <c r="H35" s="53">
        <f>IF(ISERROR(INDEX(data!$A$12:$AI$213,MATCH(HLOOKUP('II. Sledování projektu'!$L$5,vstupy!$N$2:$BY$180,$B35+1,0),data!$B$12:$B$213,0),29)),"",INDEX(data!$A$12:$AI$213,MATCH(HLOOKUP('II. Sledování projektu'!$L$5,vstupy!$N$2:$BY$180,$B35+1,0),data!$B$12:$B$213,0),29))</f>
        <v>0.14000000000000001</v>
      </c>
      <c r="I35" s="54">
        <f>IF(ISERROR(INDEX(data!$A$12:$AI$213,MATCH(HLOOKUP('II. Sledování projektu'!$L$5,vstupy!$N$2:$BY$180,$B35+1,0),data!$B$12:$B$213,0),31)),"",INDEX(data!$A$12:$AI$213,MATCH(HLOOKUP('II. Sledování projektu'!$L$5,vstupy!$N$2:$BY$180,$B35+1,0),data!$B$12:$B$213,0),31))</f>
        <v>304127.92000000004</v>
      </c>
      <c r="J35" s="53">
        <f t="shared" si="4"/>
        <v>9.9145206193969049E-2</v>
      </c>
      <c r="K35" s="53">
        <f t="shared" si="6"/>
        <v>0.70818004424263592</v>
      </c>
      <c r="L35" s="54">
        <f>IF(ISERROR(INDEX(data!$A$12:$AI$213,MATCH(HLOOKUP('II. Sledování projektu'!$L$5,vstupy!$N$2:$BY$180,$B35+1,0),data!$B$12:$B$213,0),32)),"",INDEX(data!$A$12:$AI$213,MATCH(HLOOKUP('II. Sledování projektu'!$L$5,vstupy!$N$2:$BY$180,$B35+1,0),data!$B$12:$B$213,0),32))</f>
        <v>207318.79</v>
      </c>
      <c r="M35" s="53">
        <f t="shared" si="2"/>
        <v>0.40535755914824434</v>
      </c>
      <c r="N35" s="54">
        <f>IF(ISERROR(VLOOKUP(C35,data!$C$12:$AD$213,28,0)),0,VLOOKUP(C35,data!$C$12:$AD$213,28,0))</f>
        <v>429450.00000000006</v>
      </c>
    </row>
    <row r="36" spans="2:14" x14ac:dyDescent="0.2">
      <c r="B36" s="19">
        <f t="shared" si="5"/>
        <v>31</v>
      </c>
      <c r="C36" s="19" t="str">
        <f>IF(ISERROR(INDEX(data!$A$12:$AI$213,MATCH(HLOOKUP('II. Sledování projektu'!$L$5,vstupy!$N$2:$BY$180,$B36+1,0),data!$B$12:$B$213,0),3)),"",INDEX(data!$A$12:$AI$213,MATCH(HLOOKUP('II. Sledování projektu'!$L$5,vstupy!$N$2:$BY$180,$B36+1,0),data!$B$12:$B$213,0),3))</f>
        <v>Dům kultury Ostrava</v>
      </c>
      <c r="D36" s="156">
        <f>IF(ISERROR(INDEX(data!$A$12:$AI$213,MATCH(HLOOKUP('II. Sledování projektu'!$L$5,vstupy!$N$2:$BY$180,$B36+1,0),data!$B$12:$B$213,0),35)),"",INDEX(data!$A$12:$AI$213,MATCH(HLOOKUP('II. Sledování projektu'!$L$5,vstupy!$N$2:$BY$180,$B36+1,0),data!$B$12:$B$213,0),35))</f>
        <v>71.599169469913178</v>
      </c>
      <c r="E36" s="49">
        <f>IF(ISERROR(INDEX(data!$A$12:$AI$213,MATCH(HLOOKUP('II. Sledování projektu'!$L$5,vstupy!$N$2:$BY$180,$B36+1,0),data!$B$12:$B$213,0),27)),"",INDEX(data!$A$12:$AI$213,MATCH(HLOOKUP('II. Sledování projektu'!$L$5,vstupy!$N$2:$BY$180,$B36+1,0),data!$B$12:$B$213,0),27))</f>
        <v>13272143.25</v>
      </c>
      <c r="F36" s="54">
        <f>IF(ISERROR(INDEX(data!$A$12:$AI$213,MATCH(HLOOKUP('II. Sledování projektu'!$L$5,vstupy!$N$2:$BY$180,$B36+1,0),data!$B$12:$B$213,0),28)),"",INDEX(data!$A$12:$AI$213,MATCH(HLOOKUP('II. Sledování projektu'!$L$5,vstupy!$N$2:$BY$180,$B36+1,0),data!$B$12:$B$213,0),28))</f>
        <v>8228152.3900000006</v>
      </c>
      <c r="G36" s="53">
        <f t="shared" si="3"/>
        <v>0.61995656880813133</v>
      </c>
      <c r="H36" s="53">
        <f>IF(ISERROR(INDEX(data!$A$12:$AI$213,MATCH(HLOOKUP('II. Sledování projektu'!$L$5,vstupy!$N$2:$BY$180,$B36+1,0),data!$B$12:$B$213,0),29)),"",INDEX(data!$A$12:$AI$213,MATCH(HLOOKUP('II. Sledování projektu'!$L$5,vstupy!$N$2:$BY$180,$B36+1,0),data!$B$12:$B$213,0),29))</f>
        <v>7.0000000000000007E-2</v>
      </c>
      <c r="I36" s="54">
        <f>IF(ISERROR(INDEX(data!$A$12:$AI$213,MATCH(HLOOKUP('II. Sledování projektu'!$L$5,vstupy!$N$2:$BY$180,$B36+1,0),data!$B$12:$B$213,0),31)),"",INDEX(data!$A$12:$AI$213,MATCH(HLOOKUP('II. Sledování projektu'!$L$5,vstupy!$N$2:$BY$180,$B36+1,0),data!$B$12:$B$213,0),31))</f>
        <v>628677.94999999995</v>
      </c>
      <c r="J36" s="53">
        <f t="shared" si="4"/>
        <v>4.736823120109105E-2</v>
      </c>
      <c r="K36" s="53">
        <f t="shared" si="6"/>
        <v>0.67668901715844354</v>
      </c>
      <c r="L36" s="54">
        <f>IF(ISERROR(INDEX(data!$A$12:$AI$213,MATCH(HLOOKUP('II. Sledování projektu'!$L$5,vstupy!$N$2:$BY$180,$B36+1,0),data!$B$12:$B$213,0),32)),"",INDEX(data!$A$12:$AI$213,MATCH(HLOOKUP('II. Sledování projektu'!$L$5,vstupy!$N$2:$BY$180,$B36+1,0),data!$B$12:$B$213,0),32))</f>
        <v>401063.2</v>
      </c>
      <c r="M36" s="53">
        <f t="shared" si="2"/>
        <v>0.38947962796281382</v>
      </c>
      <c r="N36" s="54">
        <f>IF(ISERROR(VLOOKUP(C36,data!$C$12:$AD$213,28,0)),0,VLOOKUP(C36,data!$C$12:$AD$213,28,0))</f>
        <v>929050.02750000008</v>
      </c>
    </row>
    <row r="37" spans="2:14" x14ac:dyDescent="0.2">
      <c r="B37" s="19">
        <f t="shared" si="5"/>
        <v>32</v>
      </c>
      <c r="C37" s="19" t="str">
        <f>IF(ISERROR(INDEX(data!$A$12:$AI$213,MATCH(HLOOKUP('II. Sledování projektu'!$L$5,vstupy!$N$2:$BY$180,$B37+1,0),data!$B$12:$B$213,0),3)),"",INDEX(data!$A$12:$AI$213,MATCH(HLOOKUP('II. Sledování projektu'!$L$5,vstupy!$N$2:$BY$180,$B37+1,0),data!$B$12:$B$213,0),3))</f>
        <v/>
      </c>
      <c r="D37" s="156" t="str">
        <f>IF(ISERROR(INDEX(data!$A$12:$AI$213,MATCH(HLOOKUP('II. Sledování projektu'!$L$5,vstupy!$N$2:$BY$180,$B37+1,0),data!$B$12:$B$213,0),35)),"",INDEX(data!$A$12:$AI$213,MATCH(HLOOKUP('II. Sledování projektu'!$L$5,vstupy!$N$2:$BY$180,$B37+1,0),data!$B$12:$B$213,0),35))</f>
        <v/>
      </c>
      <c r="E37" s="49" t="str">
        <f>IF(ISERROR(INDEX(data!$A$12:$AI$213,MATCH(HLOOKUP('II. Sledování projektu'!$L$5,vstupy!$N$2:$BY$180,$B37+1,0),data!$B$12:$B$213,0),27)),"",INDEX(data!$A$12:$AI$213,MATCH(HLOOKUP('II. Sledování projektu'!$L$5,vstupy!$N$2:$BY$180,$B37+1,0),data!$B$12:$B$213,0),27))</f>
        <v/>
      </c>
      <c r="F37" s="54" t="str">
        <f>IF(ISERROR(INDEX(data!$A$12:$AI$213,MATCH(HLOOKUP('II. Sledování projektu'!$L$5,vstupy!$N$2:$BY$180,$B37+1,0),data!$B$12:$B$213,0),28)),"",INDEX(data!$A$12:$AI$213,MATCH(HLOOKUP('II. Sledování projektu'!$L$5,vstupy!$N$2:$BY$180,$B37+1,0),data!$B$12:$B$213,0),28))</f>
        <v/>
      </c>
      <c r="G37" s="53">
        <f t="shared" si="3"/>
        <v>0</v>
      </c>
      <c r="H37" s="53" t="str">
        <f>IF(ISERROR(INDEX(data!$A$12:$AI$213,MATCH(HLOOKUP('II. Sledování projektu'!$L$5,vstupy!$N$2:$BY$180,$B37+1,0),data!$B$12:$B$213,0),29)),"",INDEX(data!$A$12:$AI$213,MATCH(HLOOKUP('II. Sledování projektu'!$L$5,vstupy!$N$2:$BY$180,$B37+1,0),data!$B$12:$B$213,0),29))</f>
        <v/>
      </c>
      <c r="I37" s="54" t="str">
        <f>IF(ISERROR(INDEX(data!$A$12:$AI$213,MATCH(HLOOKUP('II. Sledování projektu'!$L$5,vstupy!$N$2:$BY$180,$B37+1,0),data!$B$12:$B$213,0),31)),"",INDEX(data!$A$12:$AI$213,MATCH(HLOOKUP('II. Sledování projektu'!$L$5,vstupy!$N$2:$BY$180,$B37+1,0),data!$B$12:$B$213,0),31))</f>
        <v/>
      </c>
      <c r="J37" s="53">
        <f t="shared" si="4"/>
        <v>0</v>
      </c>
      <c r="K37" s="53">
        <f t="shared" si="6"/>
        <v>0</v>
      </c>
      <c r="L37" s="54" t="str">
        <f>IF(ISERROR(INDEX(data!$A$12:$AI$213,MATCH(HLOOKUP('II. Sledování projektu'!$L$5,vstupy!$N$2:$BY$180,$B37+1,0),data!$B$12:$B$213,0),32)),"",INDEX(data!$A$12:$AI$213,MATCH(HLOOKUP('II. Sledování projektu'!$L$5,vstupy!$N$2:$BY$180,$B37+1,0),data!$B$12:$B$213,0),32))</f>
        <v/>
      </c>
      <c r="M37" s="53">
        <f t="shared" si="2"/>
        <v>0</v>
      </c>
      <c r="N37" s="54">
        <f>IF(ISERROR(VLOOKUP(C37,data!$C$12:$AD$213,28,0)),0,VLOOKUP(C37,data!$C$12:$AD$213,28,0))</f>
        <v>0</v>
      </c>
    </row>
    <row r="38" spans="2:14" x14ac:dyDescent="0.2">
      <c r="B38" s="19">
        <f t="shared" si="5"/>
        <v>33</v>
      </c>
      <c r="C38" s="19" t="str">
        <f>IF(ISERROR(INDEX(data!$A$12:$AI$213,MATCH(HLOOKUP('II. Sledování projektu'!$L$5,vstupy!$N$2:$BY$180,$B38+1,0),data!$B$12:$B$213,0),3)),"",INDEX(data!$A$12:$AI$213,MATCH(HLOOKUP('II. Sledování projektu'!$L$5,vstupy!$N$2:$BY$180,$B38+1,0),data!$B$12:$B$213,0),3))</f>
        <v>Firemní školka města Ostravy</v>
      </c>
      <c r="D38" s="156">
        <f>IF(ISERROR(INDEX(data!$A$12:$AI$213,MATCH(HLOOKUP('II. Sledování projektu'!$L$5,vstupy!$N$2:$BY$180,$B38+1,0),data!$B$12:$B$213,0),35)),"",INDEX(data!$A$12:$AI$213,MATCH(HLOOKUP('II. Sledování projektu'!$L$5,vstupy!$N$2:$BY$180,$B38+1,0),data!$B$12:$B$213,0),35))</f>
        <v>0</v>
      </c>
      <c r="E38" s="49">
        <f>IF(ISERROR(INDEX(data!$A$12:$AI$213,MATCH(HLOOKUP('II. Sledování projektu'!$L$5,vstupy!$N$2:$BY$180,$B38+1,0),data!$B$12:$B$213,0),27)),"",INDEX(data!$A$12:$AI$213,MATCH(HLOOKUP('II. Sledování projektu'!$L$5,vstupy!$N$2:$BY$180,$B38+1,0),data!$B$12:$B$213,0),27))</f>
        <v>503983.5</v>
      </c>
      <c r="F38" s="54">
        <f>IF(ISERROR(INDEX(data!$A$12:$AI$213,MATCH(HLOOKUP('II. Sledování projektu'!$L$5,vstupy!$N$2:$BY$180,$B38+1,0),data!$B$12:$B$213,0),28)),"",INDEX(data!$A$12:$AI$213,MATCH(HLOOKUP('II. Sledování projektu'!$L$5,vstupy!$N$2:$BY$180,$B38+1,0),data!$B$12:$B$213,0),28))</f>
        <v>0</v>
      </c>
      <c r="G38" s="53">
        <f t="shared" si="3"/>
        <v>0</v>
      </c>
      <c r="H38" s="53">
        <f>IF(ISERROR(INDEX(data!$A$12:$AI$213,MATCH(HLOOKUP('II. Sledování projektu'!$L$5,vstupy!$N$2:$BY$180,$B38+1,0),data!$B$12:$B$213,0),29)),"",INDEX(data!$A$12:$AI$213,MATCH(HLOOKUP('II. Sledování projektu'!$L$5,vstupy!$N$2:$BY$180,$B38+1,0),data!$B$12:$B$213,0),29))</f>
        <v>1.7000000000000001E-2</v>
      </c>
      <c r="I38" s="54">
        <f>IF(ISERROR(INDEX(data!$A$12:$AI$213,MATCH(HLOOKUP('II. Sledování projektu'!$L$5,vstupy!$N$2:$BY$180,$B38+1,0),data!$B$12:$B$213,0),31)),"",INDEX(data!$A$12:$AI$213,MATCH(HLOOKUP('II. Sledování projektu'!$L$5,vstupy!$N$2:$BY$180,$B38+1,0),data!$B$12:$B$213,0),31))</f>
        <v>0</v>
      </c>
      <c r="J38" s="53">
        <f t="shared" si="4"/>
        <v>0</v>
      </c>
      <c r="K38" s="53">
        <f t="shared" si="6"/>
        <v>0</v>
      </c>
      <c r="L38" s="54">
        <f>IF(ISERROR(INDEX(data!$A$12:$AI$213,MATCH(HLOOKUP('II. Sledování projektu'!$L$5,vstupy!$N$2:$BY$180,$B38+1,0),data!$B$12:$B$213,0),32)),"",INDEX(data!$A$12:$AI$213,MATCH(HLOOKUP('II. Sledování projektu'!$L$5,vstupy!$N$2:$BY$180,$B38+1,0),data!$B$12:$B$213,0),32))</f>
        <v>0</v>
      </c>
      <c r="M38" s="53">
        <f t="shared" ref="M38:M69" si="7">IF(ISERROR(L38/I38),0,IF(uspora="A",L38/I38,L38/(I38+L38)))</f>
        <v>0</v>
      </c>
      <c r="N38" s="54">
        <f>IF(ISERROR(VLOOKUP(C38,data!$C$12:$AD$213,28,0)),0,VLOOKUP(C38,data!$C$12:$AD$213,28,0))</f>
        <v>8567.7195000000011</v>
      </c>
    </row>
    <row r="39" spans="2:14" x14ac:dyDescent="0.2">
      <c r="B39" s="19">
        <f t="shared" si="5"/>
        <v>34</v>
      </c>
      <c r="C39" s="19" t="str">
        <f>IF(ISERROR(INDEX(data!$A$12:$AI$213,MATCH(HLOOKUP('II. Sledování projektu'!$L$5,vstupy!$N$2:$BY$180,$B39+1,0),data!$B$12:$B$213,0),3)),"",INDEX(data!$A$12:$AI$213,MATCH(HLOOKUP('II. Sledování projektu'!$L$5,vstupy!$N$2:$BY$180,$B39+1,0),data!$B$12:$B$213,0),3))</f>
        <v>Janáčkova filharmonie Ostrava</v>
      </c>
      <c r="D39" s="156">
        <f>IF(ISERROR(INDEX(data!$A$12:$AI$213,MATCH(HLOOKUP('II. Sledování projektu'!$L$5,vstupy!$N$2:$BY$180,$B39+1,0),data!$B$12:$B$213,0),35)),"",INDEX(data!$A$12:$AI$213,MATCH(HLOOKUP('II. Sledování projektu'!$L$5,vstupy!$N$2:$BY$180,$B39+1,0),data!$B$12:$B$213,0),35))</f>
        <v>78.791759404183864</v>
      </c>
      <c r="E39" s="49">
        <f>IF(ISERROR(INDEX(data!$A$12:$AI$213,MATCH(HLOOKUP('II. Sledování projektu'!$L$5,vstupy!$N$2:$BY$180,$B39+1,0),data!$B$12:$B$213,0),27)),"",INDEX(data!$A$12:$AI$213,MATCH(HLOOKUP('II. Sledování projektu'!$L$5,vstupy!$N$2:$BY$180,$B39+1,0),data!$B$12:$B$213,0),27))</f>
        <v>18948750</v>
      </c>
      <c r="F39" s="54">
        <f>IF(ISERROR(INDEX(data!$A$12:$AI$213,MATCH(HLOOKUP('II. Sledování projektu'!$L$5,vstupy!$N$2:$BY$180,$B39+1,0),data!$B$12:$B$213,0),28)),"",INDEX(data!$A$12:$AI$213,MATCH(HLOOKUP('II. Sledování projektu'!$L$5,vstupy!$N$2:$BY$180,$B39+1,0),data!$B$12:$B$213,0),28))</f>
        <v>19355344.34</v>
      </c>
      <c r="G39" s="53">
        <f t="shared" si="3"/>
        <v>1.0214575811069331</v>
      </c>
      <c r="H39" s="53">
        <f>IF(ISERROR(INDEX(data!$A$12:$AI$213,MATCH(HLOOKUP('II. Sledování projektu'!$L$5,vstupy!$N$2:$BY$180,$B39+1,0),data!$B$12:$B$213,0),29)),"",INDEX(data!$A$12:$AI$213,MATCH(HLOOKUP('II. Sledování projektu'!$L$5,vstupy!$N$2:$BY$180,$B39+1,0),data!$B$12:$B$213,0),29))</f>
        <v>5.6847087967705823E-2</v>
      </c>
      <c r="I39" s="54">
        <f>IF(ISERROR(INDEX(data!$A$12:$AI$213,MATCH(HLOOKUP('II. Sledování projektu'!$L$5,vstupy!$N$2:$BY$180,$B39+1,0),data!$B$12:$B$213,0),31)),"",INDEX(data!$A$12:$AI$213,MATCH(HLOOKUP('II. Sledování projektu'!$L$5,vstupy!$N$2:$BY$180,$B39+1,0),data!$B$12:$B$213,0),31))</f>
        <v>696429.27</v>
      </c>
      <c r="J39" s="53">
        <f t="shared" si="4"/>
        <v>3.6753309321195332E-2</v>
      </c>
      <c r="K39" s="53">
        <f t="shared" si="6"/>
        <v>0.64652932340306446</v>
      </c>
      <c r="L39" s="54">
        <f>IF(ISERROR(INDEX(data!$A$12:$AI$213,MATCH(HLOOKUP('II. Sledování projektu'!$L$5,vstupy!$N$2:$BY$180,$B39+1,0),data!$B$12:$B$213,0),32)),"",INDEX(data!$A$12:$AI$213,MATCH(HLOOKUP('II. Sledování projektu'!$L$5,vstupy!$N$2:$BY$180,$B39+1,0),data!$B$12:$B$213,0),32))</f>
        <v>232462.85</v>
      </c>
      <c r="M39" s="53">
        <f t="shared" si="7"/>
        <v>0.25025817852777132</v>
      </c>
      <c r="N39" s="54">
        <f>IF(ISERROR(VLOOKUP(C39,data!$C$12:$AD$213,28,0)),0,VLOOKUP(C39,data!$C$12:$AD$213,28,0))</f>
        <v>1077181.2581280656</v>
      </c>
    </row>
    <row r="40" spans="2:14" x14ac:dyDescent="0.2">
      <c r="B40" s="19">
        <f t="shared" si="5"/>
        <v>35</v>
      </c>
      <c r="C40" s="19" t="str">
        <f>IF(ISERROR(INDEX(data!$A$12:$AI$213,MATCH(HLOOKUP('II. Sledování projektu'!$L$5,vstupy!$N$2:$BY$180,$B40+1,0),data!$B$12:$B$213,0),3)),"",INDEX(data!$A$12:$AI$213,MATCH(HLOOKUP('II. Sledování projektu'!$L$5,vstupy!$N$2:$BY$180,$B40+1,0),data!$B$12:$B$213,0),3))</f>
        <v>Knihovna města Ostravy</v>
      </c>
      <c r="D40" s="156">
        <f>IF(ISERROR(INDEX(data!$A$12:$AI$213,MATCH(HLOOKUP('II. Sledování projektu'!$L$5,vstupy!$N$2:$BY$180,$B40+1,0),data!$B$12:$B$213,0),35)),"",INDEX(data!$A$12:$AI$213,MATCH(HLOOKUP('II. Sledování projektu'!$L$5,vstupy!$N$2:$BY$180,$B40+1,0),data!$B$12:$B$213,0),35))</f>
        <v>97.366516207680235</v>
      </c>
      <c r="E40" s="49">
        <f>IF(ISERROR(INDEX(data!$A$12:$AI$213,MATCH(HLOOKUP('II. Sledování projektu'!$L$5,vstupy!$N$2:$BY$180,$B40+1,0),data!$B$12:$B$213,0),27)),"",INDEX(data!$A$12:$AI$213,MATCH(HLOOKUP('II. Sledování projektu'!$L$5,vstupy!$N$2:$BY$180,$B40+1,0),data!$B$12:$B$213,0),27))</f>
        <v>9823275</v>
      </c>
      <c r="F40" s="54">
        <f>IF(ISERROR(INDEX(data!$A$12:$AI$213,MATCH(HLOOKUP('II. Sledování projektu'!$L$5,vstupy!$N$2:$BY$180,$B40+1,0),data!$B$12:$B$213,0),28)),"",INDEX(data!$A$12:$AI$213,MATCH(HLOOKUP('II. Sledování projektu'!$L$5,vstupy!$N$2:$BY$180,$B40+1,0),data!$B$12:$B$213,0),28))</f>
        <v>7341231.29</v>
      </c>
      <c r="G40" s="53">
        <f t="shared" si="3"/>
        <v>0.74733032415360456</v>
      </c>
      <c r="H40" s="53">
        <f>IF(ISERROR(INDEX(data!$A$12:$AI$213,MATCH(HLOOKUP('II. Sledování projektu'!$L$5,vstupy!$N$2:$BY$180,$B40+1,0),data!$B$12:$B$213,0),29)),"",INDEX(data!$A$12:$AI$213,MATCH(HLOOKUP('II. Sledování projektu'!$L$5,vstupy!$N$2:$BY$180,$B40+1,0),data!$B$12:$B$213,0),29))</f>
        <v>0.23924987180665169</v>
      </c>
      <c r="I40" s="54">
        <f>IF(ISERROR(INDEX(data!$A$12:$AI$213,MATCH(HLOOKUP('II. Sledování projektu'!$L$5,vstupy!$N$2:$BY$180,$B40+1,0),data!$B$12:$B$213,0),31)),"",INDEX(data!$A$12:$AI$213,MATCH(HLOOKUP('II. Sledování projektu'!$L$5,vstupy!$N$2:$BY$180,$B40+1,0),data!$B$12:$B$213,0),31))</f>
        <v>2676858.7400000002</v>
      </c>
      <c r="J40" s="53">
        <f t="shared" si="4"/>
        <v>0.27250165957890826</v>
      </c>
      <c r="K40" s="53">
        <f t="shared" si="6"/>
        <v>1.1389835134337243</v>
      </c>
      <c r="L40" s="54">
        <f>IF(ISERROR(INDEX(data!$A$12:$AI$213,MATCH(HLOOKUP('II. Sledování projektu'!$L$5,vstupy!$N$2:$BY$180,$B40+1,0),data!$B$12:$B$213,0),32)),"",INDEX(data!$A$12:$AI$213,MATCH(HLOOKUP('II. Sledování projektu'!$L$5,vstupy!$N$2:$BY$180,$B40+1,0),data!$B$12:$B$213,0),32))</f>
        <v>1752046.0899999999</v>
      </c>
      <c r="M40" s="53">
        <f t="shared" si="7"/>
        <v>0.39559352870537973</v>
      </c>
      <c r="N40" s="54">
        <f>IF(ISERROR(VLOOKUP(C40,data!$C$12:$AD$213,28,0)),0,VLOOKUP(C40,data!$C$12:$AD$213,28,0))</f>
        <v>2350217.2844714862</v>
      </c>
    </row>
    <row r="41" spans="2:14" x14ac:dyDescent="0.2">
      <c r="B41" s="19">
        <f t="shared" si="5"/>
        <v>36</v>
      </c>
      <c r="C41" s="19" t="str">
        <f>IF(ISERROR(INDEX(data!$A$12:$AI$213,MATCH(HLOOKUP('II. Sledování projektu'!$L$5,vstupy!$N$2:$BY$180,$B41+1,0),data!$B$12:$B$213,0),3)),"",INDEX(data!$A$12:$AI$213,MATCH(HLOOKUP('II. Sledování projektu'!$L$5,vstupy!$N$2:$BY$180,$B41+1,0),data!$B$12:$B$213,0),3))</f>
        <v>Krematorium Ostrava</v>
      </c>
      <c r="D41" s="156">
        <f>IF(ISERROR(INDEX(data!$A$12:$AI$213,MATCH(HLOOKUP('II. Sledování projektu'!$L$5,vstupy!$N$2:$BY$180,$B41+1,0),data!$B$12:$B$213,0),35)),"",INDEX(data!$A$12:$AI$213,MATCH(HLOOKUP('II. Sledování projektu'!$L$5,vstupy!$N$2:$BY$180,$B41+1,0),data!$B$12:$B$213,0),35))</f>
        <v>85.703506549545381</v>
      </c>
      <c r="E41" s="49">
        <f>IF(ISERROR(INDEX(data!$A$12:$AI$213,MATCH(HLOOKUP('II. Sledování projektu'!$L$5,vstupy!$N$2:$BY$180,$B41+1,0),data!$B$12:$B$213,0),27)),"",INDEX(data!$A$12:$AI$213,MATCH(HLOOKUP('II. Sledování projektu'!$L$5,vstupy!$N$2:$BY$180,$B41+1,0),data!$B$12:$B$213,0),27))</f>
        <v>3244500</v>
      </c>
      <c r="F41" s="54">
        <f>IF(ISERROR(INDEX(data!$A$12:$AI$213,MATCH(HLOOKUP('II. Sledování projektu'!$L$5,vstupy!$N$2:$BY$180,$B41+1,0),data!$B$12:$B$213,0),28)),"",INDEX(data!$A$12:$AI$213,MATCH(HLOOKUP('II. Sledování projektu'!$L$5,vstupy!$N$2:$BY$180,$B41+1,0),data!$B$12:$B$213,0),28))</f>
        <v>2105906.86</v>
      </c>
      <c r="G41" s="53">
        <f t="shared" si="3"/>
        <v>0.64906976729850507</v>
      </c>
      <c r="H41" s="53">
        <f>IF(ISERROR(INDEX(data!$A$12:$AI$213,MATCH(HLOOKUP('II. Sledování projektu'!$L$5,vstupy!$N$2:$BY$180,$B41+1,0),data!$B$12:$B$213,0),29)),"",INDEX(data!$A$12:$AI$213,MATCH(HLOOKUP('II. Sledování projektu'!$L$5,vstupy!$N$2:$BY$180,$B41+1,0),data!$B$12:$B$213,0),29))</f>
        <v>0.3</v>
      </c>
      <c r="I41" s="54">
        <f>IF(ISERROR(INDEX(data!$A$12:$AI$213,MATCH(HLOOKUP('II. Sledování projektu'!$L$5,vstupy!$N$2:$BY$180,$B41+1,0),data!$B$12:$B$213,0),31)),"",INDEX(data!$A$12:$AI$213,MATCH(HLOOKUP('II. Sledování projektu'!$L$5,vstupy!$N$2:$BY$180,$B41+1,0),data!$B$12:$B$213,0),31))</f>
        <v>863848.42</v>
      </c>
      <c r="J41" s="53">
        <f t="shared" si="4"/>
        <v>0.26625009092310065</v>
      </c>
      <c r="K41" s="53">
        <f t="shared" si="6"/>
        <v>0.88750030307700212</v>
      </c>
      <c r="L41" s="54">
        <f>IF(ISERROR(INDEX(data!$A$12:$AI$213,MATCH(HLOOKUP('II. Sledování projektu'!$L$5,vstupy!$N$2:$BY$180,$B41+1,0),data!$B$12:$B$213,0),32)),"",INDEX(data!$A$12:$AI$213,MATCH(HLOOKUP('II. Sledování projektu'!$L$5,vstupy!$N$2:$BY$180,$B41+1,0),data!$B$12:$B$213,0),32))</f>
        <v>376370.81</v>
      </c>
      <c r="M41" s="53">
        <f t="shared" si="7"/>
        <v>0.30347119355664243</v>
      </c>
      <c r="N41" s="54">
        <f>IF(ISERROR(VLOOKUP(C41,data!$C$12:$AD$213,28,0)),0,VLOOKUP(C41,data!$C$12:$AD$213,28,0))</f>
        <v>973350</v>
      </c>
    </row>
    <row r="42" spans="2:14" x14ac:dyDescent="0.2">
      <c r="B42" s="19">
        <f t="shared" si="5"/>
        <v>37</v>
      </c>
      <c r="C42" s="19" t="str">
        <f>IF(ISERROR(INDEX(data!$A$12:$AI$213,MATCH(HLOOKUP('II. Sledování projektu'!$L$5,vstupy!$N$2:$BY$180,$B42+1,0),data!$B$12:$B$213,0),3)),"",INDEX(data!$A$12:$AI$213,MATCH(HLOOKUP('II. Sledování projektu'!$L$5,vstupy!$N$2:$BY$180,$B42+1,0),data!$B$12:$B$213,0),3))</f>
        <v>Křesťanská MŠ Ostrava-Mariánské Hory</v>
      </c>
      <c r="D42" s="156">
        <f>IF(ISERROR(INDEX(data!$A$12:$AI$213,MATCH(HLOOKUP('II. Sledování projektu'!$L$5,vstupy!$N$2:$BY$180,$B42+1,0),data!$B$12:$B$213,0),35)),"",INDEX(data!$A$12:$AI$213,MATCH(HLOOKUP('II. Sledování projektu'!$L$5,vstupy!$N$2:$BY$180,$B42+1,0),data!$B$12:$B$213,0),35))</f>
        <v>100</v>
      </c>
      <c r="E42" s="49">
        <f>IF(ISERROR(INDEX(data!$A$12:$AI$213,MATCH(HLOOKUP('II. Sledování projektu'!$L$5,vstupy!$N$2:$BY$180,$B42+1,0),data!$B$12:$B$213,0),27)),"",INDEX(data!$A$12:$AI$213,MATCH(HLOOKUP('II. Sledování projektu'!$L$5,vstupy!$N$2:$BY$180,$B42+1,0),data!$B$12:$B$213,0),27))</f>
        <v>1509000</v>
      </c>
      <c r="F42" s="54">
        <f>IF(ISERROR(INDEX(data!$A$12:$AI$213,MATCH(HLOOKUP('II. Sledování projektu'!$L$5,vstupy!$N$2:$BY$180,$B42+1,0),data!$B$12:$B$213,0),28)),"",INDEX(data!$A$12:$AI$213,MATCH(HLOOKUP('II. Sledování projektu'!$L$5,vstupy!$N$2:$BY$180,$B42+1,0),data!$B$12:$B$213,0),28))</f>
        <v>1216515.6000000001</v>
      </c>
      <c r="G42" s="53">
        <f t="shared" si="3"/>
        <v>0.80617335984095428</v>
      </c>
      <c r="H42" s="53">
        <f>IF(ISERROR(INDEX(data!$A$12:$AI$213,MATCH(HLOOKUP('II. Sledování projektu'!$L$5,vstupy!$N$2:$BY$180,$B42+1,0),data!$B$12:$B$213,0),29)),"",INDEX(data!$A$12:$AI$213,MATCH(HLOOKUP('II. Sledování projektu'!$L$5,vstupy!$N$2:$BY$180,$B42+1,0),data!$B$12:$B$213,0),29))</f>
        <v>0.24970000000000001</v>
      </c>
      <c r="I42" s="54">
        <f>IF(ISERROR(INDEX(data!$A$12:$AI$213,MATCH(HLOOKUP('II. Sledování projektu'!$L$5,vstupy!$N$2:$BY$180,$B42+1,0),data!$B$12:$B$213,0),31)),"",INDEX(data!$A$12:$AI$213,MATCH(HLOOKUP('II. Sledování projektu'!$L$5,vstupy!$N$2:$BY$180,$B42+1,0),data!$B$12:$B$213,0),31))</f>
        <v>481628.57</v>
      </c>
      <c r="J42" s="53">
        <f t="shared" si="4"/>
        <v>0.31917068919814445</v>
      </c>
      <c r="K42" s="53">
        <f t="shared" si="6"/>
        <v>1.2782166167326572</v>
      </c>
      <c r="L42" s="54">
        <f>IF(ISERROR(INDEX(data!$A$12:$AI$213,MATCH(HLOOKUP('II. Sledování projektu'!$L$5,vstupy!$N$2:$BY$180,$B42+1,0),data!$B$12:$B$213,0),32)),"",INDEX(data!$A$12:$AI$213,MATCH(HLOOKUP('II. Sledování projektu'!$L$5,vstupy!$N$2:$BY$180,$B42+1,0),data!$B$12:$B$213,0),32))</f>
        <v>119806.56999999999</v>
      </c>
      <c r="M42" s="53">
        <f t="shared" si="7"/>
        <v>0.19920114744209988</v>
      </c>
      <c r="N42" s="54">
        <f>IF(ISERROR(VLOOKUP(C42,data!$C$12:$AD$213,28,0)),0,VLOOKUP(C42,data!$C$12:$AD$213,28,0))</f>
        <v>376797.3</v>
      </c>
    </row>
    <row r="43" spans="2:14" x14ac:dyDescent="0.2">
      <c r="B43" s="19">
        <f t="shared" si="5"/>
        <v>38</v>
      </c>
      <c r="C43" s="19" t="str">
        <f>IF(ISERROR(INDEX(data!$A$12:$AI$213,MATCH(HLOOKUP('II. Sledování projektu'!$L$5,vstupy!$N$2:$BY$180,$B43+1,0),data!$B$12:$B$213,0),3)),"",INDEX(data!$A$12:$AI$213,MATCH(HLOOKUP('II. Sledování projektu'!$L$5,vstupy!$N$2:$BY$180,$B43+1,0),data!$B$12:$B$213,0),3))</f>
        <v>Kulturní zařízení Ostrava-Jih</v>
      </c>
      <c r="D43" s="156">
        <f>IF(ISERROR(INDEX(data!$A$12:$AI$213,MATCH(HLOOKUP('II. Sledování projektu'!$L$5,vstupy!$N$2:$BY$180,$B43+1,0),data!$B$12:$B$213,0),35)),"",INDEX(data!$A$12:$AI$213,MATCH(HLOOKUP('II. Sledování projektu'!$L$5,vstupy!$N$2:$BY$180,$B43+1,0),data!$B$12:$B$213,0),35))</f>
        <v>32.184941338218231</v>
      </c>
      <c r="E43" s="49">
        <f>IF(ISERROR(INDEX(data!$A$12:$AI$213,MATCH(HLOOKUP('II. Sledování projektu'!$L$5,vstupy!$N$2:$BY$180,$B43+1,0),data!$B$12:$B$213,0),27)),"",INDEX(data!$A$12:$AI$213,MATCH(HLOOKUP('II. Sledování projektu'!$L$5,vstupy!$N$2:$BY$180,$B43+1,0),data!$B$12:$B$213,0),27))</f>
        <v>7850250</v>
      </c>
      <c r="F43" s="54">
        <f>IF(ISERROR(INDEX(data!$A$12:$AI$213,MATCH(HLOOKUP('II. Sledování projektu'!$L$5,vstupy!$N$2:$BY$180,$B43+1,0),data!$B$12:$B$213,0),28)),"",INDEX(data!$A$12:$AI$213,MATCH(HLOOKUP('II. Sledování projektu'!$L$5,vstupy!$N$2:$BY$180,$B43+1,0),data!$B$12:$B$213,0),28))</f>
        <v>20322.240000000002</v>
      </c>
      <c r="G43" s="53">
        <f t="shared" si="3"/>
        <v>2.5887379382822204E-3</v>
      </c>
      <c r="H43" s="53">
        <f>IF(ISERROR(INDEX(data!$A$12:$AI$213,MATCH(HLOOKUP('II. Sledování projektu'!$L$5,vstupy!$N$2:$BY$180,$B43+1,0),data!$B$12:$B$213,0),29)),"",INDEX(data!$A$12:$AI$213,MATCH(HLOOKUP('II. Sledování projektu'!$L$5,vstupy!$N$2:$BY$180,$B43+1,0),data!$B$12:$B$213,0),29))</f>
        <v>5.5250729854665399E-2</v>
      </c>
      <c r="I43" s="54">
        <f>IF(ISERROR(INDEX(data!$A$12:$AI$213,MATCH(HLOOKUP('II. Sledování projektu'!$L$5,vstupy!$N$2:$BY$180,$B43+1,0),data!$B$12:$B$213,0),31)),"",INDEX(data!$A$12:$AI$213,MATCH(HLOOKUP('II. Sledování projektu'!$L$5,vstupy!$N$2:$BY$180,$B43+1,0),data!$B$12:$B$213,0),31))</f>
        <v>231724.99</v>
      </c>
      <c r="J43" s="53">
        <f t="shared" si="4"/>
        <v>2.9518166937358682E-2</v>
      </c>
      <c r="K43" s="53">
        <f t="shared" si="6"/>
        <v>0.53425840735506869</v>
      </c>
      <c r="L43" s="54">
        <f>IF(ISERROR(INDEX(data!$A$12:$AI$213,MATCH(HLOOKUP('II. Sledování projektu'!$L$5,vstupy!$N$2:$BY$180,$B43+1,0),data!$B$12:$B$213,0),32)),"",INDEX(data!$A$12:$AI$213,MATCH(HLOOKUP('II. Sledování projektu'!$L$5,vstupy!$N$2:$BY$180,$B43+1,0),data!$B$12:$B$213,0),32))</f>
        <v>187770.09999999998</v>
      </c>
      <c r="M43" s="53">
        <f t="shared" si="7"/>
        <v>0.44760976820968273</v>
      </c>
      <c r="N43" s="54">
        <f>IF(ISERROR(VLOOKUP(C43,data!$C$12:$AD$213,28,0)),0,VLOOKUP(C43,data!$C$12:$AD$213,28,0))</f>
        <v>433732.04204158706</v>
      </c>
    </row>
    <row r="44" spans="2:14" x14ac:dyDescent="0.2">
      <c r="B44" s="19">
        <f t="shared" si="5"/>
        <v>39</v>
      </c>
      <c r="C44" s="19" t="str">
        <f>IF(ISERROR(INDEX(data!$A$12:$AI$213,MATCH(HLOOKUP('II. Sledování projektu'!$L$5,vstupy!$N$2:$BY$180,$B44+1,0),data!$B$12:$B$213,0),3)),"",INDEX(data!$A$12:$AI$213,MATCH(HLOOKUP('II. Sledování projektu'!$L$5,vstupy!$N$2:$BY$180,$B44+1,0),data!$B$12:$B$213,0),3))</f>
        <v>Lidová konzervatoř</v>
      </c>
      <c r="D44" s="156">
        <f>IF(ISERROR(INDEX(data!$A$12:$AI$213,MATCH(HLOOKUP('II. Sledování projektu'!$L$5,vstupy!$N$2:$BY$180,$B44+1,0),data!$B$12:$B$213,0),35)),"",INDEX(data!$A$12:$AI$213,MATCH(HLOOKUP('II. Sledování projektu'!$L$5,vstupy!$N$2:$BY$180,$B44+1,0),data!$B$12:$B$213,0),35))</f>
        <v>85.872049697355848</v>
      </c>
      <c r="E44" s="49">
        <f>IF(ISERROR(INDEX(data!$A$12:$AI$213,MATCH(HLOOKUP('II. Sledování projektu'!$L$5,vstupy!$N$2:$BY$180,$B44+1,0),data!$B$12:$B$213,0),27)),"",INDEX(data!$A$12:$AI$213,MATCH(HLOOKUP('II. Sledování projektu'!$L$5,vstupy!$N$2:$BY$180,$B44+1,0),data!$B$12:$B$213,0),27))</f>
        <v>1177125</v>
      </c>
      <c r="F44" s="54">
        <f>IF(ISERROR(INDEX(data!$A$12:$AI$213,MATCH(HLOOKUP('II. Sledování projektu'!$L$5,vstupy!$N$2:$BY$180,$B44+1,0),data!$B$12:$B$213,0),28)),"",INDEX(data!$A$12:$AI$213,MATCH(HLOOKUP('II. Sledování projektu'!$L$5,vstupy!$N$2:$BY$180,$B44+1,0),data!$B$12:$B$213,0),28))</f>
        <v>609092.73</v>
      </c>
      <c r="G44" s="53">
        <f t="shared" si="3"/>
        <v>0.51744099394711685</v>
      </c>
      <c r="H44" s="53">
        <f>IF(ISERROR(INDEX(data!$A$12:$AI$213,MATCH(HLOOKUP('II. Sledování projektu'!$L$5,vstupy!$N$2:$BY$180,$B44+1,0),data!$B$12:$B$213,0),29)),"",INDEX(data!$A$12:$AI$213,MATCH(HLOOKUP('II. Sledování projektu'!$L$5,vstupy!$N$2:$BY$180,$B44+1,0),data!$B$12:$B$213,0),29))</f>
        <v>0.22442950595550057</v>
      </c>
      <c r="I44" s="54">
        <f>IF(ISERROR(INDEX(data!$A$12:$AI$213,MATCH(HLOOKUP('II. Sledování projektu'!$L$5,vstupy!$N$2:$BY$180,$B44+1,0),data!$B$12:$B$213,0),31)),"",INDEX(data!$A$12:$AI$213,MATCH(HLOOKUP('II. Sledování projektu'!$L$5,vstupy!$N$2:$BY$180,$B44+1,0),data!$B$12:$B$213,0),31))</f>
        <v>283916.45999999996</v>
      </c>
      <c r="J44" s="53">
        <f t="shared" si="4"/>
        <v>0.2411948263778273</v>
      </c>
      <c r="K44" s="53">
        <f t="shared" si="6"/>
        <v>1.0747019441625956</v>
      </c>
      <c r="L44" s="54">
        <f>IF(ISERROR(INDEX(data!$A$12:$AI$213,MATCH(HLOOKUP('II. Sledování projektu'!$L$5,vstupy!$N$2:$BY$180,$B44+1,0),data!$B$12:$B$213,0),32)),"",INDEX(data!$A$12:$AI$213,MATCH(HLOOKUP('II. Sledování projektu'!$L$5,vstupy!$N$2:$BY$180,$B44+1,0),data!$B$12:$B$213,0),32))</f>
        <v>217255.69</v>
      </c>
      <c r="M44" s="53">
        <f t="shared" si="7"/>
        <v>0.43349513734951156</v>
      </c>
      <c r="N44" s="54">
        <f>IF(ISERROR(VLOOKUP(C44,data!$C$12:$AD$213,28,0)),0,VLOOKUP(C44,data!$C$12:$AD$213,28,0))</f>
        <v>264181.58219786861</v>
      </c>
    </row>
    <row r="45" spans="2:14" x14ac:dyDescent="0.2">
      <c r="B45" s="19">
        <f t="shared" si="5"/>
        <v>40</v>
      </c>
      <c r="C45" s="19" t="str">
        <f>IF(ISERROR(INDEX(data!$A$12:$AI$213,MATCH(HLOOKUP('II. Sledování projektu'!$L$5,vstupy!$N$2:$BY$180,$B45+1,0),data!$B$12:$B$213,0),3)),"",INDEX(data!$A$12:$AI$213,MATCH(HLOOKUP('II. Sledování projektu'!$L$5,vstupy!$N$2:$BY$180,$B45+1,0),data!$B$12:$B$213,0),3))</f>
        <v>Městská policie</v>
      </c>
      <c r="D45" s="156">
        <f>IF(ISERROR(INDEX(data!$A$12:$AI$213,MATCH(HLOOKUP('II. Sledování projektu'!$L$5,vstupy!$N$2:$BY$180,$B45+1,0),data!$B$12:$B$213,0),35)),"",INDEX(data!$A$12:$AI$213,MATCH(HLOOKUP('II. Sledování projektu'!$L$5,vstupy!$N$2:$BY$180,$B45+1,0),data!$B$12:$B$213,0),35))</f>
        <v>95.380916559567396</v>
      </c>
      <c r="E45" s="49">
        <f>IF(ISERROR(INDEX(data!$A$12:$AI$213,MATCH(HLOOKUP('II. Sledování projektu'!$L$5,vstupy!$N$2:$BY$180,$B45+1,0),data!$B$12:$B$213,0),27)),"",INDEX(data!$A$12:$AI$213,MATCH(HLOOKUP('II. Sledování projektu'!$L$5,vstupy!$N$2:$BY$180,$B45+1,0),data!$B$12:$B$213,0),27))</f>
        <v>30929250</v>
      </c>
      <c r="F45" s="54">
        <f>IF(ISERROR(INDEX(data!$A$12:$AI$213,MATCH(HLOOKUP('II. Sledování projektu'!$L$5,vstupy!$N$2:$BY$180,$B45+1,0),data!$B$12:$B$213,0),28)),"",INDEX(data!$A$12:$AI$213,MATCH(HLOOKUP('II. Sledování projektu'!$L$5,vstupy!$N$2:$BY$180,$B45+1,0),data!$B$12:$B$213,0),28))</f>
        <v>21886104.27</v>
      </c>
      <c r="G45" s="53">
        <f t="shared" si="3"/>
        <v>0.70761833119134798</v>
      </c>
      <c r="H45" s="53">
        <f>IF(ISERROR(INDEX(data!$A$12:$AI$213,MATCH(HLOOKUP('II. Sledování projektu'!$L$5,vstupy!$N$2:$BY$180,$B45+1,0),data!$B$12:$B$213,0),29)),"",INDEX(data!$A$12:$AI$213,MATCH(HLOOKUP('II. Sledování projektu'!$L$5,vstupy!$N$2:$BY$180,$B45+1,0),data!$B$12:$B$213,0),29))</f>
        <v>7.0199999999999999E-2</v>
      </c>
      <c r="I45" s="54">
        <f>IF(ISERROR(INDEX(data!$A$12:$AI$213,MATCH(HLOOKUP('II. Sledování projektu'!$L$5,vstupy!$N$2:$BY$180,$B45+1,0),data!$B$12:$B$213,0),31)),"",INDEX(data!$A$12:$AI$213,MATCH(HLOOKUP('II. Sledování projektu'!$L$5,vstupy!$N$2:$BY$180,$B45+1,0),data!$B$12:$B$213,0),31))</f>
        <v>2925002.14</v>
      </c>
      <c r="J45" s="53">
        <f t="shared" si="4"/>
        <v>9.4570742581860212E-2</v>
      </c>
      <c r="K45" s="53">
        <f t="shared" si="6"/>
        <v>1.347161575240174</v>
      </c>
      <c r="L45" s="54">
        <f>IF(ISERROR(INDEX(data!$A$12:$AI$213,MATCH(HLOOKUP('II. Sledování projektu'!$L$5,vstupy!$N$2:$BY$180,$B45+1,0),data!$B$12:$B$213,0),32)),"",INDEX(data!$A$12:$AI$213,MATCH(HLOOKUP('II. Sledování projektu'!$L$5,vstupy!$N$2:$BY$180,$B45+1,0),data!$B$12:$B$213,0),32))</f>
        <v>702769.11</v>
      </c>
      <c r="M45" s="53">
        <f t="shared" si="7"/>
        <v>0.19371924566633025</v>
      </c>
      <c r="N45" s="54">
        <f>IF(ISERROR(VLOOKUP(C45,data!$C$12:$AD$213,28,0)),0,VLOOKUP(C45,data!$C$12:$AD$213,28,0))</f>
        <v>2171233.35</v>
      </c>
    </row>
    <row r="46" spans="2:14" x14ac:dyDescent="0.2">
      <c r="B46" s="19">
        <f t="shared" si="5"/>
        <v>41</v>
      </c>
      <c r="C46" s="19" t="str">
        <f>IF(ISERROR(INDEX(data!$A$12:$AI$213,MATCH(HLOOKUP('II. Sledování projektu'!$L$5,vstupy!$N$2:$BY$180,$B46+1,0),data!$B$12:$B$213,0),3)),"",INDEX(data!$A$12:$AI$213,MATCH(HLOOKUP('II. Sledování projektu'!$L$5,vstupy!$N$2:$BY$180,$B46+1,0),data!$B$12:$B$213,0),3))</f>
        <v>MŠ Blahoslavova</v>
      </c>
      <c r="D46" s="156">
        <f>IF(ISERROR(INDEX(data!$A$12:$AI$213,MATCH(HLOOKUP('II. Sledování projektu'!$L$5,vstupy!$N$2:$BY$180,$B46+1,0),data!$B$12:$B$213,0),35)),"",INDEX(data!$A$12:$AI$213,MATCH(HLOOKUP('II. Sledování projektu'!$L$5,vstupy!$N$2:$BY$180,$B46+1,0),data!$B$12:$B$213,0),35))</f>
        <v>12.848694284371412</v>
      </c>
      <c r="E46" s="49">
        <f>IF(ISERROR(INDEX(data!$A$12:$AI$213,MATCH(HLOOKUP('II. Sledování projektu'!$L$5,vstupy!$N$2:$BY$180,$B46+1,0),data!$B$12:$B$213,0),27)),"",INDEX(data!$A$12:$AI$213,MATCH(HLOOKUP('II. Sledování projektu'!$L$5,vstupy!$N$2:$BY$180,$B46+1,0),data!$B$12:$B$213,0),27))</f>
        <v>1056750</v>
      </c>
      <c r="F46" s="54">
        <f>IF(ISERROR(INDEX(data!$A$12:$AI$213,MATCH(HLOOKUP('II. Sledování projektu'!$L$5,vstupy!$N$2:$BY$180,$B46+1,0),data!$B$12:$B$213,0),28)),"",INDEX(data!$A$12:$AI$213,MATCH(HLOOKUP('II. Sledování projektu'!$L$5,vstupy!$N$2:$BY$180,$B46+1,0),data!$B$12:$B$213,0),28))</f>
        <v>0</v>
      </c>
      <c r="G46" s="53">
        <f t="shared" si="3"/>
        <v>0</v>
      </c>
      <c r="H46" s="53">
        <f>IF(ISERROR(INDEX(data!$A$12:$AI$213,MATCH(HLOOKUP('II. Sledování projektu'!$L$5,vstupy!$N$2:$BY$180,$B46+1,0),data!$B$12:$B$213,0),29)),"",INDEX(data!$A$12:$AI$213,MATCH(HLOOKUP('II. Sledování projektu'!$L$5,vstupy!$N$2:$BY$180,$B46+1,0),data!$B$12:$B$213,0),29))</f>
        <v>0.31619999999999998</v>
      </c>
      <c r="I46" s="54">
        <f>IF(ISERROR(INDEX(data!$A$12:$AI$213,MATCH(HLOOKUP('II. Sledování projektu'!$L$5,vstupy!$N$2:$BY$180,$B46+1,0),data!$B$12:$B$213,0),31)),"",INDEX(data!$A$12:$AI$213,MATCH(HLOOKUP('II. Sledování projektu'!$L$5,vstupy!$N$2:$BY$180,$B46+1,0),data!$B$12:$B$213,0),31))</f>
        <v>71555.31</v>
      </c>
      <c r="J46" s="53">
        <f t="shared" si="4"/>
        <v>6.7712618878637332E-2</v>
      </c>
      <c r="K46" s="53">
        <f t="shared" si="6"/>
        <v>0.21414490473952352</v>
      </c>
      <c r="L46" s="54">
        <f>IF(ISERROR(INDEX(data!$A$12:$AI$213,MATCH(HLOOKUP('II. Sledování projektu'!$L$5,vstupy!$N$2:$BY$180,$B46+1,0),data!$B$12:$B$213,0),32)),"",INDEX(data!$A$12:$AI$213,MATCH(HLOOKUP('II. Sledování projektu'!$L$5,vstupy!$N$2:$BY$180,$B46+1,0),data!$B$12:$B$213,0),32))</f>
        <v>52637.4</v>
      </c>
      <c r="M46" s="53">
        <f t="shared" si="7"/>
        <v>0.42383647156101195</v>
      </c>
      <c r="N46" s="54">
        <f>IF(ISERROR(VLOOKUP(C46,data!$C$12:$AD$213,28,0)),0,VLOOKUP(C46,data!$C$12:$AD$213,28,0))</f>
        <v>334144.34999999998</v>
      </c>
    </row>
    <row r="47" spans="2:14" x14ac:dyDescent="0.2">
      <c r="B47" s="19">
        <f t="shared" si="5"/>
        <v>42</v>
      </c>
      <c r="C47" s="19" t="str">
        <f>IF(ISERROR(INDEX(data!$A$12:$AI$213,MATCH(HLOOKUP('II. Sledování projektu'!$L$5,vstupy!$N$2:$BY$180,$B47+1,0),data!$B$12:$B$213,0),3)),"",INDEX(data!$A$12:$AI$213,MATCH(HLOOKUP('II. Sledování projektu'!$L$5,vstupy!$N$2:$BY$180,$B47+1,0),data!$B$12:$B$213,0),3))</f>
        <v>MŠ Bohumínská</v>
      </c>
      <c r="D47" s="156">
        <f>IF(ISERROR(INDEX(data!$A$12:$AI$213,MATCH(HLOOKUP('II. Sledování projektu'!$L$5,vstupy!$N$2:$BY$180,$B47+1,0),data!$B$12:$B$213,0),35)),"",INDEX(data!$A$12:$AI$213,MATCH(HLOOKUP('II. Sledování projektu'!$L$5,vstupy!$N$2:$BY$180,$B47+1,0),data!$B$12:$B$213,0),35))</f>
        <v>29.451125462682352</v>
      </c>
      <c r="E47" s="49">
        <f>IF(ISERROR(INDEX(data!$A$12:$AI$213,MATCH(HLOOKUP('II. Sledování projektu'!$L$5,vstupy!$N$2:$BY$180,$B47+1,0),data!$B$12:$B$213,0),27)),"",INDEX(data!$A$12:$AI$213,MATCH(HLOOKUP('II. Sledování projektu'!$L$5,vstupy!$N$2:$BY$180,$B47+1,0),data!$B$12:$B$213,0),27))</f>
        <v>1439625</v>
      </c>
      <c r="F47" s="54">
        <f>IF(ISERROR(INDEX(data!$A$12:$AI$213,MATCH(HLOOKUP('II. Sledování projektu'!$L$5,vstupy!$N$2:$BY$180,$B47+1,0),data!$B$12:$B$213,0),28)),"",INDEX(data!$A$12:$AI$213,MATCH(HLOOKUP('II. Sledování projektu'!$L$5,vstupy!$N$2:$BY$180,$B47+1,0),data!$B$12:$B$213,0),28))</f>
        <v>1254.77</v>
      </c>
      <c r="G47" s="53">
        <f t="shared" si="3"/>
        <v>8.7159503342884429E-4</v>
      </c>
      <c r="H47" s="53">
        <f>IF(ISERROR(INDEX(data!$A$12:$AI$213,MATCH(HLOOKUP('II. Sledování projektu'!$L$5,vstupy!$N$2:$BY$180,$B47+1,0),data!$B$12:$B$213,0),29)),"",INDEX(data!$A$12:$AI$213,MATCH(HLOOKUP('II. Sledování projektu'!$L$5,vstupy!$N$2:$BY$180,$B47+1,0),data!$B$12:$B$213,0),29))</f>
        <v>0.1037</v>
      </c>
      <c r="I47" s="54">
        <f>IF(ISERROR(INDEX(data!$A$12:$AI$213,MATCH(HLOOKUP('II. Sledování projektu'!$L$5,vstupy!$N$2:$BY$180,$B47+1,0),data!$B$12:$B$213,0),31)),"",INDEX(data!$A$12:$AI$213,MATCH(HLOOKUP('II. Sledování projektu'!$L$5,vstupy!$N$2:$BY$180,$B47+1,0),data!$B$12:$B$213,0),31))</f>
        <v>73170.44</v>
      </c>
      <c r="J47" s="53">
        <f t="shared" si="4"/>
        <v>5.0826041503863856E-2</v>
      </c>
      <c r="K47" s="53">
        <f t="shared" si="6"/>
        <v>0.49012576185018186</v>
      </c>
      <c r="L47" s="54">
        <f>IF(ISERROR(INDEX(data!$A$12:$AI$213,MATCH(HLOOKUP('II. Sledování projektu'!$L$5,vstupy!$N$2:$BY$180,$B47+1,0),data!$B$12:$B$213,0),32)),"",INDEX(data!$A$12:$AI$213,MATCH(HLOOKUP('II. Sledování projektu'!$L$5,vstupy!$N$2:$BY$180,$B47+1,0),data!$B$12:$B$213,0),32))</f>
        <v>58006.96</v>
      </c>
      <c r="M47" s="53">
        <f t="shared" si="7"/>
        <v>0.44220239157049918</v>
      </c>
      <c r="N47" s="54">
        <f>IF(ISERROR(VLOOKUP(C47,data!$C$12:$AD$213,28,0)),0,VLOOKUP(C47,data!$C$12:$AD$213,28,0))</f>
        <v>149289.11249999999</v>
      </c>
    </row>
    <row r="48" spans="2:14" x14ac:dyDescent="0.2">
      <c r="B48" s="19">
        <f t="shared" si="5"/>
        <v>43</v>
      </c>
      <c r="C48" s="19" t="str">
        <f>IF(ISERROR(INDEX(data!$A$12:$AI$213,MATCH(HLOOKUP('II. Sledování projektu'!$L$5,vstupy!$N$2:$BY$180,$B48+1,0),data!$B$12:$B$213,0),3)),"",INDEX(data!$A$12:$AI$213,MATCH(HLOOKUP('II. Sledování projektu'!$L$5,vstupy!$N$2:$BY$180,$B48+1,0),data!$B$12:$B$213,0),3))</f>
        <v>MŠ Čs.exilu</v>
      </c>
      <c r="D48" s="156">
        <f>IF(ISERROR(INDEX(data!$A$12:$AI$213,MATCH(HLOOKUP('II. Sledování projektu'!$L$5,vstupy!$N$2:$BY$180,$B48+1,0),data!$B$12:$B$213,0),35)),"",INDEX(data!$A$12:$AI$213,MATCH(HLOOKUP('II. Sledování projektu'!$L$5,vstupy!$N$2:$BY$180,$B48+1,0),data!$B$12:$B$213,0),35))</f>
        <v>84.51369100638702</v>
      </c>
      <c r="E48" s="49">
        <f>IF(ISERROR(INDEX(data!$A$12:$AI$213,MATCH(HLOOKUP('II. Sledování projektu'!$L$5,vstupy!$N$2:$BY$180,$B48+1,0),data!$B$12:$B$213,0),27)),"",INDEX(data!$A$12:$AI$213,MATCH(HLOOKUP('II. Sledování projektu'!$L$5,vstupy!$N$2:$BY$180,$B48+1,0),data!$B$12:$B$213,0),27))</f>
        <v>1448250</v>
      </c>
      <c r="F48" s="54">
        <f>IF(ISERROR(INDEX(data!$A$12:$AI$213,MATCH(HLOOKUP('II. Sledování projektu'!$L$5,vstupy!$N$2:$BY$180,$B48+1,0),data!$B$12:$B$213,0),28)),"",INDEX(data!$A$12:$AI$213,MATCH(HLOOKUP('II. Sledování projektu'!$L$5,vstupy!$N$2:$BY$180,$B48+1,0),data!$B$12:$B$213,0),28))</f>
        <v>710039.06</v>
      </c>
      <c r="G48" s="53">
        <f t="shared" si="3"/>
        <v>0.4902738201277404</v>
      </c>
      <c r="H48" s="53">
        <f>IF(ISERROR(INDEX(data!$A$12:$AI$213,MATCH(HLOOKUP('II. Sledování projektu'!$L$5,vstupy!$N$2:$BY$180,$B48+1,0),data!$B$12:$B$213,0),29)),"",INDEX(data!$A$12:$AI$213,MATCH(HLOOKUP('II. Sledování projektu'!$L$5,vstupy!$N$2:$BY$180,$B48+1,0),data!$B$12:$B$213,0),29))</f>
        <v>0.2276</v>
      </c>
      <c r="I48" s="54">
        <f>IF(ISERROR(INDEX(data!$A$12:$AI$213,MATCH(HLOOKUP('II. Sledování projektu'!$L$5,vstupy!$N$2:$BY$180,$B48+1,0),data!$B$12:$B$213,0),31)),"",INDEX(data!$A$12:$AI$213,MATCH(HLOOKUP('II. Sledování projektu'!$L$5,vstupy!$N$2:$BY$180,$B48+1,0),data!$B$12:$B$213,0),31))</f>
        <v>329651.03000000003</v>
      </c>
      <c r="J48" s="53">
        <f t="shared" si="4"/>
        <v>0.22762025202831004</v>
      </c>
      <c r="K48" s="53">
        <f t="shared" si="6"/>
        <v>1.0000889807922233</v>
      </c>
      <c r="L48" s="54">
        <f>IF(ISERROR(INDEX(data!$A$12:$AI$213,MATCH(HLOOKUP('II. Sledování projektu'!$L$5,vstupy!$N$2:$BY$180,$B48+1,0),data!$B$12:$B$213,0),32)),"",INDEX(data!$A$12:$AI$213,MATCH(HLOOKUP('II. Sledování projektu'!$L$5,vstupy!$N$2:$BY$180,$B48+1,0),data!$B$12:$B$213,0),32))</f>
        <v>99004.040000000008</v>
      </c>
      <c r="M48" s="53">
        <f t="shared" si="7"/>
        <v>0.230964350894065</v>
      </c>
      <c r="N48" s="54">
        <f>IF(ISERROR(VLOOKUP(C48,data!$C$12:$AD$213,28,0)),0,VLOOKUP(C48,data!$C$12:$AD$213,28,0))</f>
        <v>329621.7</v>
      </c>
    </row>
    <row r="49" spans="2:14" x14ac:dyDescent="0.2">
      <c r="B49" s="19">
        <f t="shared" si="5"/>
        <v>44</v>
      </c>
      <c r="C49" s="19" t="str">
        <f>IF(ISERROR(INDEX(data!$A$12:$AI$213,MATCH(HLOOKUP('II. Sledování projektu'!$L$5,vstupy!$N$2:$BY$180,$B49+1,0),data!$B$12:$B$213,0),3)),"",INDEX(data!$A$12:$AI$213,MATCH(HLOOKUP('II. Sledování projektu'!$L$5,vstupy!$N$2:$BY$180,$B49+1,0),data!$B$12:$B$213,0),3))</f>
        <v>MŠ Čtyřlístek, O-Poruba</v>
      </c>
      <c r="D49" s="156">
        <f>IF(ISERROR(INDEX(data!$A$12:$AI$213,MATCH(HLOOKUP('II. Sledování projektu'!$L$5,vstupy!$N$2:$BY$180,$B49+1,0),data!$B$12:$B$213,0),35)),"",INDEX(data!$A$12:$AI$213,MATCH(HLOOKUP('II. Sledování projektu'!$L$5,vstupy!$N$2:$BY$180,$B49+1,0),data!$B$12:$B$213,0),35))</f>
        <v>69.685928016954577</v>
      </c>
      <c r="E49" s="49">
        <f>IF(ISERROR(INDEX(data!$A$12:$AI$213,MATCH(HLOOKUP('II. Sledování projektu'!$L$5,vstupy!$N$2:$BY$180,$B49+1,0),data!$B$12:$B$213,0),27)),"",INDEX(data!$A$12:$AI$213,MATCH(HLOOKUP('II. Sledování projektu'!$L$5,vstupy!$N$2:$BY$180,$B49+1,0),data!$B$12:$B$213,0),27))</f>
        <v>2091750</v>
      </c>
      <c r="F49" s="54">
        <f>IF(ISERROR(INDEX(data!$A$12:$AI$213,MATCH(HLOOKUP('II. Sledování projektu'!$L$5,vstupy!$N$2:$BY$180,$B49+1,0),data!$B$12:$B$213,0),28)),"",INDEX(data!$A$12:$AI$213,MATCH(HLOOKUP('II. Sledování projektu'!$L$5,vstupy!$N$2:$BY$180,$B49+1,0),data!$B$12:$B$213,0),28))</f>
        <v>938793.62</v>
      </c>
      <c r="G49" s="53">
        <f t="shared" si="3"/>
        <v>0.44880775427273811</v>
      </c>
      <c r="H49" s="53">
        <f>IF(ISERROR(INDEX(data!$A$12:$AI$213,MATCH(HLOOKUP('II. Sledování projektu'!$L$5,vstupy!$N$2:$BY$180,$B49+1,0),data!$B$12:$B$213,0),29)),"",INDEX(data!$A$12:$AI$213,MATCH(HLOOKUP('II. Sledování projektu'!$L$5,vstupy!$N$2:$BY$180,$B49+1,0),data!$B$12:$B$213,0),29))</f>
        <v>0.19989999999999999</v>
      </c>
      <c r="I49" s="54">
        <f>IF(ISERROR(INDEX(data!$A$12:$AI$213,MATCH(HLOOKUP('II. Sledování projektu'!$L$5,vstupy!$N$2:$BY$180,$B49+1,0),data!$B$12:$B$213,0),31)),"",INDEX(data!$A$12:$AI$213,MATCH(HLOOKUP('II. Sledování projektu'!$L$5,vstupy!$N$2:$BY$180,$B49+1,0),data!$B$12:$B$213,0),31))</f>
        <v>329254.82</v>
      </c>
      <c r="J49" s="53">
        <f t="shared" si="4"/>
        <v>0.15740639177722004</v>
      </c>
      <c r="K49" s="53">
        <f t="shared" si="6"/>
        <v>0.7874256717219611</v>
      </c>
      <c r="L49" s="54">
        <f>IF(ISERROR(INDEX(data!$A$12:$AI$213,MATCH(HLOOKUP('II. Sledování projektu'!$L$5,vstupy!$N$2:$BY$180,$B49+1,0),data!$B$12:$B$213,0),32)),"",INDEX(data!$A$12:$AI$213,MATCH(HLOOKUP('II. Sledování projektu'!$L$5,vstupy!$N$2:$BY$180,$B49+1,0),data!$B$12:$B$213,0),32))</f>
        <v>93618.700000000012</v>
      </c>
      <c r="M49" s="53">
        <f t="shared" si="7"/>
        <v>0.22138700006564613</v>
      </c>
      <c r="N49" s="54">
        <f>IF(ISERROR(VLOOKUP(C49,data!$C$12:$AD$213,28,0)),0,VLOOKUP(C49,data!$C$12:$AD$213,28,0))</f>
        <v>418140.82500000001</v>
      </c>
    </row>
    <row r="50" spans="2:14" x14ac:dyDescent="0.2">
      <c r="B50" s="19">
        <f t="shared" si="5"/>
        <v>45</v>
      </c>
      <c r="C50" s="19" t="str">
        <f>IF(ISERROR(INDEX(data!$A$12:$AI$213,MATCH(HLOOKUP('II. Sledování projektu'!$L$5,vstupy!$N$2:$BY$180,$B50+1,0),data!$B$12:$B$213,0),3)),"",INDEX(data!$A$12:$AI$213,MATCH(HLOOKUP('II. Sledování projektu'!$L$5,vstupy!$N$2:$BY$180,$B50+1,0),data!$B$12:$B$213,0),3))</f>
        <v>MŠ Dvořákova</v>
      </c>
      <c r="D50" s="156">
        <f>IF(ISERROR(INDEX(data!$A$12:$AI$213,MATCH(HLOOKUP('II. Sledování projektu'!$L$5,vstupy!$N$2:$BY$180,$B50+1,0),data!$B$12:$B$213,0),35)),"",INDEX(data!$A$12:$AI$213,MATCH(HLOOKUP('II. Sledování projektu'!$L$5,vstupy!$N$2:$BY$180,$B50+1,0),data!$B$12:$B$213,0),35))</f>
        <v>10.908501178357103</v>
      </c>
      <c r="E50" s="49">
        <f>IF(ISERROR(INDEX(data!$A$12:$AI$213,MATCH(HLOOKUP('II. Sledování projektu'!$L$5,vstupy!$N$2:$BY$180,$B50+1,0),data!$B$12:$B$213,0),27)),"",INDEX(data!$A$12:$AI$213,MATCH(HLOOKUP('II. Sledování projektu'!$L$5,vstupy!$N$2:$BY$180,$B50+1,0),data!$B$12:$B$213,0),27))</f>
        <v>474000</v>
      </c>
      <c r="F50" s="54">
        <f>IF(ISERROR(INDEX(data!$A$12:$AI$213,MATCH(HLOOKUP('II. Sledování projektu'!$L$5,vstupy!$N$2:$BY$180,$B50+1,0),data!$B$12:$B$213,0),28)),"",INDEX(data!$A$12:$AI$213,MATCH(HLOOKUP('II. Sledování projektu'!$L$5,vstupy!$N$2:$BY$180,$B50+1,0),data!$B$12:$B$213,0),28))</f>
        <v>0</v>
      </c>
      <c r="G50" s="53">
        <f t="shared" si="3"/>
        <v>0</v>
      </c>
      <c r="H50" s="53">
        <f>IF(ISERROR(INDEX(data!$A$12:$AI$213,MATCH(HLOOKUP('II. Sledování projektu'!$L$5,vstupy!$N$2:$BY$180,$B50+1,0),data!$B$12:$B$213,0),29)),"",INDEX(data!$A$12:$AI$213,MATCH(HLOOKUP('II. Sledování projektu'!$L$5,vstupy!$N$2:$BY$180,$B50+1,0),data!$B$12:$B$213,0),29))</f>
        <v>5.21E-2</v>
      </c>
      <c r="I50" s="54">
        <f>IF(ISERROR(INDEX(data!$A$12:$AI$213,MATCH(HLOOKUP('II. Sledování projektu'!$L$5,vstupy!$N$2:$BY$180,$B50+1,0),data!$B$12:$B$213,0),31)),"",INDEX(data!$A$12:$AI$213,MATCH(HLOOKUP('II. Sledování projektu'!$L$5,vstupy!$N$2:$BY$180,$B50+1,0),data!$B$12:$B$213,0),31))</f>
        <v>4489.83</v>
      </c>
      <c r="J50" s="53">
        <f t="shared" si="4"/>
        <v>9.4722151898734182E-3</v>
      </c>
      <c r="K50" s="53">
        <f t="shared" si="6"/>
        <v>0.18180835297261838</v>
      </c>
      <c r="L50" s="54">
        <f>IF(ISERROR(INDEX(data!$A$12:$AI$213,MATCH(HLOOKUP('II. Sledování projektu'!$L$5,vstupy!$N$2:$BY$180,$B50+1,0),data!$B$12:$B$213,0),32)),"",INDEX(data!$A$12:$AI$213,MATCH(HLOOKUP('II. Sledování projektu'!$L$5,vstupy!$N$2:$BY$180,$B50+1,0),data!$B$12:$B$213,0),32))</f>
        <v>6040.8</v>
      </c>
      <c r="M50" s="53">
        <f t="shared" si="7"/>
        <v>0.57364089327988921</v>
      </c>
      <c r="N50" s="54">
        <f>IF(ISERROR(VLOOKUP(C50,data!$C$12:$AD$213,28,0)),0,VLOOKUP(C50,data!$C$12:$AD$213,28,0))</f>
        <v>24695.4</v>
      </c>
    </row>
    <row r="51" spans="2:14" x14ac:dyDescent="0.2">
      <c r="B51" s="19">
        <f t="shared" si="5"/>
        <v>46</v>
      </c>
      <c r="C51" s="19" t="str">
        <f>IF(ISERROR(INDEX(data!$A$12:$AI$213,MATCH(HLOOKUP('II. Sledování projektu'!$L$5,vstupy!$N$2:$BY$180,$B51+1,0),data!$B$12:$B$213,0),3)),"",INDEX(data!$A$12:$AI$213,MATCH(HLOOKUP('II. Sledování projektu'!$L$5,vstupy!$N$2:$BY$180,$B51+1,0),data!$B$12:$B$213,0),3))</f>
        <v>MŠ Gen.Janka</v>
      </c>
      <c r="D51" s="156">
        <f>IF(ISERROR(INDEX(data!$A$12:$AI$213,MATCH(HLOOKUP('II. Sledování projektu'!$L$5,vstupy!$N$2:$BY$180,$B51+1,0),data!$B$12:$B$213,0),35)),"",INDEX(data!$A$12:$AI$213,MATCH(HLOOKUP('II. Sledování projektu'!$L$5,vstupy!$N$2:$BY$180,$B51+1,0),data!$B$12:$B$213,0),35))</f>
        <v>47.689102598123057</v>
      </c>
      <c r="E51" s="49">
        <f>IF(ISERROR(INDEX(data!$A$12:$AI$213,MATCH(HLOOKUP('II. Sledování projektu'!$L$5,vstupy!$N$2:$BY$180,$B51+1,0),data!$B$12:$B$213,0),27)),"",INDEX(data!$A$12:$AI$213,MATCH(HLOOKUP('II. Sledování projektu'!$L$5,vstupy!$N$2:$BY$180,$B51+1,0),data!$B$12:$B$213,0),27))</f>
        <v>974925</v>
      </c>
      <c r="F51" s="54">
        <f>IF(ISERROR(INDEX(data!$A$12:$AI$213,MATCH(HLOOKUP('II. Sledování projektu'!$L$5,vstupy!$N$2:$BY$180,$B51+1,0),data!$B$12:$B$213,0),28)),"",INDEX(data!$A$12:$AI$213,MATCH(HLOOKUP('II. Sledování projektu'!$L$5,vstupy!$N$2:$BY$180,$B51+1,0),data!$B$12:$B$213,0),28))</f>
        <v>93572.82</v>
      </c>
      <c r="G51" s="53">
        <f t="shared" si="3"/>
        <v>9.5979506115855068E-2</v>
      </c>
      <c r="H51" s="53">
        <f>IF(ISERROR(INDEX(data!$A$12:$AI$213,MATCH(HLOOKUP('II. Sledování projektu'!$L$5,vstupy!$N$2:$BY$180,$B51+1,0),data!$B$12:$B$213,0),29)),"",INDEX(data!$A$12:$AI$213,MATCH(HLOOKUP('II. Sledování projektu'!$L$5,vstupy!$N$2:$BY$180,$B51+1,0),data!$B$12:$B$213,0),29))</f>
        <v>0.1789</v>
      </c>
      <c r="I51" s="54">
        <f>IF(ISERROR(INDEX(data!$A$12:$AI$213,MATCH(HLOOKUP('II. Sledování projektu'!$L$5,vstupy!$N$2:$BY$180,$B51+1,0),data!$B$12:$B$213,0),31)),"",INDEX(data!$A$12:$AI$213,MATCH(HLOOKUP('II. Sledování projektu'!$L$5,vstupy!$N$2:$BY$180,$B51+1,0),data!$B$12:$B$213,0),31))</f>
        <v>124677.37</v>
      </c>
      <c r="J51" s="53">
        <f t="shared" si="4"/>
        <v>0.12788406287663154</v>
      </c>
      <c r="K51" s="53">
        <f t="shared" si="6"/>
        <v>0.71483545487217182</v>
      </c>
      <c r="L51" s="54">
        <f>IF(ISERROR(INDEX(data!$A$12:$AI$213,MATCH(HLOOKUP('II. Sledování projektu'!$L$5,vstupy!$N$2:$BY$180,$B51+1,0),data!$B$12:$B$213,0),32)),"",INDEX(data!$A$12:$AI$213,MATCH(HLOOKUP('II. Sledování projektu'!$L$5,vstupy!$N$2:$BY$180,$B51+1,0),data!$B$12:$B$213,0),32))</f>
        <v>38922.899999999994</v>
      </c>
      <c r="M51" s="53">
        <f t="shared" si="7"/>
        <v>0.23791464402839921</v>
      </c>
      <c r="N51" s="54">
        <f>IF(ISERROR(VLOOKUP(C51,data!$C$12:$AD$213,28,0)),0,VLOOKUP(C51,data!$C$12:$AD$213,28,0))</f>
        <v>174414.08249999999</v>
      </c>
    </row>
    <row r="52" spans="2:14" x14ac:dyDescent="0.2">
      <c r="B52" s="19">
        <f t="shared" si="5"/>
        <v>47</v>
      </c>
      <c r="C52" s="19" t="str">
        <f>IF(ISERROR(INDEX(data!$A$12:$AI$213,MATCH(HLOOKUP('II. Sledování projektu'!$L$5,vstupy!$N$2:$BY$180,$B52+1,0),data!$B$12:$B$213,0),3)),"",INDEX(data!$A$12:$AI$213,MATCH(HLOOKUP('II. Sledování projektu'!$L$5,vstupy!$N$2:$BY$180,$B52+1,0),data!$B$12:$B$213,0),3))</f>
        <v>MŠ Harmonie, O-Hrabůvka</v>
      </c>
      <c r="D52" s="156">
        <f>IF(ISERROR(INDEX(data!$A$12:$AI$213,MATCH(HLOOKUP('II. Sledování projektu'!$L$5,vstupy!$N$2:$BY$180,$B52+1,0),data!$B$12:$B$213,0),35)),"",INDEX(data!$A$12:$AI$213,MATCH(HLOOKUP('II. Sledování projektu'!$L$5,vstupy!$N$2:$BY$180,$B52+1,0),data!$B$12:$B$213,0),35))</f>
        <v>71.877269553386299</v>
      </c>
      <c r="E52" s="49">
        <f>IF(ISERROR(INDEX(data!$A$12:$AI$213,MATCH(HLOOKUP('II. Sledování projektu'!$L$5,vstupy!$N$2:$BY$180,$B52+1,0),data!$B$12:$B$213,0),27)),"",INDEX(data!$A$12:$AI$213,MATCH(HLOOKUP('II. Sledování projektu'!$L$5,vstupy!$N$2:$BY$180,$B52+1,0),data!$B$12:$B$213,0),27))</f>
        <v>2552550</v>
      </c>
      <c r="F52" s="54">
        <f>IF(ISERROR(INDEX(data!$A$12:$AI$213,MATCH(HLOOKUP('II. Sledování projektu'!$L$5,vstupy!$N$2:$BY$180,$B52+1,0),data!$B$12:$B$213,0),28)),"",INDEX(data!$A$12:$AI$213,MATCH(HLOOKUP('II. Sledování projektu'!$L$5,vstupy!$N$2:$BY$180,$B52+1,0),data!$B$12:$B$213,0),28))</f>
        <v>1439823.8</v>
      </c>
      <c r="G52" s="53">
        <f t="shared" si="3"/>
        <v>0.56407271160212336</v>
      </c>
      <c r="H52" s="53">
        <f>IF(ISERROR(INDEX(data!$A$12:$AI$213,MATCH(HLOOKUP('II. Sledování projektu'!$L$5,vstupy!$N$2:$BY$180,$B52+1,0),data!$B$12:$B$213,0),29)),"",INDEX(data!$A$12:$AI$213,MATCH(HLOOKUP('II. Sledování projektu'!$L$5,vstupy!$N$2:$BY$180,$B52+1,0),data!$B$12:$B$213,0),29))</f>
        <v>0.21279999999999999</v>
      </c>
      <c r="I52" s="54">
        <f>IF(ISERROR(INDEX(data!$A$12:$AI$213,MATCH(HLOOKUP('II. Sledování projektu'!$L$5,vstupy!$N$2:$BY$180,$B52+1,0),data!$B$12:$B$213,0),31)),"",INDEX(data!$A$12:$AI$213,MATCH(HLOOKUP('II. Sledování projektu'!$L$5,vstupy!$N$2:$BY$180,$B52+1,0),data!$B$12:$B$213,0),31))</f>
        <v>395379.32999999996</v>
      </c>
      <c r="J52" s="53">
        <f t="shared" si="4"/>
        <v>0.15489582182523357</v>
      </c>
      <c r="K52" s="53">
        <f t="shared" si="6"/>
        <v>0.72789389955466899</v>
      </c>
      <c r="L52" s="54">
        <f>IF(ISERROR(INDEX(data!$A$12:$AI$213,MATCH(HLOOKUP('II. Sledování projektu'!$L$5,vstupy!$N$2:$BY$180,$B52+1,0),data!$B$12:$B$213,0),32)),"",INDEX(data!$A$12:$AI$213,MATCH(HLOOKUP('II. Sledování projektu'!$L$5,vstupy!$N$2:$BY$180,$B52+1,0),data!$B$12:$B$213,0),32))</f>
        <v>150324.76</v>
      </c>
      <c r="M52" s="53">
        <f t="shared" si="7"/>
        <v>0.27546936655724902</v>
      </c>
      <c r="N52" s="54">
        <f>IF(ISERROR(VLOOKUP(C52,data!$C$12:$AD$213,28,0)),0,VLOOKUP(C52,data!$C$12:$AD$213,28,0))</f>
        <v>543182.64</v>
      </c>
    </row>
    <row r="53" spans="2:14" x14ac:dyDescent="0.2">
      <c r="B53" s="19">
        <f t="shared" si="5"/>
        <v>48</v>
      </c>
      <c r="C53" s="19" t="str">
        <f>IF(ISERROR(INDEX(data!$A$12:$AI$213,MATCH(HLOOKUP('II. Sledování projektu'!$L$5,vstupy!$N$2:$BY$180,$B53+1,0),data!$B$12:$B$213,0),3)),"",INDEX(data!$A$12:$AI$213,MATCH(HLOOKUP('II. Sledování projektu'!$L$5,vstupy!$N$2:$BY$180,$B53+1,0),data!$B$12:$B$213,0),3))</f>
        <v>MŠ Heřmanice</v>
      </c>
      <c r="D53" s="156">
        <f>IF(ISERROR(INDEX(data!$A$12:$AI$213,MATCH(HLOOKUP('II. Sledování projektu'!$L$5,vstupy!$N$2:$BY$180,$B53+1,0),data!$B$12:$B$213,0),35)),"",INDEX(data!$A$12:$AI$213,MATCH(HLOOKUP('II. Sledování projektu'!$L$5,vstupy!$N$2:$BY$180,$B53+1,0),data!$B$12:$B$213,0),35))</f>
        <v>24.52868531736075</v>
      </c>
      <c r="E53" s="49">
        <f>IF(ISERROR(INDEX(data!$A$12:$AI$213,MATCH(HLOOKUP('II. Sledování projektu'!$L$5,vstupy!$N$2:$BY$180,$B53+1,0),data!$B$12:$B$213,0),27)),"",INDEX(data!$A$12:$AI$213,MATCH(HLOOKUP('II. Sledování projektu'!$L$5,vstupy!$N$2:$BY$180,$B53+1,0),data!$B$12:$B$213,0),27))</f>
        <v>638550</v>
      </c>
      <c r="F53" s="54">
        <f>IF(ISERROR(INDEX(data!$A$12:$AI$213,MATCH(HLOOKUP('II. Sledování projektu'!$L$5,vstupy!$N$2:$BY$180,$B53+1,0),data!$B$12:$B$213,0),28)),"",INDEX(data!$A$12:$AI$213,MATCH(HLOOKUP('II. Sledování projektu'!$L$5,vstupy!$N$2:$BY$180,$B53+1,0),data!$B$12:$B$213,0),28))</f>
        <v>0</v>
      </c>
      <c r="G53" s="53">
        <f t="shared" si="3"/>
        <v>0</v>
      </c>
      <c r="H53" s="53">
        <f>IF(ISERROR(INDEX(data!$A$12:$AI$213,MATCH(HLOOKUP('II. Sledování projektu'!$L$5,vstupy!$N$2:$BY$180,$B53+1,0),data!$B$12:$B$213,0),29)),"",INDEX(data!$A$12:$AI$213,MATCH(HLOOKUP('II. Sledování projektu'!$L$5,vstupy!$N$2:$BY$180,$B53+1,0),data!$B$12:$B$213,0),29))</f>
        <v>8.5099999999999995E-2</v>
      </c>
      <c r="I53" s="54">
        <f>IF(ISERROR(INDEX(data!$A$12:$AI$213,MATCH(HLOOKUP('II. Sledování projektu'!$L$5,vstupy!$N$2:$BY$180,$B53+1,0),data!$B$12:$B$213,0),31)),"",INDEX(data!$A$12:$AI$213,MATCH(HLOOKUP('II. Sledování projektu'!$L$5,vstupy!$N$2:$BY$180,$B53+1,0),data!$B$12:$B$213,0),31))</f>
        <v>22215.06</v>
      </c>
      <c r="J53" s="53">
        <f t="shared" si="4"/>
        <v>3.4789852008456662E-2</v>
      </c>
      <c r="K53" s="53">
        <f t="shared" si="6"/>
        <v>0.4088114219560125</v>
      </c>
      <c r="L53" s="54">
        <f>IF(ISERROR(INDEX(data!$A$12:$AI$213,MATCH(HLOOKUP('II. Sledování projektu'!$L$5,vstupy!$N$2:$BY$180,$B53+1,0),data!$B$12:$B$213,0),32)),"",INDEX(data!$A$12:$AI$213,MATCH(HLOOKUP('II. Sledování projektu'!$L$5,vstupy!$N$2:$BY$180,$B53+1,0),data!$B$12:$B$213,0),32))</f>
        <v>22257</v>
      </c>
      <c r="M53" s="53">
        <f t="shared" si="7"/>
        <v>0.50047153201358341</v>
      </c>
      <c r="N53" s="54">
        <f>IF(ISERROR(VLOOKUP(C53,data!$C$12:$AD$213,28,0)),0,VLOOKUP(C53,data!$C$12:$AD$213,28,0))</f>
        <v>54340.604999999996</v>
      </c>
    </row>
    <row r="54" spans="2:14" x14ac:dyDescent="0.2">
      <c r="B54" s="19">
        <f t="shared" si="5"/>
        <v>49</v>
      </c>
      <c r="C54" s="19" t="str">
        <f>IF(ISERROR(INDEX(data!$A$12:$AI$213,MATCH(HLOOKUP('II. Sledování projektu'!$L$5,vstupy!$N$2:$BY$180,$B54+1,0),data!$B$12:$B$213,0),3)),"",INDEX(data!$A$12:$AI$213,MATCH(HLOOKUP('II. Sledování projektu'!$L$5,vstupy!$N$2:$BY$180,$B54+1,0),data!$B$12:$B$213,0),3))</f>
        <v>MŠ Hornická</v>
      </c>
      <c r="D54" s="156">
        <f>IF(ISERROR(INDEX(data!$A$12:$AI$213,MATCH(HLOOKUP('II. Sledování projektu'!$L$5,vstupy!$N$2:$BY$180,$B54+1,0),data!$B$12:$B$213,0),35)),"",INDEX(data!$A$12:$AI$213,MATCH(HLOOKUP('II. Sledování projektu'!$L$5,vstupy!$N$2:$BY$180,$B54+1,0),data!$B$12:$B$213,0),35))</f>
        <v>3.082006317036257</v>
      </c>
      <c r="E54" s="49">
        <f>IF(ISERROR(INDEX(data!$A$12:$AI$213,MATCH(HLOOKUP('II. Sledování projektu'!$L$5,vstupy!$N$2:$BY$180,$B54+1,0),data!$B$12:$B$213,0),27)),"",INDEX(data!$A$12:$AI$213,MATCH(HLOOKUP('II. Sledování projektu'!$L$5,vstupy!$N$2:$BY$180,$B54+1,0),data!$B$12:$B$213,0),27))</f>
        <v>1503000</v>
      </c>
      <c r="F54" s="54">
        <f>IF(ISERROR(INDEX(data!$A$12:$AI$213,MATCH(HLOOKUP('II. Sledování projektu'!$L$5,vstupy!$N$2:$BY$180,$B54+1,0),data!$B$12:$B$213,0),28)),"",INDEX(data!$A$12:$AI$213,MATCH(HLOOKUP('II. Sledování projektu'!$L$5,vstupy!$N$2:$BY$180,$B54+1,0),data!$B$12:$B$213,0),28))</f>
        <v>0</v>
      </c>
      <c r="G54" s="53">
        <f t="shared" si="3"/>
        <v>0</v>
      </c>
      <c r="H54" s="53">
        <f>IF(ISERROR(INDEX(data!$A$12:$AI$213,MATCH(HLOOKUP('II. Sledování projektu'!$L$5,vstupy!$N$2:$BY$180,$B54+1,0),data!$B$12:$B$213,0),29)),"",INDEX(data!$A$12:$AI$213,MATCH(HLOOKUP('II. Sledování projektu'!$L$5,vstupy!$N$2:$BY$180,$B54+1,0),data!$B$12:$B$213,0),29))</f>
        <v>0.21840000000000001</v>
      </c>
      <c r="I54" s="54">
        <f>IF(ISERROR(INDEX(data!$A$12:$AI$213,MATCH(HLOOKUP('II. Sledování projektu'!$L$5,vstupy!$N$2:$BY$180,$B54+1,0),data!$B$12:$B$213,0),31)),"",INDEX(data!$A$12:$AI$213,MATCH(HLOOKUP('II. Sledování projektu'!$L$5,vstupy!$N$2:$BY$180,$B54+1,0),data!$B$12:$B$213,0),31))</f>
        <v>16861.41</v>
      </c>
      <c r="J54" s="53">
        <f t="shared" si="4"/>
        <v>1.1218502994011975E-2</v>
      </c>
      <c r="K54" s="53">
        <f t="shared" si="6"/>
        <v>5.1366771950604281E-2</v>
      </c>
      <c r="L54" s="54">
        <f>IF(ISERROR(INDEX(data!$A$12:$AI$213,MATCH(HLOOKUP('II. Sledování projektu'!$L$5,vstupy!$N$2:$BY$180,$B54+1,0),data!$B$12:$B$213,0),32)),"",INDEX(data!$A$12:$AI$213,MATCH(HLOOKUP('II. Sledování projektu'!$L$5,vstupy!$N$2:$BY$180,$B54+1,0),data!$B$12:$B$213,0),32))</f>
        <v>14181.66</v>
      </c>
      <c r="M54" s="53">
        <f t="shared" si="7"/>
        <v>0.45683819287203231</v>
      </c>
      <c r="N54" s="54">
        <f>IF(ISERROR(VLOOKUP(C54,data!$C$12:$AD$213,28,0)),0,VLOOKUP(C54,data!$C$12:$AD$213,28,0))</f>
        <v>328255.2</v>
      </c>
    </row>
    <row r="55" spans="2:14" x14ac:dyDescent="0.2">
      <c r="B55" s="19">
        <f t="shared" si="5"/>
        <v>50</v>
      </c>
      <c r="C55" s="19" t="str">
        <f>IF(ISERROR(INDEX(data!$A$12:$AI$213,MATCH(HLOOKUP('II. Sledování projektu'!$L$5,vstupy!$N$2:$BY$180,$B55+1,0),data!$B$12:$B$213,0),3)),"",INDEX(data!$A$12:$AI$213,MATCH(HLOOKUP('II. Sledování projektu'!$L$5,vstupy!$N$2:$BY$180,$B55+1,0),data!$B$12:$B$213,0),3))</f>
        <v>MŠ Klubíčko, O-Hrabová</v>
      </c>
      <c r="D55" s="156">
        <f>IF(ISERROR(INDEX(data!$A$12:$AI$213,MATCH(HLOOKUP('II. Sledování projektu'!$L$5,vstupy!$N$2:$BY$180,$B55+1,0),data!$B$12:$B$213,0),35)),"",INDEX(data!$A$12:$AI$213,MATCH(HLOOKUP('II. Sledování projektu'!$L$5,vstupy!$N$2:$BY$180,$B55+1,0),data!$B$12:$B$213,0),35))</f>
        <v>12.426768353086125</v>
      </c>
      <c r="E55" s="49">
        <f>IF(ISERROR(INDEX(data!$A$12:$AI$213,MATCH(HLOOKUP('II. Sledování projektu'!$L$5,vstupy!$N$2:$BY$180,$B55+1,0),data!$B$12:$B$213,0),27)),"",INDEX(data!$A$12:$AI$213,MATCH(HLOOKUP('II. Sledování projektu'!$L$5,vstupy!$N$2:$BY$180,$B55+1,0),data!$B$12:$B$213,0),27))</f>
        <v>1462159.5</v>
      </c>
      <c r="F55" s="54">
        <f>IF(ISERROR(INDEX(data!$A$12:$AI$213,MATCH(HLOOKUP('II. Sledování projektu'!$L$5,vstupy!$N$2:$BY$180,$B55+1,0),data!$B$12:$B$213,0),28)),"",INDEX(data!$A$12:$AI$213,MATCH(HLOOKUP('II. Sledování projektu'!$L$5,vstupy!$N$2:$BY$180,$B55+1,0),data!$B$12:$B$213,0),28))</f>
        <v>0</v>
      </c>
      <c r="G55" s="53">
        <f t="shared" si="3"/>
        <v>0</v>
      </c>
      <c r="H55" s="53">
        <f>IF(ISERROR(INDEX(data!$A$12:$AI$213,MATCH(HLOOKUP('II. Sledování projektu'!$L$5,vstupy!$N$2:$BY$180,$B55+1,0),data!$B$12:$B$213,0),29)),"",INDEX(data!$A$12:$AI$213,MATCH(HLOOKUP('II. Sledování projektu'!$L$5,vstupy!$N$2:$BY$180,$B55+1,0),data!$B$12:$B$213,0),29))</f>
        <v>0.24940000000000001</v>
      </c>
      <c r="I55" s="54">
        <f>IF(ISERROR(INDEX(data!$A$12:$AI$213,MATCH(HLOOKUP('II. Sledování projektu'!$L$5,vstupy!$N$2:$BY$180,$B55+1,0),data!$B$12:$B$213,0),31)),"",INDEX(data!$A$12:$AI$213,MATCH(HLOOKUP('II. Sledování projektu'!$L$5,vstupy!$N$2:$BY$180,$B55+1,0),data!$B$12:$B$213,0),31))</f>
        <v>75526.289999999994</v>
      </c>
      <c r="J55" s="53">
        <f t="shared" si="4"/>
        <v>5.1653933787661331E-2</v>
      </c>
      <c r="K55" s="53">
        <f t="shared" si="6"/>
        <v>0.20711280588476874</v>
      </c>
      <c r="L55" s="54">
        <f>IF(ISERROR(INDEX(data!$A$12:$AI$213,MATCH(HLOOKUP('II. Sledování projektu'!$L$5,vstupy!$N$2:$BY$180,$B55+1,0),data!$B$12:$B$213,0),32)),"",INDEX(data!$A$12:$AI$213,MATCH(HLOOKUP('II. Sledování projektu'!$L$5,vstupy!$N$2:$BY$180,$B55+1,0),data!$B$12:$B$213,0),32))</f>
        <v>59937.66</v>
      </c>
      <c r="M55" s="53">
        <f t="shared" si="7"/>
        <v>0.44246207201251697</v>
      </c>
      <c r="N55" s="54">
        <f>IF(ISERROR(VLOOKUP(C55,data!$C$12:$AD$213,28,0)),0,VLOOKUP(C55,data!$C$12:$AD$213,28,0))</f>
        <v>364662.57930000004</v>
      </c>
    </row>
    <row r="56" spans="2:14" x14ac:dyDescent="0.2">
      <c r="B56" s="19">
        <f t="shared" si="5"/>
        <v>51</v>
      </c>
      <c r="C56" s="19" t="str">
        <f>IF(ISERROR(INDEX(data!$A$12:$AI$213,MATCH(HLOOKUP('II. Sledování projektu'!$L$5,vstupy!$N$2:$BY$180,$B56+1,0),data!$B$12:$B$213,0),3)),"",INDEX(data!$A$12:$AI$213,MATCH(HLOOKUP('II. Sledování projektu'!$L$5,vstupy!$N$2:$BY$180,$B56+1,0),data!$B$12:$B$213,0),3))</f>
        <v>MŠ Komerční</v>
      </c>
      <c r="D56" s="156">
        <f>IF(ISERROR(INDEX(data!$A$12:$AI$213,MATCH(HLOOKUP('II. Sledování projektu'!$L$5,vstupy!$N$2:$BY$180,$B56+1,0),data!$B$12:$B$213,0),35)),"",INDEX(data!$A$12:$AI$213,MATCH(HLOOKUP('II. Sledování projektu'!$L$5,vstupy!$N$2:$BY$180,$B56+1,0),data!$B$12:$B$213,0),35))</f>
        <v>4.8313155663234406</v>
      </c>
      <c r="E56" s="49">
        <f>IF(ISERROR(INDEX(data!$A$12:$AI$213,MATCH(HLOOKUP('II. Sledování projektu'!$L$5,vstupy!$N$2:$BY$180,$B56+1,0),data!$B$12:$B$213,0),27)),"",INDEX(data!$A$12:$AI$213,MATCH(HLOOKUP('II. Sledování projektu'!$L$5,vstupy!$N$2:$BY$180,$B56+1,0),data!$B$12:$B$213,0),27))</f>
        <v>1905000</v>
      </c>
      <c r="F56" s="54">
        <f>IF(ISERROR(INDEX(data!$A$12:$AI$213,MATCH(HLOOKUP('II. Sledování projektu'!$L$5,vstupy!$N$2:$BY$180,$B56+1,0),data!$B$12:$B$213,0),28)),"",INDEX(data!$A$12:$AI$213,MATCH(HLOOKUP('II. Sledování projektu'!$L$5,vstupy!$N$2:$BY$180,$B56+1,0),data!$B$12:$B$213,0),28))</f>
        <v>0</v>
      </c>
      <c r="G56" s="53">
        <f t="shared" si="3"/>
        <v>0</v>
      </c>
      <c r="H56" s="53">
        <f>IF(ISERROR(INDEX(data!$A$12:$AI$213,MATCH(HLOOKUP('II. Sledování projektu'!$L$5,vstupy!$N$2:$BY$180,$B56+1,0),data!$B$12:$B$213,0),29)),"",INDEX(data!$A$12:$AI$213,MATCH(HLOOKUP('II. Sledování projektu'!$L$5,vstupy!$N$2:$BY$180,$B56+1,0),data!$B$12:$B$213,0),29))</f>
        <v>0.26</v>
      </c>
      <c r="I56" s="54">
        <f>IF(ISERROR(INDEX(data!$A$12:$AI$213,MATCH(HLOOKUP('II. Sledování projektu'!$L$5,vstupy!$N$2:$BY$180,$B56+1,0),data!$B$12:$B$213,0),31)),"",INDEX(data!$A$12:$AI$213,MATCH(HLOOKUP('II. Sledování projektu'!$L$5,vstupy!$N$2:$BY$180,$B56+1,0),data!$B$12:$B$213,0),31))</f>
        <v>39882.51</v>
      </c>
      <c r="J56" s="53">
        <f t="shared" si="4"/>
        <v>2.0935700787401576E-2</v>
      </c>
      <c r="K56" s="53">
        <f t="shared" si="6"/>
        <v>8.0521926105390676E-2</v>
      </c>
      <c r="L56" s="54">
        <f>IF(ISERROR(INDEX(data!$A$12:$AI$213,MATCH(HLOOKUP('II. Sledování projektu'!$L$5,vstupy!$N$2:$BY$180,$B56+1,0),data!$B$12:$B$213,0),32)),"",INDEX(data!$A$12:$AI$213,MATCH(HLOOKUP('II. Sledování projektu'!$L$5,vstupy!$N$2:$BY$180,$B56+1,0),data!$B$12:$B$213,0),32))</f>
        <v>25379.1</v>
      </c>
      <c r="M56" s="53">
        <f t="shared" si="7"/>
        <v>0.38888252986709948</v>
      </c>
      <c r="N56" s="54">
        <f>IF(ISERROR(VLOOKUP(C56,data!$C$12:$AD$213,28,0)),0,VLOOKUP(C56,data!$C$12:$AD$213,28,0))</f>
        <v>495300</v>
      </c>
    </row>
    <row r="57" spans="2:14" x14ac:dyDescent="0.2">
      <c r="B57" s="19">
        <f t="shared" si="5"/>
        <v>52</v>
      </c>
      <c r="C57" s="19" t="str">
        <f>IF(ISERROR(INDEX(data!$A$12:$AI$213,MATCH(HLOOKUP('II. Sledování projektu'!$L$5,vstupy!$N$2:$BY$180,$B57+1,0),data!$B$12:$B$213,0),3)),"",INDEX(data!$A$12:$AI$213,MATCH(HLOOKUP('II. Sledování projektu'!$L$5,vstupy!$N$2:$BY$180,$B57+1,0),data!$B$12:$B$213,0),3))</f>
        <v>MŠ Křižíkova</v>
      </c>
      <c r="D57" s="156">
        <f>IF(ISERROR(INDEX(data!$A$12:$AI$213,MATCH(HLOOKUP('II. Sledování projektu'!$L$5,vstupy!$N$2:$BY$180,$B57+1,0),data!$B$12:$B$213,0),35)),"",INDEX(data!$A$12:$AI$213,MATCH(HLOOKUP('II. Sledování projektu'!$L$5,vstupy!$N$2:$BY$180,$B57+1,0),data!$B$12:$B$213,0),35))</f>
        <v>3.5512149168399167</v>
      </c>
      <c r="E57" s="49">
        <f>IF(ISERROR(INDEX(data!$A$12:$AI$213,MATCH(HLOOKUP('II. Sledování projektu'!$L$5,vstupy!$N$2:$BY$180,$B57+1,0),data!$B$12:$B$213,0),27)),"",INDEX(data!$A$12:$AI$213,MATCH(HLOOKUP('II. Sledování projektu'!$L$5,vstupy!$N$2:$BY$180,$B57+1,0),data!$B$12:$B$213,0),27))</f>
        <v>1332000</v>
      </c>
      <c r="F57" s="54">
        <f>IF(ISERROR(INDEX(data!$A$12:$AI$213,MATCH(HLOOKUP('II. Sledování projektu'!$L$5,vstupy!$N$2:$BY$180,$B57+1,0),data!$B$12:$B$213,0),28)),"",INDEX(data!$A$12:$AI$213,MATCH(HLOOKUP('II. Sledování projektu'!$L$5,vstupy!$N$2:$BY$180,$B57+1,0),data!$B$12:$B$213,0),28))</f>
        <v>0</v>
      </c>
      <c r="G57" s="53">
        <f t="shared" si="3"/>
        <v>0</v>
      </c>
      <c r="H57" s="53">
        <f>IF(ISERROR(INDEX(data!$A$12:$AI$213,MATCH(HLOOKUP('II. Sledování projektu'!$L$5,vstupy!$N$2:$BY$180,$B57+1,0),data!$B$12:$B$213,0),29)),"",INDEX(data!$A$12:$AI$213,MATCH(HLOOKUP('II. Sledování projektu'!$L$5,vstupy!$N$2:$BY$180,$B57+1,0),data!$B$12:$B$213,0),29))</f>
        <v>0.20799999999999999</v>
      </c>
      <c r="I57" s="54">
        <f>IF(ISERROR(INDEX(data!$A$12:$AI$213,MATCH(HLOOKUP('II. Sledování projektu'!$L$5,vstupy!$N$2:$BY$180,$B57+1,0),data!$B$12:$B$213,0),31)),"",INDEX(data!$A$12:$AI$213,MATCH(HLOOKUP('II. Sledování projektu'!$L$5,vstupy!$N$2:$BY$180,$B57+1,0),data!$B$12:$B$213,0),31))</f>
        <v>16398.09</v>
      </c>
      <c r="J57" s="53">
        <f t="shared" si="4"/>
        <v>1.2310878378378378E-2</v>
      </c>
      <c r="K57" s="53">
        <f t="shared" si="6"/>
        <v>5.9186915280665282E-2</v>
      </c>
      <c r="L57" s="54">
        <f>IF(ISERROR(INDEX(data!$A$12:$AI$213,MATCH(HLOOKUP('II. Sledování projektu'!$L$5,vstupy!$N$2:$BY$180,$B57+1,0),data!$B$12:$B$213,0),32)),"",INDEX(data!$A$12:$AI$213,MATCH(HLOOKUP('II. Sledování projektu'!$L$5,vstupy!$N$2:$BY$180,$B57+1,0),data!$B$12:$B$213,0),32))</f>
        <v>14954.49</v>
      </c>
      <c r="M57" s="53">
        <f t="shared" si="7"/>
        <v>0.47697797119088758</v>
      </c>
      <c r="N57" s="54">
        <f>IF(ISERROR(VLOOKUP(C57,data!$C$12:$AD$213,28,0)),0,VLOOKUP(C57,data!$C$12:$AD$213,28,0))</f>
        <v>277056</v>
      </c>
    </row>
    <row r="58" spans="2:14" x14ac:dyDescent="0.2">
      <c r="B58" s="19">
        <f t="shared" si="5"/>
        <v>53</v>
      </c>
      <c r="C58" s="19" t="str">
        <f>IF(ISERROR(INDEX(data!$A$12:$AI$213,MATCH(HLOOKUP('II. Sledování projektu'!$L$5,vstupy!$N$2:$BY$180,$B58+1,0),data!$B$12:$B$213,0),3)),"",INDEX(data!$A$12:$AI$213,MATCH(HLOOKUP('II. Sledování projektu'!$L$5,vstupy!$N$2:$BY$180,$B58+1,0),data!$B$12:$B$213,0),3))</f>
        <v>MŠ Lechowiczova</v>
      </c>
      <c r="D58" s="156">
        <f>IF(ISERROR(INDEX(data!$A$12:$AI$213,MATCH(HLOOKUP('II. Sledování projektu'!$L$5,vstupy!$N$2:$BY$180,$B58+1,0),data!$B$12:$B$213,0),35)),"",INDEX(data!$A$12:$AI$213,MATCH(HLOOKUP('II. Sledování projektu'!$L$5,vstupy!$N$2:$BY$180,$B58+1,0),data!$B$12:$B$213,0),35))</f>
        <v>17.784241557748857</v>
      </c>
      <c r="E58" s="49">
        <f>IF(ISERROR(INDEX(data!$A$12:$AI$213,MATCH(HLOOKUP('II. Sledování projektu'!$L$5,vstupy!$N$2:$BY$180,$B58+1,0),data!$B$12:$B$213,0),27)),"",INDEX(data!$A$12:$AI$213,MATCH(HLOOKUP('II. Sledování projektu'!$L$5,vstupy!$N$2:$BY$180,$B58+1,0),data!$B$12:$B$213,0),27))</f>
        <v>1238250</v>
      </c>
      <c r="F58" s="54">
        <f>IF(ISERROR(INDEX(data!$A$12:$AI$213,MATCH(HLOOKUP('II. Sledování projektu'!$L$5,vstupy!$N$2:$BY$180,$B58+1,0),data!$B$12:$B$213,0),28)),"",INDEX(data!$A$12:$AI$213,MATCH(HLOOKUP('II. Sledování projektu'!$L$5,vstupy!$N$2:$BY$180,$B58+1,0),data!$B$12:$B$213,0),28))</f>
        <v>84879.98</v>
      </c>
      <c r="G58" s="53">
        <f t="shared" si="3"/>
        <v>6.8548338380779325E-2</v>
      </c>
      <c r="H58" s="53">
        <f>IF(ISERROR(INDEX(data!$A$12:$AI$213,MATCH(HLOOKUP('II. Sledování projektu'!$L$5,vstupy!$N$2:$BY$180,$B58+1,0),data!$B$12:$B$213,0),29)),"",INDEX(data!$A$12:$AI$213,MATCH(HLOOKUP('II. Sledování projektu'!$L$5,vstupy!$N$2:$BY$180,$B58+1,0),data!$B$12:$B$213,0),29))</f>
        <v>0.2094</v>
      </c>
      <c r="I58" s="54">
        <f>IF(ISERROR(INDEX(data!$A$12:$AI$213,MATCH(HLOOKUP('II. Sledování projektu'!$L$5,vstupy!$N$2:$BY$180,$B58+1,0),data!$B$12:$B$213,0),31)),"",INDEX(data!$A$12:$AI$213,MATCH(HLOOKUP('II. Sledování projektu'!$L$5,vstupy!$N$2:$BY$180,$B58+1,0),data!$B$12:$B$213,0),31))</f>
        <v>62042.91</v>
      </c>
      <c r="J58" s="53">
        <f t="shared" si="4"/>
        <v>5.0105317989097523E-2</v>
      </c>
      <c r="K58" s="53">
        <f t="shared" si="6"/>
        <v>0.23928041064516484</v>
      </c>
      <c r="L58" s="54">
        <f>IF(ISERROR(INDEX(data!$A$12:$AI$213,MATCH(HLOOKUP('II. Sledování projektu'!$L$5,vstupy!$N$2:$BY$180,$B58+1,0),data!$B$12:$B$213,0),32)),"",INDEX(data!$A$12:$AI$213,MATCH(HLOOKUP('II. Sledování projektu'!$L$5,vstupy!$N$2:$BY$180,$B58+1,0),data!$B$12:$B$213,0),32))</f>
        <v>34549.69</v>
      </c>
      <c r="M58" s="53">
        <f t="shared" si="7"/>
        <v>0.35768464664995042</v>
      </c>
      <c r="N58" s="54">
        <f>IF(ISERROR(VLOOKUP(C58,data!$C$12:$AD$213,28,0)),0,VLOOKUP(C58,data!$C$12:$AD$213,28,0))</f>
        <v>259289.55000000002</v>
      </c>
    </row>
    <row r="59" spans="2:14" x14ac:dyDescent="0.2">
      <c r="B59" s="19">
        <f t="shared" si="5"/>
        <v>54</v>
      </c>
      <c r="C59" s="19" t="str">
        <f>IF(ISERROR(INDEX(data!$A$12:$AI$213,MATCH(HLOOKUP('II. Sledování projektu'!$L$5,vstupy!$N$2:$BY$180,$B59+1,0),data!$B$12:$B$213,0),3)),"",INDEX(data!$A$12:$AI$213,MATCH(HLOOKUP('II. Sledování projektu'!$L$5,vstupy!$N$2:$BY$180,$B59+1,0),data!$B$12:$B$213,0),3))</f>
        <v>MŠ Martinovská</v>
      </c>
      <c r="D59" s="156">
        <f>IF(ISERROR(INDEX(data!$A$12:$AI$213,MATCH(HLOOKUP('II. Sledování projektu'!$L$5,vstupy!$N$2:$BY$180,$B59+1,0),data!$B$12:$B$213,0),35)),"",INDEX(data!$A$12:$AI$213,MATCH(HLOOKUP('II. Sledování projektu'!$L$5,vstupy!$N$2:$BY$180,$B59+1,0),data!$B$12:$B$213,0),35))</f>
        <v>0</v>
      </c>
      <c r="E59" s="49">
        <f>IF(ISERROR(INDEX(data!$A$12:$AI$213,MATCH(HLOOKUP('II. Sledování projektu'!$L$5,vstupy!$N$2:$BY$180,$B59+1,0),data!$B$12:$B$213,0),27)),"",INDEX(data!$A$12:$AI$213,MATCH(HLOOKUP('II. Sledování projektu'!$L$5,vstupy!$N$2:$BY$180,$B59+1,0),data!$B$12:$B$213,0),27))</f>
        <v>460582.5</v>
      </c>
      <c r="F59" s="54">
        <f>IF(ISERROR(INDEX(data!$A$12:$AI$213,MATCH(HLOOKUP('II. Sledování projektu'!$L$5,vstupy!$N$2:$BY$180,$B59+1,0),data!$B$12:$B$213,0),28)),"",INDEX(data!$A$12:$AI$213,MATCH(HLOOKUP('II. Sledování projektu'!$L$5,vstupy!$N$2:$BY$180,$B59+1,0),data!$B$12:$B$213,0),28))</f>
        <v>0</v>
      </c>
      <c r="G59" s="53">
        <f t="shared" si="3"/>
        <v>0</v>
      </c>
      <c r="H59" s="53">
        <f>IF(ISERROR(INDEX(data!$A$12:$AI$213,MATCH(HLOOKUP('II. Sledování projektu'!$L$5,vstupy!$N$2:$BY$180,$B59+1,0),data!$B$12:$B$213,0),29)),"",INDEX(data!$A$12:$AI$213,MATCH(HLOOKUP('II. Sledování projektu'!$L$5,vstupy!$N$2:$BY$180,$B59+1,0),data!$B$12:$B$213,0),29))</f>
        <v>4.1000000000000002E-2</v>
      </c>
      <c r="I59" s="54">
        <f>IF(ISERROR(INDEX(data!$A$12:$AI$213,MATCH(HLOOKUP('II. Sledování projektu'!$L$5,vstupy!$N$2:$BY$180,$B59+1,0),data!$B$12:$B$213,0),31)),"",INDEX(data!$A$12:$AI$213,MATCH(HLOOKUP('II. Sledování projektu'!$L$5,vstupy!$N$2:$BY$180,$B59+1,0),data!$B$12:$B$213,0),31))</f>
        <v>0</v>
      </c>
      <c r="J59" s="53">
        <f t="shared" si="4"/>
        <v>0</v>
      </c>
      <c r="K59" s="53">
        <f t="shared" si="6"/>
        <v>0</v>
      </c>
      <c r="L59" s="54">
        <f>IF(ISERROR(INDEX(data!$A$12:$AI$213,MATCH(HLOOKUP('II. Sledování projektu'!$L$5,vstupy!$N$2:$BY$180,$B59+1,0),data!$B$12:$B$213,0),32)),"",INDEX(data!$A$12:$AI$213,MATCH(HLOOKUP('II. Sledování projektu'!$L$5,vstupy!$N$2:$BY$180,$B59+1,0),data!$B$12:$B$213,0),32))</f>
        <v>0</v>
      </c>
      <c r="M59" s="53">
        <f t="shared" si="7"/>
        <v>0</v>
      </c>
      <c r="N59" s="54">
        <f>IF(ISERROR(VLOOKUP(C59,data!$C$12:$AD$213,28,0)),0,VLOOKUP(C59,data!$C$12:$AD$213,28,0))</f>
        <v>18883.8825</v>
      </c>
    </row>
    <row r="60" spans="2:14" x14ac:dyDescent="0.2">
      <c r="B60" s="19">
        <f t="shared" si="5"/>
        <v>55</v>
      </c>
      <c r="C60" s="19" t="str">
        <f>IF(ISERROR(INDEX(data!$A$12:$AI$213,MATCH(HLOOKUP('II. Sledování projektu'!$L$5,vstupy!$N$2:$BY$180,$B60+1,0),data!$B$12:$B$213,0),3)),"",INDEX(data!$A$12:$AI$213,MATCH(HLOOKUP('II. Sledování projektu'!$L$5,vstupy!$N$2:$BY$180,$B60+1,0),data!$B$12:$B$213,0),3))</f>
        <v>MŠ Na Jízdárně</v>
      </c>
      <c r="D60" s="156">
        <f>IF(ISERROR(INDEX(data!$A$12:$AI$213,MATCH(HLOOKUP('II. Sledování projektu'!$L$5,vstupy!$N$2:$BY$180,$B60+1,0),data!$B$12:$B$213,0),35)),"",INDEX(data!$A$12:$AI$213,MATCH(HLOOKUP('II. Sledování projektu'!$L$5,vstupy!$N$2:$BY$180,$B60+1,0),data!$B$12:$B$213,0),35))</f>
        <v>14.736462947903046</v>
      </c>
      <c r="E60" s="49">
        <f>IF(ISERROR(INDEX(data!$A$12:$AI$213,MATCH(HLOOKUP('II. Sledování projektu'!$L$5,vstupy!$N$2:$BY$180,$B60+1,0),data!$B$12:$B$213,0),27)),"",INDEX(data!$A$12:$AI$213,MATCH(HLOOKUP('II. Sledování projektu'!$L$5,vstupy!$N$2:$BY$180,$B60+1,0),data!$B$12:$B$213,0),27))</f>
        <v>820500</v>
      </c>
      <c r="F60" s="54">
        <f>IF(ISERROR(INDEX(data!$A$12:$AI$213,MATCH(HLOOKUP('II. Sledování projektu'!$L$5,vstupy!$N$2:$BY$180,$B60+1,0),data!$B$12:$B$213,0),28)),"",INDEX(data!$A$12:$AI$213,MATCH(HLOOKUP('II. Sledování projektu'!$L$5,vstupy!$N$2:$BY$180,$B60+1,0),data!$B$12:$B$213,0),28))</f>
        <v>19642.509999999998</v>
      </c>
      <c r="G60" s="53">
        <f t="shared" si="3"/>
        <v>2.3939683120048749E-2</v>
      </c>
      <c r="H60" s="53">
        <f>IF(ISERROR(INDEX(data!$A$12:$AI$213,MATCH(HLOOKUP('II. Sledování projektu'!$L$5,vstupy!$N$2:$BY$180,$B60+1,0),data!$B$12:$B$213,0),29)),"",INDEX(data!$A$12:$AI$213,MATCH(HLOOKUP('II. Sledování projektu'!$L$5,vstupy!$N$2:$BY$180,$B60+1,0),data!$B$12:$B$213,0),29))</f>
        <v>0.1686</v>
      </c>
      <c r="I60" s="54">
        <f>IF(ISERROR(INDEX(data!$A$12:$AI$213,MATCH(HLOOKUP('II. Sledování projektu'!$L$5,vstupy!$N$2:$BY$180,$B60+1,0),data!$B$12:$B$213,0),31)),"",INDEX(data!$A$12:$AI$213,MATCH(HLOOKUP('II. Sledování projektu'!$L$5,vstupy!$N$2:$BY$180,$B60+1,0),data!$B$12:$B$213,0),31))</f>
        <v>31216.69</v>
      </c>
      <c r="J60" s="53">
        <f t="shared" si="4"/>
        <v>3.8045935405240705E-2</v>
      </c>
      <c r="K60" s="53">
        <f t="shared" si="6"/>
        <v>0.22565797986501013</v>
      </c>
      <c r="L60" s="54">
        <f>IF(ISERROR(INDEX(data!$A$12:$AI$213,MATCH(HLOOKUP('II. Sledování projektu'!$L$5,vstupy!$N$2:$BY$180,$B60+1,0),data!$B$12:$B$213,0),32)),"",INDEX(data!$A$12:$AI$213,MATCH(HLOOKUP('II. Sledování projektu'!$L$5,vstupy!$N$2:$BY$180,$B60+1,0),data!$B$12:$B$213,0),32))</f>
        <v>14137.119999999999</v>
      </c>
      <c r="M60" s="53">
        <f t="shared" si="7"/>
        <v>0.31170743979392251</v>
      </c>
      <c r="N60" s="54">
        <f>IF(ISERROR(VLOOKUP(C60,data!$C$12:$AD$213,28,0)),0,VLOOKUP(C60,data!$C$12:$AD$213,28,0))</f>
        <v>138336.29999999999</v>
      </c>
    </row>
    <row r="61" spans="2:14" x14ac:dyDescent="0.2">
      <c r="B61" s="19">
        <f t="shared" si="5"/>
        <v>56</v>
      </c>
      <c r="C61" s="19" t="str">
        <f>IF(ISERROR(INDEX(data!$A$12:$AI$213,MATCH(HLOOKUP('II. Sledování projektu'!$L$5,vstupy!$N$2:$BY$180,$B61+1,0),data!$B$12:$B$213,0),3)),"",INDEX(data!$A$12:$AI$213,MATCH(HLOOKUP('II. Sledování projektu'!$L$5,vstupy!$N$2:$BY$180,$B61+1,0),data!$B$12:$B$213,0),3))</f>
        <v>MŠ O-Bartovice</v>
      </c>
      <c r="D61" s="156">
        <f>IF(ISERROR(INDEX(data!$A$12:$AI$213,MATCH(HLOOKUP('II. Sledování projektu'!$L$5,vstupy!$N$2:$BY$180,$B61+1,0),data!$B$12:$B$213,0),35)),"",INDEX(data!$A$12:$AI$213,MATCH(HLOOKUP('II. Sledování projektu'!$L$5,vstupy!$N$2:$BY$180,$B61+1,0),data!$B$12:$B$213,0),35))</f>
        <v>42.574760502159052</v>
      </c>
      <c r="E61" s="49">
        <f>IF(ISERROR(INDEX(data!$A$12:$AI$213,MATCH(HLOOKUP('II. Sledování projektu'!$L$5,vstupy!$N$2:$BY$180,$B61+1,0),data!$B$12:$B$213,0),27)),"",INDEX(data!$A$12:$AI$213,MATCH(HLOOKUP('II. Sledování projektu'!$L$5,vstupy!$N$2:$BY$180,$B61+1,0),data!$B$12:$B$213,0),27))</f>
        <v>453750</v>
      </c>
      <c r="F61" s="54">
        <f>IF(ISERROR(INDEX(data!$A$12:$AI$213,MATCH(HLOOKUP('II. Sledování projektu'!$L$5,vstupy!$N$2:$BY$180,$B61+1,0),data!$B$12:$B$213,0),28)),"",INDEX(data!$A$12:$AI$213,MATCH(HLOOKUP('II. Sledování projektu'!$L$5,vstupy!$N$2:$BY$180,$B61+1,0),data!$B$12:$B$213,0),28))</f>
        <v>0</v>
      </c>
      <c r="G61" s="53">
        <f t="shared" si="3"/>
        <v>0</v>
      </c>
      <c r="H61" s="53">
        <f>IF(ISERROR(INDEX(data!$A$12:$AI$213,MATCH(HLOOKUP('II. Sledování projektu'!$L$5,vstupy!$N$2:$BY$180,$B61+1,0),data!$B$12:$B$213,0),29)),"",INDEX(data!$A$12:$AI$213,MATCH(HLOOKUP('II. Sledování projektu'!$L$5,vstupy!$N$2:$BY$180,$B61+1,0),data!$B$12:$B$213,0),29))</f>
        <v>0.1734</v>
      </c>
      <c r="I61" s="54">
        <f>IF(ISERROR(INDEX(data!$A$12:$AI$213,MATCH(HLOOKUP('II. Sledování projektu'!$L$5,vstupy!$N$2:$BY$180,$B61+1,0),data!$B$12:$B$213,0),31)),"",INDEX(data!$A$12:$AI$213,MATCH(HLOOKUP('II. Sledování projektu'!$L$5,vstupy!$N$2:$BY$180,$B61+1,0),data!$B$12:$B$213,0),31))</f>
        <v>55829.88</v>
      </c>
      <c r="J61" s="53">
        <f t="shared" si="4"/>
        <v>0.12304105785123966</v>
      </c>
      <c r="K61" s="53">
        <f t="shared" si="6"/>
        <v>0.70957934170265091</v>
      </c>
      <c r="L61" s="54">
        <f>IF(ISERROR(INDEX(data!$A$12:$AI$213,MATCH(HLOOKUP('II. Sledování projektu'!$L$5,vstupy!$N$2:$BY$180,$B61+1,0),data!$B$12:$B$213,0),32)),"",INDEX(data!$A$12:$AI$213,MATCH(HLOOKUP('II. Sledování projektu'!$L$5,vstupy!$N$2:$BY$180,$B61+1,0),data!$B$12:$B$213,0),32))</f>
        <v>50117.31</v>
      </c>
      <c r="M61" s="53">
        <f t="shared" si="7"/>
        <v>0.47304048365983087</v>
      </c>
      <c r="N61" s="54">
        <f>IF(ISERROR(VLOOKUP(C61,data!$C$12:$AD$213,28,0)),0,VLOOKUP(C61,data!$C$12:$AD$213,28,0))</f>
        <v>78680.25</v>
      </c>
    </row>
    <row r="62" spans="2:14" x14ac:dyDescent="0.2">
      <c r="B62" s="19">
        <f t="shared" si="5"/>
        <v>57</v>
      </c>
      <c r="C62" s="19" t="str">
        <f>IF(ISERROR(INDEX(data!$A$12:$AI$213,MATCH(HLOOKUP('II. Sledování projektu'!$L$5,vstupy!$N$2:$BY$180,$B62+1,0),data!$B$12:$B$213,0),3)),"",INDEX(data!$A$12:$AI$213,MATCH(HLOOKUP('II. Sledování projektu'!$L$5,vstupy!$N$2:$BY$180,$B62+1,0),data!$B$12:$B$213,0),3))</f>
        <v>MŠ O-Dubina, A.Gavlase</v>
      </c>
      <c r="D62" s="156">
        <f>IF(ISERROR(INDEX(data!$A$12:$AI$213,MATCH(HLOOKUP('II. Sledování projektu'!$L$5,vstupy!$N$2:$BY$180,$B62+1,0),data!$B$12:$B$213,0),35)),"",INDEX(data!$A$12:$AI$213,MATCH(HLOOKUP('II. Sledování projektu'!$L$5,vstupy!$N$2:$BY$180,$B62+1,0),data!$B$12:$B$213,0),35))</f>
        <v>21.427674604057525</v>
      </c>
      <c r="E62" s="49">
        <f>IF(ISERROR(INDEX(data!$A$12:$AI$213,MATCH(HLOOKUP('II. Sledování projektu'!$L$5,vstupy!$N$2:$BY$180,$B62+1,0),data!$B$12:$B$213,0),27)),"",INDEX(data!$A$12:$AI$213,MATCH(HLOOKUP('II. Sledování projektu'!$L$5,vstupy!$N$2:$BY$180,$B62+1,0),data!$B$12:$B$213,0),27))</f>
        <v>2541405</v>
      </c>
      <c r="F62" s="54">
        <f>IF(ISERROR(INDEX(data!$A$12:$AI$213,MATCH(HLOOKUP('II. Sledování projektu'!$L$5,vstupy!$N$2:$BY$180,$B62+1,0),data!$B$12:$B$213,0),28)),"",INDEX(data!$A$12:$AI$213,MATCH(HLOOKUP('II. Sledování projektu'!$L$5,vstupy!$N$2:$BY$180,$B62+1,0),data!$B$12:$B$213,0),28))</f>
        <v>122292.65</v>
      </c>
      <c r="G62" s="53">
        <f t="shared" si="3"/>
        <v>4.8120094986828149E-2</v>
      </c>
      <c r="H62" s="53">
        <f>IF(ISERROR(INDEX(data!$A$12:$AI$213,MATCH(HLOOKUP('II. Sledování projektu'!$L$5,vstupy!$N$2:$BY$180,$B62+1,0),data!$B$12:$B$213,0),29)),"",INDEX(data!$A$12:$AI$213,MATCH(HLOOKUP('II. Sledování projektu'!$L$5,vstupy!$N$2:$BY$180,$B62+1,0),data!$B$12:$B$213,0),29))</f>
        <v>0.2059</v>
      </c>
      <c r="I62" s="54">
        <f>IF(ISERROR(INDEX(data!$A$12:$AI$213,MATCH(HLOOKUP('II. Sledování projektu'!$L$5,vstupy!$N$2:$BY$180,$B62+1,0),data!$B$12:$B$213,0),31)),"",INDEX(data!$A$12:$AI$213,MATCH(HLOOKUP('II. Sledování projektu'!$L$5,vstupy!$N$2:$BY$180,$B62+1,0),data!$B$12:$B$213,0),31))</f>
        <v>165892.83000000002</v>
      </c>
      <c r="J62" s="53">
        <f t="shared" si="4"/>
        <v>6.5276030384767481E-2</v>
      </c>
      <c r="K62" s="53">
        <f t="shared" si="6"/>
        <v>0.31702783091193532</v>
      </c>
      <c r="L62" s="54">
        <f>IF(ISERROR(INDEX(data!$A$12:$AI$213,MATCH(HLOOKUP('II. Sledování projektu'!$L$5,vstupy!$N$2:$BY$180,$B62+1,0),data!$B$12:$B$213,0),32)),"",INDEX(data!$A$12:$AI$213,MATCH(HLOOKUP('II. Sledování projektu'!$L$5,vstupy!$N$2:$BY$180,$B62+1,0),data!$B$12:$B$213,0),32))</f>
        <v>111035.45</v>
      </c>
      <c r="M62" s="53">
        <f t="shared" si="7"/>
        <v>0.40095381374556616</v>
      </c>
      <c r="N62" s="54">
        <f>IF(ISERROR(VLOOKUP(C62,data!$C$12:$AD$213,28,0)),0,VLOOKUP(C62,data!$C$12:$AD$213,28,0))</f>
        <v>523275.28950000001</v>
      </c>
    </row>
    <row r="63" spans="2:14" x14ac:dyDescent="0.2">
      <c r="B63" s="19">
        <f t="shared" si="5"/>
        <v>58</v>
      </c>
      <c r="C63" s="19" t="str">
        <f>IF(ISERROR(INDEX(data!$A$12:$AI$213,MATCH(HLOOKUP('II. Sledování projektu'!$L$5,vstupy!$N$2:$BY$180,$B63+1,0),data!$B$12:$B$213,0),3)),"",INDEX(data!$A$12:$AI$213,MATCH(HLOOKUP('II. Sledování projektu'!$L$5,vstupy!$N$2:$BY$180,$B63+1,0),data!$B$12:$B$213,0),3))</f>
        <v>MŠ O-Dubina, F.Formana</v>
      </c>
      <c r="D63" s="156">
        <f>IF(ISERROR(INDEX(data!$A$12:$AI$213,MATCH(HLOOKUP('II. Sledování projektu'!$L$5,vstupy!$N$2:$BY$180,$B63+1,0),data!$B$12:$B$213,0),35)),"",INDEX(data!$A$12:$AI$213,MATCH(HLOOKUP('II. Sledování projektu'!$L$5,vstupy!$N$2:$BY$180,$B63+1,0),data!$B$12:$B$213,0),35))</f>
        <v>24.821571736869508</v>
      </c>
      <c r="E63" s="49">
        <f>IF(ISERROR(INDEX(data!$A$12:$AI$213,MATCH(HLOOKUP('II. Sledování projektu'!$L$5,vstupy!$N$2:$BY$180,$B63+1,0),data!$B$12:$B$213,0),27)),"",INDEX(data!$A$12:$AI$213,MATCH(HLOOKUP('II. Sledování projektu'!$L$5,vstupy!$N$2:$BY$180,$B63+1,0),data!$B$12:$B$213,0),27))</f>
        <v>1738650</v>
      </c>
      <c r="F63" s="54">
        <f>IF(ISERROR(INDEX(data!$A$12:$AI$213,MATCH(HLOOKUP('II. Sledování projektu'!$L$5,vstupy!$N$2:$BY$180,$B63+1,0),data!$B$12:$B$213,0),28)),"",INDEX(data!$A$12:$AI$213,MATCH(HLOOKUP('II. Sledování projektu'!$L$5,vstupy!$N$2:$BY$180,$B63+1,0),data!$B$12:$B$213,0),28))</f>
        <v>122307.91</v>
      </c>
      <c r="G63" s="53">
        <f t="shared" si="3"/>
        <v>7.0346481465504845E-2</v>
      </c>
      <c r="H63" s="53">
        <f>IF(ISERROR(INDEX(data!$A$12:$AI$213,MATCH(HLOOKUP('II. Sledování projektu'!$L$5,vstupy!$N$2:$BY$180,$B63+1,0),data!$B$12:$B$213,0),29)),"",INDEX(data!$A$12:$AI$213,MATCH(HLOOKUP('II. Sledování projektu'!$L$5,vstupy!$N$2:$BY$180,$B63+1,0),data!$B$12:$B$213,0),29))</f>
        <v>0.2596</v>
      </c>
      <c r="I63" s="54">
        <f>IF(ISERROR(INDEX(data!$A$12:$AI$213,MATCH(HLOOKUP('II. Sledování projektu'!$L$5,vstupy!$N$2:$BY$180,$B63+1,0),data!$B$12:$B$213,0),31)),"",INDEX(data!$A$12:$AI$213,MATCH(HLOOKUP('II. Sledování projektu'!$L$5,vstupy!$N$2:$BY$180,$B63+1,0),data!$B$12:$B$213,0),31))</f>
        <v>160262.46</v>
      </c>
      <c r="J63" s="53">
        <f t="shared" si="4"/>
        <v>9.2176378224484504E-2</v>
      </c>
      <c r="K63" s="53">
        <f t="shared" si="6"/>
        <v>0.35507079439323774</v>
      </c>
      <c r="L63" s="54">
        <f>IF(ISERROR(INDEX(data!$A$12:$AI$213,MATCH(HLOOKUP('II. Sledování projektu'!$L$5,vstupy!$N$2:$BY$180,$B63+1,0),data!$B$12:$B$213,0),32)),"",INDEX(data!$A$12:$AI$213,MATCH(HLOOKUP('II. Sledování projektu'!$L$5,vstupy!$N$2:$BY$180,$B63+1,0),data!$B$12:$B$213,0),32))</f>
        <v>51739.350000000006</v>
      </c>
      <c r="M63" s="53">
        <f t="shared" si="7"/>
        <v>0.2440514540890005</v>
      </c>
      <c r="N63" s="54">
        <f>IF(ISERROR(VLOOKUP(C63,data!$C$12:$AD$213,28,0)),0,VLOOKUP(C63,data!$C$12:$AD$213,28,0))</f>
        <v>451353.54</v>
      </c>
    </row>
    <row r="64" spans="2:14" x14ac:dyDescent="0.2">
      <c r="B64" s="19">
        <f t="shared" si="5"/>
        <v>59</v>
      </c>
      <c r="C64" s="19" t="str">
        <f>IF(ISERROR(INDEX(data!$A$12:$AI$213,MATCH(HLOOKUP('II. Sledování projektu'!$L$5,vstupy!$N$2:$BY$180,$B64+1,0),data!$B$12:$B$213,0),3)),"",INDEX(data!$A$12:$AI$213,MATCH(HLOOKUP('II. Sledování projektu'!$L$5,vstupy!$N$2:$BY$180,$B64+1,0),data!$B$12:$B$213,0),3))</f>
        <v>MŠ O-Hrabůvka, Adamusova</v>
      </c>
      <c r="D64" s="156">
        <f>IF(ISERROR(INDEX(data!$A$12:$AI$213,MATCH(HLOOKUP('II. Sledování projektu'!$L$5,vstupy!$N$2:$BY$180,$B64+1,0),data!$B$12:$B$213,0),35)),"",INDEX(data!$A$12:$AI$213,MATCH(HLOOKUP('II. Sledování projektu'!$L$5,vstupy!$N$2:$BY$180,$B64+1,0),data!$B$12:$B$213,0),35))</f>
        <v>28.493683908187819</v>
      </c>
      <c r="E64" s="49">
        <f>IF(ISERROR(INDEX(data!$A$12:$AI$213,MATCH(HLOOKUP('II. Sledování projektu'!$L$5,vstupy!$N$2:$BY$180,$B64+1,0),data!$B$12:$B$213,0),27)),"",INDEX(data!$A$12:$AI$213,MATCH(HLOOKUP('II. Sledování projektu'!$L$5,vstupy!$N$2:$BY$180,$B64+1,0),data!$B$12:$B$213,0),27))</f>
        <v>2873511</v>
      </c>
      <c r="F64" s="54">
        <f>IF(ISERROR(INDEX(data!$A$12:$AI$213,MATCH(HLOOKUP('II. Sledování projektu'!$L$5,vstupy!$N$2:$BY$180,$B64+1,0),data!$B$12:$B$213,0),28)),"",INDEX(data!$A$12:$AI$213,MATCH(HLOOKUP('II. Sledování projektu'!$L$5,vstupy!$N$2:$BY$180,$B64+1,0),data!$B$12:$B$213,0),28))</f>
        <v>1103288.1299999999</v>
      </c>
      <c r="G64" s="53">
        <f t="shared" si="3"/>
        <v>0.38395124640204958</v>
      </c>
      <c r="H64" s="53">
        <f>IF(ISERROR(INDEX(data!$A$12:$AI$213,MATCH(HLOOKUP('II. Sledování projektu'!$L$5,vstupy!$N$2:$BY$180,$B64+1,0),data!$B$12:$B$213,0),29)),"",INDEX(data!$A$12:$AI$213,MATCH(HLOOKUP('II. Sledování projektu'!$L$5,vstupy!$N$2:$BY$180,$B64+1,0),data!$B$12:$B$213,0),29))</f>
        <v>0.26829999999999998</v>
      </c>
      <c r="I64" s="54">
        <f>IF(ISERROR(INDEX(data!$A$12:$AI$213,MATCH(HLOOKUP('II. Sledování projektu'!$L$5,vstupy!$N$2:$BY$180,$B64+1,0),data!$B$12:$B$213,0),31)),"",INDEX(data!$A$12:$AI$213,MATCH(HLOOKUP('II. Sledování projektu'!$L$5,vstupy!$N$2:$BY$180,$B64+1,0),data!$B$12:$B$213,0),31))</f>
        <v>119449.43</v>
      </c>
      <c r="J64" s="53">
        <f t="shared" si="4"/>
        <v>4.1569157034721631E-2</v>
      </c>
      <c r="K64" s="53">
        <f t="shared" si="6"/>
        <v>0.1549353598014224</v>
      </c>
      <c r="L64" s="54">
        <f>IF(ISERROR(INDEX(data!$A$12:$AI$213,MATCH(HLOOKUP('II. Sledování projektu'!$L$5,vstupy!$N$2:$BY$180,$B64+1,0),data!$B$12:$B$213,0),32)),"",INDEX(data!$A$12:$AI$213,MATCH(HLOOKUP('II. Sledování projektu'!$L$5,vstupy!$N$2:$BY$180,$B64+1,0),data!$B$12:$B$213,0),32))</f>
        <v>76737.5</v>
      </c>
      <c r="M64" s="53">
        <f t="shared" si="7"/>
        <v>0.39114481275587526</v>
      </c>
      <c r="N64" s="54">
        <f>IF(ISERROR(VLOOKUP(C64,data!$C$12:$AD$213,28,0)),0,VLOOKUP(C64,data!$C$12:$AD$213,28,0))</f>
        <v>770963.0013</v>
      </c>
    </row>
    <row r="65" spans="2:14" x14ac:dyDescent="0.2">
      <c r="B65" s="19">
        <f t="shared" si="5"/>
        <v>60</v>
      </c>
      <c r="C65" s="19" t="str">
        <f>IF(ISERROR(INDEX(data!$A$12:$AI$213,MATCH(HLOOKUP('II. Sledování projektu'!$L$5,vstupy!$N$2:$BY$180,$B65+1,0),data!$B$12:$B$213,0),3)),"",INDEX(data!$A$12:$AI$213,MATCH(HLOOKUP('II. Sledování projektu'!$L$5,vstupy!$N$2:$BY$180,$B65+1,0),data!$B$12:$B$213,0),3))</f>
        <v>MŠ O-Hulváky, Matrosova</v>
      </c>
      <c r="D65" s="156">
        <f>IF(ISERROR(INDEX(data!$A$12:$AI$213,MATCH(HLOOKUP('II. Sledování projektu'!$L$5,vstupy!$N$2:$BY$180,$B65+1,0),data!$B$12:$B$213,0),35)),"",INDEX(data!$A$12:$AI$213,MATCH(HLOOKUP('II. Sledování projektu'!$L$5,vstupy!$N$2:$BY$180,$B65+1,0),data!$B$12:$B$213,0),35))</f>
        <v>67.639293194323329</v>
      </c>
      <c r="E65" s="49">
        <f>IF(ISERROR(INDEX(data!$A$12:$AI$213,MATCH(HLOOKUP('II. Sledování projektu'!$L$5,vstupy!$N$2:$BY$180,$B65+1,0),data!$B$12:$B$213,0),27)),"",INDEX(data!$A$12:$AI$213,MATCH(HLOOKUP('II. Sledování projektu'!$L$5,vstupy!$N$2:$BY$180,$B65+1,0),data!$B$12:$B$213,0),27))</f>
        <v>782072.25</v>
      </c>
      <c r="F65" s="54">
        <f>IF(ISERROR(INDEX(data!$A$12:$AI$213,MATCH(HLOOKUP('II. Sledování projektu'!$L$5,vstupy!$N$2:$BY$180,$B65+1,0),data!$B$12:$B$213,0),28)),"",INDEX(data!$A$12:$AI$213,MATCH(HLOOKUP('II. Sledování projektu'!$L$5,vstupy!$N$2:$BY$180,$B65+1,0),data!$B$12:$B$213,0),28))</f>
        <v>220534.44</v>
      </c>
      <c r="G65" s="53">
        <f t="shared" si="3"/>
        <v>0.281987297209433</v>
      </c>
      <c r="H65" s="53">
        <f>IF(ISERROR(INDEX(data!$A$12:$AI$213,MATCH(HLOOKUP('II. Sledování projektu'!$L$5,vstupy!$N$2:$BY$180,$B65+1,0),data!$B$12:$B$213,0),29)),"",INDEX(data!$A$12:$AI$213,MATCH(HLOOKUP('II. Sledování projektu'!$L$5,vstupy!$N$2:$BY$180,$B65+1,0),data!$B$12:$B$213,0),29))</f>
        <v>0.27110000000000001</v>
      </c>
      <c r="I65" s="54">
        <f>IF(ISERROR(INDEX(data!$A$12:$AI$213,MATCH(HLOOKUP('II. Sledování projektu'!$L$5,vstupy!$N$2:$BY$180,$B65+1,0),data!$B$12:$B$213,0),31)),"",INDEX(data!$A$12:$AI$213,MATCH(HLOOKUP('II. Sledování projektu'!$L$5,vstupy!$N$2:$BY$180,$B65+1,0),data!$B$12:$B$213,0),31))</f>
        <v>189192.07</v>
      </c>
      <c r="J65" s="53">
        <f t="shared" si="4"/>
        <v>0.24191124285511986</v>
      </c>
      <c r="K65" s="53">
        <f t="shared" si="6"/>
        <v>0.89233213889752805</v>
      </c>
      <c r="L65" s="54">
        <f>IF(ISERROR(INDEX(data!$A$12:$AI$213,MATCH(HLOOKUP('II. Sledování projektu'!$L$5,vstupy!$N$2:$BY$180,$B65+1,0),data!$B$12:$B$213,0),32)),"",INDEX(data!$A$12:$AI$213,MATCH(HLOOKUP('II. Sledování projektu'!$L$5,vstupy!$N$2:$BY$180,$B65+1,0),data!$B$12:$B$213,0),32))</f>
        <v>101943.54</v>
      </c>
      <c r="M65" s="53">
        <f t="shared" si="7"/>
        <v>0.35015826473443079</v>
      </c>
      <c r="N65" s="54">
        <f>IF(ISERROR(VLOOKUP(C65,data!$C$12:$AD$213,28,0)),0,VLOOKUP(C65,data!$C$12:$AD$213,28,0))</f>
        <v>212019.786975</v>
      </c>
    </row>
    <row r="66" spans="2:14" x14ac:dyDescent="0.2">
      <c r="B66" s="19">
        <f t="shared" si="5"/>
        <v>61</v>
      </c>
      <c r="C66" s="19" t="str">
        <f>IF(ISERROR(INDEX(data!$A$12:$AI$213,MATCH(HLOOKUP('II. Sledování projektu'!$L$5,vstupy!$N$2:$BY$180,$B66+1,0),data!$B$12:$B$213,0),3)),"",INDEX(data!$A$12:$AI$213,MATCH(HLOOKUP('II. Sledování projektu'!$L$5,vstupy!$N$2:$BY$180,$B66+1,0),data!$B$12:$B$213,0),3))</f>
        <v>MŠ O-Nová Bělá</v>
      </c>
      <c r="D66" s="156">
        <f>IF(ISERROR(INDEX(data!$A$12:$AI$213,MATCH(HLOOKUP('II. Sledování projektu'!$L$5,vstupy!$N$2:$BY$180,$B66+1,0),data!$B$12:$B$213,0),35)),"",INDEX(data!$A$12:$AI$213,MATCH(HLOOKUP('II. Sledování projektu'!$L$5,vstupy!$N$2:$BY$180,$B66+1,0),data!$B$12:$B$213,0),35))</f>
        <v>13.828835508662008</v>
      </c>
      <c r="E66" s="49">
        <f>IF(ISERROR(INDEX(data!$A$12:$AI$213,MATCH(HLOOKUP('II. Sledování projektu'!$L$5,vstupy!$N$2:$BY$180,$B66+1,0),data!$B$12:$B$213,0),27)),"",INDEX(data!$A$12:$AI$213,MATCH(HLOOKUP('II. Sledování projektu'!$L$5,vstupy!$N$2:$BY$180,$B66+1,0),data!$B$12:$B$213,0),27))</f>
        <v>752925</v>
      </c>
      <c r="F66" s="54">
        <f>IF(ISERROR(INDEX(data!$A$12:$AI$213,MATCH(HLOOKUP('II. Sledování projektu'!$L$5,vstupy!$N$2:$BY$180,$B66+1,0),data!$B$12:$B$213,0),28)),"",INDEX(data!$A$12:$AI$213,MATCH(HLOOKUP('II. Sledování projektu'!$L$5,vstupy!$N$2:$BY$180,$B66+1,0),data!$B$12:$B$213,0),28))</f>
        <v>0</v>
      </c>
      <c r="G66" s="53">
        <f t="shared" si="3"/>
        <v>0</v>
      </c>
      <c r="H66" s="53">
        <f>IF(ISERROR(INDEX(data!$A$12:$AI$213,MATCH(HLOOKUP('II. Sledování projektu'!$L$5,vstupy!$N$2:$BY$180,$B66+1,0),data!$B$12:$B$213,0),29)),"",INDEX(data!$A$12:$AI$213,MATCH(HLOOKUP('II. Sledování projektu'!$L$5,vstupy!$N$2:$BY$180,$B66+1,0),data!$B$12:$B$213,0),29))</f>
        <v>0.1948</v>
      </c>
      <c r="I66" s="54">
        <f>IF(ISERROR(INDEX(data!$A$12:$AI$213,MATCH(HLOOKUP('II. Sledování projektu'!$L$5,vstupy!$N$2:$BY$180,$B66+1,0),data!$B$12:$B$213,0),31)),"",INDEX(data!$A$12:$AI$213,MATCH(HLOOKUP('II. Sledování projektu'!$L$5,vstupy!$N$2:$BY$180,$B66+1,0),data!$B$12:$B$213,0),31))</f>
        <v>33804.54</v>
      </c>
      <c r="J66" s="53">
        <f t="shared" si="4"/>
        <v>4.4897619284789324E-2</v>
      </c>
      <c r="K66" s="53">
        <f t="shared" si="6"/>
        <v>0.23048059181103348</v>
      </c>
      <c r="L66" s="54">
        <f>IF(ISERROR(INDEX(data!$A$12:$AI$213,MATCH(HLOOKUP('II. Sledování projektu'!$L$5,vstupy!$N$2:$BY$180,$B66+1,0),data!$B$12:$B$213,0),32)),"",INDEX(data!$A$12:$AI$213,MATCH(HLOOKUP('II. Sledování projektu'!$L$5,vstupy!$N$2:$BY$180,$B66+1,0),data!$B$12:$B$213,0),32))</f>
        <v>9846.9</v>
      </c>
      <c r="M66" s="53">
        <f t="shared" si="7"/>
        <v>0.2255801870453758</v>
      </c>
      <c r="N66" s="54">
        <f>IF(ISERROR(VLOOKUP(C66,data!$C$12:$AD$213,28,0)),0,VLOOKUP(C66,data!$C$12:$AD$213,28,0))</f>
        <v>146669.79</v>
      </c>
    </row>
    <row r="67" spans="2:14" x14ac:dyDescent="0.2">
      <c r="B67" s="19">
        <f t="shared" si="5"/>
        <v>62</v>
      </c>
      <c r="C67" s="19" t="str">
        <f>IF(ISERROR(INDEX(data!$A$12:$AI$213,MATCH(HLOOKUP('II. Sledování projektu'!$L$5,vstupy!$N$2:$BY$180,$B67+1,0),data!$B$12:$B$213,0),3)),"",INDEX(data!$A$12:$AI$213,MATCH(HLOOKUP('II. Sledování projektu'!$L$5,vstupy!$N$2:$BY$180,$B67+1,0),data!$B$12:$B$213,0),3))</f>
        <v>MŠ O-Petřkovice</v>
      </c>
      <c r="D67" s="156">
        <f>IF(ISERROR(INDEX(data!$A$12:$AI$213,MATCH(HLOOKUP('II. Sledování projektu'!$L$5,vstupy!$N$2:$BY$180,$B67+1,0),data!$B$12:$B$213,0),35)),"",INDEX(data!$A$12:$AI$213,MATCH(HLOOKUP('II. Sledování projektu'!$L$5,vstupy!$N$2:$BY$180,$B67+1,0),data!$B$12:$B$213,0),35))</f>
        <v>47.403403738161465</v>
      </c>
      <c r="E67" s="49">
        <f>IF(ISERROR(INDEX(data!$A$12:$AI$213,MATCH(HLOOKUP('II. Sledování projektu'!$L$5,vstupy!$N$2:$BY$180,$B67+1,0),data!$B$12:$B$213,0),27)),"",INDEX(data!$A$12:$AI$213,MATCH(HLOOKUP('II. Sledování projektu'!$L$5,vstupy!$N$2:$BY$180,$B67+1,0),data!$B$12:$B$213,0),27))</f>
        <v>746520</v>
      </c>
      <c r="F67" s="54">
        <f>IF(ISERROR(INDEX(data!$A$12:$AI$213,MATCH(HLOOKUP('II. Sledování projektu'!$L$5,vstupy!$N$2:$BY$180,$B67+1,0),data!$B$12:$B$213,0),28)),"",INDEX(data!$A$12:$AI$213,MATCH(HLOOKUP('II. Sledování projektu'!$L$5,vstupy!$N$2:$BY$180,$B67+1,0),data!$B$12:$B$213,0),28))</f>
        <v>101342.26</v>
      </c>
      <c r="G67" s="53">
        <f t="shared" si="3"/>
        <v>0.13575290682098268</v>
      </c>
      <c r="H67" s="53">
        <f>IF(ISERROR(INDEX(data!$A$12:$AI$213,MATCH(HLOOKUP('II. Sledování projektu'!$L$5,vstupy!$N$2:$BY$180,$B67+1,0),data!$B$12:$B$213,0),29)),"",INDEX(data!$A$12:$AI$213,MATCH(HLOOKUP('II. Sledování projektu'!$L$5,vstupy!$N$2:$BY$180,$B67+1,0),data!$B$12:$B$213,0),29))</f>
        <v>0.3286</v>
      </c>
      <c r="I67" s="54">
        <f>IF(ISERROR(INDEX(data!$A$12:$AI$213,MATCH(HLOOKUP('II. Sledování projektu'!$L$5,vstupy!$N$2:$BY$180,$B67+1,0),data!$B$12:$B$213,0),31)),"",INDEX(data!$A$12:$AI$213,MATCH(HLOOKUP('II. Sledování projektu'!$L$5,vstupy!$N$2:$BY$180,$B67+1,0),data!$B$12:$B$213,0),31))</f>
        <v>166055.14000000001</v>
      </c>
      <c r="J67" s="53">
        <f t="shared" si="4"/>
        <v>0.22243897015485187</v>
      </c>
      <c r="K67" s="53">
        <f t="shared" si="6"/>
        <v>0.67692930661853878</v>
      </c>
      <c r="L67" s="54">
        <f>IF(ISERROR(INDEX(data!$A$12:$AI$213,MATCH(HLOOKUP('II. Sledování projektu'!$L$5,vstupy!$N$2:$BY$180,$B67+1,0),data!$B$12:$B$213,0),32)),"",INDEX(data!$A$12:$AI$213,MATCH(HLOOKUP('II. Sledování projektu'!$L$5,vstupy!$N$2:$BY$180,$B67+1,0),data!$B$12:$B$213,0),32))</f>
        <v>85361.8</v>
      </c>
      <c r="M67" s="53">
        <f t="shared" si="7"/>
        <v>0.33952286588167052</v>
      </c>
      <c r="N67" s="54">
        <f>IF(ISERROR(VLOOKUP(C67,data!$C$12:$AD$213,28,0)),0,VLOOKUP(C67,data!$C$12:$AD$213,28,0))</f>
        <v>245306.47200000001</v>
      </c>
    </row>
    <row r="68" spans="2:14" x14ac:dyDescent="0.2">
      <c r="B68" s="19">
        <f t="shared" si="5"/>
        <v>63</v>
      </c>
      <c r="C68" s="19" t="str">
        <f>IF(ISERROR(INDEX(data!$A$12:$AI$213,MATCH(HLOOKUP('II. Sledování projektu'!$L$5,vstupy!$N$2:$BY$180,$B68+1,0),data!$B$12:$B$213,0),3)),"",INDEX(data!$A$12:$AI$213,MATCH(HLOOKUP('II. Sledování projektu'!$L$5,vstupy!$N$2:$BY$180,$B68+1,0),data!$B$12:$B$213,0),3))</f>
        <v>MŠ O-Plesná</v>
      </c>
      <c r="D68" s="156">
        <f>IF(ISERROR(INDEX(data!$A$12:$AI$213,MATCH(HLOOKUP('II. Sledování projektu'!$L$5,vstupy!$N$2:$BY$180,$B68+1,0),data!$B$12:$B$213,0),35)),"",INDEX(data!$A$12:$AI$213,MATCH(HLOOKUP('II. Sledování projektu'!$L$5,vstupy!$N$2:$BY$180,$B68+1,0),data!$B$12:$B$213,0),35))</f>
        <v>23.006360914103841</v>
      </c>
      <c r="E68" s="49">
        <f>IF(ISERROR(INDEX(data!$A$12:$AI$213,MATCH(HLOOKUP('II. Sledování projektu'!$L$5,vstupy!$N$2:$BY$180,$B68+1,0),data!$B$12:$B$213,0),27)),"",INDEX(data!$A$12:$AI$213,MATCH(HLOOKUP('II. Sledování projektu'!$L$5,vstupy!$N$2:$BY$180,$B68+1,0),data!$B$12:$B$213,0),27))</f>
        <v>491250</v>
      </c>
      <c r="F68" s="54">
        <f>IF(ISERROR(INDEX(data!$A$12:$AI$213,MATCH(HLOOKUP('II. Sledování projektu'!$L$5,vstupy!$N$2:$BY$180,$B68+1,0),data!$B$12:$B$213,0),28)),"",INDEX(data!$A$12:$AI$213,MATCH(HLOOKUP('II. Sledování projektu'!$L$5,vstupy!$N$2:$BY$180,$B68+1,0),data!$B$12:$B$213,0),28))</f>
        <v>2641.18</v>
      </c>
      <c r="G68" s="53">
        <f t="shared" si="3"/>
        <v>5.3764478371501265E-3</v>
      </c>
      <c r="H68" s="53">
        <f>IF(ISERROR(INDEX(data!$A$12:$AI$213,MATCH(HLOOKUP('II. Sledování projektu'!$L$5,vstupy!$N$2:$BY$180,$B68+1,0),data!$B$12:$B$213,0),29)),"",INDEX(data!$A$12:$AI$213,MATCH(HLOOKUP('II. Sledování projektu'!$L$5,vstupy!$N$2:$BY$180,$B68+1,0),data!$B$12:$B$213,0),29))</f>
        <v>0.2747</v>
      </c>
      <c r="I68" s="54">
        <f>IF(ISERROR(INDEX(data!$A$12:$AI$213,MATCH(HLOOKUP('II. Sledování projektu'!$L$5,vstupy!$N$2:$BY$180,$B68+1,0),data!$B$12:$B$213,0),31)),"",INDEX(data!$A$12:$AI$213,MATCH(HLOOKUP('II. Sledování projektu'!$L$5,vstupy!$N$2:$BY$180,$B68+1,0),data!$B$12:$B$213,0),31))</f>
        <v>51139.14</v>
      </c>
      <c r="J68" s="53">
        <f t="shared" si="4"/>
        <v>0.10410003053435114</v>
      </c>
      <c r="K68" s="53">
        <f t="shared" si="6"/>
        <v>0.37895897537077228</v>
      </c>
      <c r="L68" s="54">
        <f>IF(ISERROR(INDEX(data!$A$12:$AI$213,MATCH(HLOOKUP('II. Sledování projektu'!$L$5,vstupy!$N$2:$BY$180,$B68+1,0),data!$B$12:$B$213,0),32)),"",INDEX(data!$A$12:$AI$213,MATCH(HLOOKUP('II. Sledování projektu'!$L$5,vstupy!$N$2:$BY$180,$B68+1,0),data!$B$12:$B$213,0),32))</f>
        <v>41282.230000000003</v>
      </c>
      <c r="M68" s="53">
        <f t="shared" si="7"/>
        <v>0.4466740754870871</v>
      </c>
      <c r="N68" s="54">
        <f>IF(ISERROR(VLOOKUP(C68,data!$C$12:$AD$213,28,0)),0,VLOOKUP(C68,data!$C$12:$AD$213,28,0))</f>
        <v>134946.375</v>
      </c>
    </row>
    <row r="69" spans="2:14" x14ac:dyDescent="0.2">
      <c r="B69" s="19">
        <f t="shared" si="5"/>
        <v>64</v>
      </c>
      <c r="C69" s="19" t="str">
        <f>IF(ISERROR(INDEX(data!$A$12:$AI$213,MATCH(HLOOKUP('II. Sledování projektu'!$L$5,vstupy!$N$2:$BY$180,$B69+1,0),data!$B$12:$B$213,0),3)),"",INDEX(data!$A$12:$AI$213,MATCH(HLOOKUP('II. Sledování projektu'!$L$5,vstupy!$N$2:$BY$180,$B69+1,0),data!$B$12:$B$213,0),3))</f>
        <v>MŠ O-Poruba, Dětská</v>
      </c>
      <c r="D69" s="156">
        <f>IF(ISERROR(INDEX(data!$A$12:$AI$213,MATCH(HLOOKUP('II. Sledování projektu'!$L$5,vstupy!$N$2:$BY$180,$B69+1,0),data!$B$12:$B$213,0),35)),"",INDEX(data!$A$12:$AI$213,MATCH(HLOOKUP('II. Sledování projektu'!$L$5,vstupy!$N$2:$BY$180,$B69+1,0),data!$B$12:$B$213,0),35))</f>
        <v>84.792244170143832</v>
      </c>
      <c r="E69" s="49">
        <f>IF(ISERROR(INDEX(data!$A$12:$AI$213,MATCH(HLOOKUP('II. Sledování projektu'!$L$5,vstupy!$N$2:$BY$180,$B69+1,0),data!$B$12:$B$213,0),27)),"",INDEX(data!$A$12:$AI$213,MATCH(HLOOKUP('II. Sledování projektu'!$L$5,vstupy!$N$2:$BY$180,$B69+1,0),data!$B$12:$B$213,0),27))</f>
        <v>1803659.7749999999</v>
      </c>
      <c r="F69" s="54">
        <f>IF(ISERROR(INDEX(data!$A$12:$AI$213,MATCH(HLOOKUP('II. Sledování projektu'!$L$5,vstupy!$N$2:$BY$180,$B69+1,0),data!$B$12:$B$213,0),28)),"",INDEX(data!$A$12:$AI$213,MATCH(HLOOKUP('II. Sledování projektu'!$L$5,vstupy!$N$2:$BY$180,$B69+1,0),data!$B$12:$B$213,0),28))</f>
        <v>1237757.9300000002</v>
      </c>
      <c r="G69" s="53">
        <f t="shared" si="3"/>
        <v>0.6862480092732568</v>
      </c>
      <c r="H69" s="53">
        <f>IF(ISERROR(INDEX(data!$A$12:$AI$213,MATCH(HLOOKUP('II. Sledování projektu'!$L$5,vstupy!$N$2:$BY$180,$B69+1,0),data!$B$12:$B$213,0),29)),"",INDEX(data!$A$12:$AI$213,MATCH(HLOOKUP('II. Sledování projektu'!$L$5,vstupy!$N$2:$BY$180,$B69+1,0),data!$B$12:$B$213,0),29))</f>
        <v>0.23039999999999999</v>
      </c>
      <c r="I69" s="54">
        <f>IF(ISERROR(INDEX(data!$A$12:$AI$213,MATCH(HLOOKUP('II. Sledování projektu'!$L$5,vstupy!$N$2:$BY$180,$B69+1,0),data!$B$12:$B$213,0),31)),"",INDEX(data!$A$12:$AI$213,MATCH(HLOOKUP('II. Sledování projektu'!$L$5,vstupy!$N$2:$BY$180,$B69+1,0),data!$B$12:$B$213,0),31))</f>
        <v>349626.10000000003</v>
      </c>
      <c r="J69" s="53">
        <f t="shared" si="4"/>
        <v>0.19384259983288701</v>
      </c>
      <c r="K69" s="53">
        <f t="shared" si="6"/>
        <v>0.84133072844134993</v>
      </c>
      <c r="L69" s="54">
        <f>IF(ISERROR(INDEX(data!$A$12:$AI$213,MATCH(HLOOKUP('II. Sledování projektu'!$L$5,vstupy!$N$2:$BY$180,$B69+1,0),data!$B$12:$B$213,0),32)),"",INDEX(data!$A$12:$AI$213,MATCH(HLOOKUP('II. Sledování projektu'!$L$5,vstupy!$N$2:$BY$180,$B69+1,0),data!$B$12:$B$213,0),32))</f>
        <v>117908.22</v>
      </c>
      <c r="M69" s="53">
        <f t="shared" si="7"/>
        <v>0.2521915824275745</v>
      </c>
      <c r="N69" s="54">
        <f>IF(ISERROR(VLOOKUP(C69,data!$C$12:$AD$213,28,0)),0,VLOOKUP(C69,data!$C$12:$AD$213,28,0))</f>
        <v>415563.21216</v>
      </c>
    </row>
    <row r="70" spans="2:14" x14ac:dyDescent="0.2">
      <c r="B70" s="19">
        <f t="shared" si="5"/>
        <v>65</v>
      </c>
      <c r="C70" s="19" t="str">
        <f>IF(ISERROR(INDEX(data!$A$12:$AI$213,MATCH(HLOOKUP('II. Sledování projektu'!$L$5,vstupy!$N$2:$BY$180,$B70+1,0),data!$B$12:$B$213,0),3)),"",INDEX(data!$A$12:$AI$213,MATCH(HLOOKUP('II. Sledování projektu'!$L$5,vstupy!$N$2:$BY$180,$B70+1,0),data!$B$12:$B$213,0),3))</f>
        <v>MŠ O-Poruba, Dvorní</v>
      </c>
      <c r="D70" s="156">
        <f>IF(ISERROR(INDEX(data!$A$12:$AI$213,MATCH(HLOOKUP('II. Sledování projektu'!$L$5,vstupy!$N$2:$BY$180,$B70+1,0),data!$B$12:$B$213,0),35)),"",INDEX(data!$A$12:$AI$213,MATCH(HLOOKUP('II. Sledování projektu'!$L$5,vstupy!$N$2:$BY$180,$B70+1,0),data!$B$12:$B$213,0),35))</f>
        <v>67.932747642768192</v>
      </c>
      <c r="E70" s="49">
        <f>IF(ISERROR(INDEX(data!$A$12:$AI$213,MATCH(HLOOKUP('II. Sledování projektu'!$L$5,vstupy!$N$2:$BY$180,$B70+1,0),data!$B$12:$B$213,0),27)),"",INDEX(data!$A$12:$AI$213,MATCH(HLOOKUP('II. Sledování projektu'!$L$5,vstupy!$N$2:$BY$180,$B70+1,0),data!$B$12:$B$213,0),27))</f>
        <v>2310000</v>
      </c>
      <c r="F70" s="54">
        <f>IF(ISERROR(INDEX(data!$A$12:$AI$213,MATCH(HLOOKUP('II. Sledování projektu'!$L$5,vstupy!$N$2:$BY$180,$B70+1,0),data!$B$12:$B$213,0),28)),"",INDEX(data!$A$12:$AI$213,MATCH(HLOOKUP('II. Sledování projektu'!$L$5,vstupy!$N$2:$BY$180,$B70+1,0),data!$B$12:$B$213,0),28))</f>
        <v>607703.9</v>
      </c>
      <c r="G70" s="53">
        <f t="shared" si="3"/>
        <v>0.26307528138528141</v>
      </c>
      <c r="H70" s="53">
        <f>IF(ISERROR(INDEX(data!$A$12:$AI$213,MATCH(HLOOKUP('II. Sledování projektu'!$L$5,vstupy!$N$2:$BY$180,$B70+1,0),data!$B$12:$B$213,0),29)),"",INDEX(data!$A$12:$AI$213,MATCH(HLOOKUP('II. Sledování projektu'!$L$5,vstupy!$N$2:$BY$180,$B70+1,0),data!$B$12:$B$213,0),29))</f>
        <v>0.35039999999999999</v>
      </c>
      <c r="I70" s="54">
        <f>IF(ISERROR(INDEX(data!$A$12:$AI$213,MATCH(HLOOKUP('II. Sledování projektu'!$L$5,vstupy!$N$2:$BY$180,$B70+1,0),data!$B$12:$B$213,0),31)),"",INDEX(data!$A$12:$AI$213,MATCH(HLOOKUP('II. Sledování projektu'!$L$5,vstupy!$N$2:$BY$180,$B70+1,0),data!$B$12:$B$213,0),31))</f>
        <v>738990.4</v>
      </c>
      <c r="J70" s="53">
        <f t="shared" si="4"/>
        <v>0.31990926406926407</v>
      </c>
      <c r="K70" s="53">
        <f t="shared" si="6"/>
        <v>0.91298305955840209</v>
      </c>
      <c r="L70" s="54">
        <f>IF(ISERROR(INDEX(data!$A$12:$AI$213,MATCH(HLOOKUP('II. Sledování projektu'!$L$5,vstupy!$N$2:$BY$180,$B70+1,0),data!$B$12:$B$213,0),32)),"",INDEX(data!$A$12:$AI$213,MATCH(HLOOKUP('II. Sledování projektu'!$L$5,vstupy!$N$2:$BY$180,$B70+1,0),data!$B$12:$B$213,0),32))</f>
        <v>248105.46</v>
      </c>
      <c r="M70" s="53">
        <f t="shared" ref="M70:M101" si="8">IF(ISERROR(L70/I70),0,IF(uspora="A",L70/I70,L70/(I70+L70)))</f>
        <v>0.25134890141267535</v>
      </c>
      <c r="N70" s="54">
        <f>IF(ISERROR(VLOOKUP(C70,data!$C$12:$AD$213,28,0)),0,VLOOKUP(C70,data!$C$12:$AD$213,28,0))</f>
        <v>809424</v>
      </c>
    </row>
    <row r="71" spans="2:14" x14ac:dyDescent="0.2">
      <c r="B71" s="19">
        <f t="shared" si="5"/>
        <v>66</v>
      </c>
      <c r="C71" s="19" t="str">
        <f>IF(ISERROR(INDEX(data!$A$12:$AI$213,MATCH(HLOOKUP('II. Sledování projektu'!$L$5,vstupy!$N$2:$BY$180,$B71+1,0),data!$B$12:$B$213,0),3)),"",INDEX(data!$A$12:$AI$213,MATCH(HLOOKUP('II. Sledování projektu'!$L$5,vstupy!$N$2:$BY$180,$B71+1,0),data!$B$12:$B$213,0),3))</f>
        <v>MŠ O-Poruba, J.Šoupala</v>
      </c>
      <c r="D71" s="156">
        <f>IF(ISERROR(INDEX(data!$A$12:$AI$213,MATCH(HLOOKUP('II. Sledování projektu'!$L$5,vstupy!$N$2:$BY$180,$B71+1,0),data!$B$12:$B$213,0),35)),"",INDEX(data!$A$12:$AI$213,MATCH(HLOOKUP('II. Sledování projektu'!$L$5,vstupy!$N$2:$BY$180,$B71+1,0),data!$B$12:$B$213,0),35))</f>
        <v>82.395801460430235</v>
      </c>
      <c r="E71" s="49">
        <f>IF(ISERROR(INDEX(data!$A$12:$AI$213,MATCH(HLOOKUP('II. Sledování projektu'!$L$5,vstupy!$N$2:$BY$180,$B71+1,0),data!$B$12:$B$213,0),27)),"",INDEX(data!$A$12:$AI$213,MATCH(HLOOKUP('II. Sledování projektu'!$L$5,vstupy!$N$2:$BY$180,$B71+1,0),data!$B$12:$B$213,0),27))</f>
        <v>2533500</v>
      </c>
      <c r="F71" s="54">
        <f>IF(ISERROR(INDEX(data!$A$12:$AI$213,MATCH(HLOOKUP('II. Sledování projektu'!$L$5,vstupy!$N$2:$BY$180,$B71+1,0),data!$B$12:$B$213,0),28)),"",INDEX(data!$A$12:$AI$213,MATCH(HLOOKUP('II. Sledování projektu'!$L$5,vstupy!$N$2:$BY$180,$B71+1,0),data!$B$12:$B$213,0),28))</f>
        <v>1134795.26</v>
      </c>
      <c r="G71" s="53">
        <f t="shared" ref="G71:G134" si="9">IF(ISERROR(F71/E71),0,F71/E71)</f>
        <v>0.44791602920860468</v>
      </c>
      <c r="H71" s="53">
        <f>IF(ISERROR(INDEX(data!$A$12:$AI$213,MATCH(HLOOKUP('II. Sledování projektu'!$L$5,vstupy!$N$2:$BY$180,$B71+1,0),data!$B$12:$B$213,0),29)),"",INDEX(data!$A$12:$AI$213,MATCH(HLOOKUP('II. Sledování projektu'!$L$5,vstupy!$N$2:$BY$180,$B71+1,0),data!$B$12:$B$213,0),29))</f>
        <v>0.24890000000000001</v>
      </c>
      <c r="I71" s="54">
        <f>IF(ISERROR(INDEX(data!$A$12:$AI$213,MATCH(HLOOKUP('II. Sledování projektu'!$L$5,vstupy!$N$2:$BY$180,$B71+1,0),data!$B$12:$B$213,0),31)),"",INDEX(data!$A$12:$AI$213,MATCH(HLOOKUP('II. Sledování projektu'!$L$5,vstupy!$N$2:$BY$180,$B71+1,0),data!$B$12:$B$213,0),31))</f>
        <v>687734.7</v>
      </c>
      <c r="J71" s="53">
        <f t="shared" ref="J71:J134" si="10">IF(ISERROR(I71/(E71)),0,I71/(E71))</f>
        <v>0.27145636471284784</v>
      </c>
      <c r="K71" s="53">
        <f t="shared" si="6"/>
        <v>1.0906242053549531</v>
      </c>
      <c r="L71" s="54">
        <f>IF(ISERROR(INDEX(data!$A$12:$AI$213,MATCH(HLOOKUP('II. Sledování projektu'!$L$5,vstupy!$N$2:$BY$180,$B71+1,0),data!$B$12:$B$213,0),32)),"",INDEX(data!$A$12:$AI$213,MATCH(HLOOKUP('II. Sledování projektu'!$L$5,vstupy!$N$2:$BY$180,$B71+1,0),data!$B$12:$B$213,0),32))</f>
        <v>154690.03</v>
      </c>
      <c r="M71" s="53">
        <f t="shared" si="8"/>
        <v>0.18362474947761803</v>
      </c>
      <c r="N71" s="54">
        <f>IF(ISERROR(VLOOKUP(C71,data!$C$12:$AD$213,28,0)),0,VLOOKUP(C71,data!$C$12:$AD$213,28,0))</f>
        <v>630588.15</v>
      </c>
    </row>
    <row r="72" spans="2:14" x14ac:dyDescent="0.2">
      <c r="B72" s="19">
        <f t="shared" ref="B72:B135" si="11">B71+1</f>
        <v>67</v>
      </c>
      <c r="C72" s="19" t="str">
        <f>IF(ISERROR(INDEX(data!$A$12:$AI$213,MATCH(HLOOKUP('II. Sledování projektu'!$L$5,vstupy!$N$2:$BY$180,$B72+1,0),data!$B$12:$B$213,0),3)),"",INDEX(data!$A$12:$AI$213,MATCH(HLOOKUP('II. Sledování projektu'!$L$5,vstupy!$N$2:$BY$180,$B72+1,0),data!$B$12:$B$213,0),3))</f>
        <v>MŠ O-Poruba, Nezvalovo nám.</v>
      </c>
      <c r="D72" s="156">
        <f>IF(ISERROR(INDEX(data!$A$12:$AI$213,MATCH(HLOOKUP('II. Sledování projektu'!$L$5,vstupy!$N$2:$BY$180,$B72+1,0),data!$B$12:$B$213,0),35)),"",INDEX(data!$A$12:$AI$213,MATCH(HLOOKUP('II. Sledování projektu'!$L$5,vstupy!$N$2:$BY$180,$B72+1,0),data!$B$12:$B$213,0),35))</f>
        <v>84.375696653805349</v>
      </c>
      <c r="E72" s="49">
        <f>IF(ISERROR(INDEX(data!$A$12:$AI$213,MATCH(HLOOKUP('II. Sledování projektu'!$L$5,vstupy!$N$2:$BY$180,$B72+1,0),data!$B$12:$B$213,0),27)),"",INDEX(data!$A$12:$AI$213,MATCH(HLOOKUP('II. Sledování projektu'!$L$5,vstupy!$N$2:$BY$180,$B72+1,0),data!$B$12:$B$213,0),27))</f>
        <v>2133000</v>
      </c>
      <c r="F72" s="54">
        <f>IF(ISERROR(INDEX(data!$A$12:$AI$213,MATCH(HLOOKUP('II. Sledování projektu'!$L$5,vstupy!$N$2:$BY$180,$B72+1,0),data!$B$12:$B$213,0),28)),"",INDEX(data!$A$12:$AI$213,MATCH(HLOOKUP('II. Sledování projektu'!$L$5,vstupy!$N$2:$BY$180,$B72+1,0),data!$B$12:$B$213,0),28))</f>
        <v>2226961.7600000002</v>
      </c>
      <c r="G72" s="53">
        <f t="shared" si="9"/>
        <v>1.0440514580403188</v>
      </c>
      <c r="H72" s="53">
        <f>IF(ISERROR(INDEX(data!$A$12:$AI$213,MATCH(HLOOKUP('II. Sledování projektu'!$L$5,vstupy!$N$2:$BY$180,$B72+1,0),data!$B$12:$B$213,0),29)),"",INDEX(data!$A$12:$AI$213,MATCH(HLOOKUP('II. Sledování projektu'!$L$5,vstupy!$N$2:$BY$180,$B72+1,0),data!$B$12:$B$213,0),29))</f>
        <v>0.14960000000000001</v>
      </c>
      <c r="I72" s="54">
        <f>IF(ISERROR(INDEX(data!$A$12:$AI$213,MATCH(HLOOKUP('II. Sledování projektu'!$L$5,vstupy!$N$2:$BY$180,$B72+1,0),data!$B$12:$B$213,0),31)),"",INDEX(data!$A$12:$AI$213,MATCH(HLOOKUP('II. Sledování projektu'!$L$5,vstupy!$N$2:$BY$180,$B72+1,0),data!$B$12:$B$213,0),31))</f>
        <v>236002.37999999998</v>
      </c>
      <c r="J72" s="53">
        <f t="shared" si="10"/>
        <v>0.11064340365682136</v>
      </c>
      <c r="K72" s="53">
        <f t="shared" ref="K72:K135" si="12">IF(ISERROR(I72/(N72)),0,I72/(N72))</f>
        <v>0.7395949442300892</v>
      </c>
      <c r="L72" s="54">
        <f>IF(ISERROR(INDEX(data!$A$12:$AI$213,MATCH(HLOOKUP('II. Sledování projektu'!$L$5,vstupy!$N$2:$BY$180,$B72+1,0),data!$B$12:$B$213,0),32)),"",INDEX(data!$A$12:$AI$213,MATCH(HLOOKUP('II. Sledování projektu'!$L$5,vstupy!$N$2:$BY$180,$B72+1,0),data!$B$12:$B$213,0),32))</f>
        <v>63611.429999999993</v>
      </c>
      <c r="M72" s="53">
        <f t="shared" si="8"/>
        <v>0.21231140847613134</v>
      </c>
      <c r="N72" s="54">
        <f>IF(ISERROR(VLOOKUP(C72,data!$C$12:$AD$213,28,0)),0,VLOOKUP(C72,data!$C$12:$AD$213,28,0))</f>
        <v>319096.80000000005</v>
      </c>
    </row>
    <row r="73" spans="2:14" x14ac:dyDescent="0.2">
      <c r="B73" s="19">
        <f t="shared" si="11"/>
        <v>68</v>
      </c>
      <c r="C73" s="19" t="str">
        <f>IF(ISERROR(INDEX(data!$A$12:$AI$213,MATCH(HLOOKUP('II. Sledování projektu'!$L$5,vstupy!$N$2:$BY$180,$B73+1,0),data!$B$12:$B$213,0),3)),"",INDEX(data!$A$12:$AI$213,MATCH(HLOOKUP('II. Sledování projektu'!$L$5,vstupy!$N$2:$BY$180,$B73+1,0),data!$B$12:$B$213,0),3))</f>
        <v>MŠ O-Poruba, Oty Synka</v>
      </c>
      <c r="D73" s="156">
        <f>IF(ISERROR(INDEX(data!$A$12:$AI$213,MATCH(HLOOKUP('II. Sledování projektu'!$L$5,vstupy!$N$2:$BY$180,$B73+1,0),data!$B$12:$B$213,0),35)),"",INDEX(data!$A$12:$AI$213,MATCH(HLOOKUP('II. Sledování projektu'!$L$5,vstupy!$N$2:$BY$180,$B73+1,0),data!$B$12:$B$213,0),35))</f>
        <v>49.80638177551716</v>
      </c>
      <c r="E73" s="49">
        <f>IF(ISERROR(INDEX(data!$A$12:$AI$213,MATCH(HLOOKUP('II. Sledování projektu'!$L$5,vstupy!$N$2:$BY$180,$B73+1,0),data!$B$12:$B$213,0),27)),"",INDEX(data!$A$12:$AI$213,MATCH(HLOOKUP('II. Sledování projektu'!$L$5,vstupy!$N$2:$BY$180,$B73+1,0),data!$B$12:$B$213,0),27))</f>
        <v>2596500</v>
      </c>
      <c r="F73" s="54">
        <f>IF(ISERROR(INDEX(data!$A$12:$AI$213,MATCH(HLOOKUP('II. Sledování projektu'!$L$5,vstupy!$N$2:$BY$180,$B73+1,0),data!$B$12:$B$213,0),28)),"",INDEX(data!$A$12:$AI$213,MATCH(HLOOKUP('II. Sledování projektu'!$L$5,vstupy!$N$2:$BY$180,$B73+1,0),data!$B$12:$B$213,0),28))</f>
        <v>492407.36</v>
      </c>
      <c r="G73" s="53">
        <f t="shared" si="9"/>
        <v>0.18964273445022145</v>
      </c>
      <c r="H73" s="53">
        <f>IF(ISERROR(INDEX(data!$A$12:$AI$213,MATCH(HLOOKUP('II. Sledování projektu'!$L$5,vstupy!$N$2:$BY$180,$B73+1,0),data!$B$12:$B$213,0),29)),"",INDEX(data!$A$12:$AI$213,MATCH(HLOOKUP('II. Sledování projektu'!$L$5,vstupy!$N$2:$BY$180,$B73+1,0),data!$B$12:$B$213,0),29))</f>
        <v>0.27629999999999999</v>
      </c>
      <c r="I73" s="54">
        <f>IF(ISERROR(INDEX(data!$A$12:$AI$213,MATCH(HLOOKUP('II. Sledování projektu'!$L$5,vstupy!$N$2:$BY$180,$B73+1,0),data!$B$12:$B$213,0),31)),"",INDEX(data!$A$12:$AI$213,MATCH(HLOOKUP('II. Sledování projektu'!$L$5,vstupy!$N$2:$BY$180,$B73+1,0),data!$B$12:$B$213,0),31))</f>
        <v>482152.26</v>
      </c>
      <c r="J73" s="53">
        <f t="shared" si="10"/>
        <v>0.18569314846909302</v>
      </c>
      <c r="K73" s="53">
        <f t="shared" si="12"/>
        <v>0.67207075088343482</v>
      </c>
      <c r="L73" s="54">
        <f>IF(ISERROR(INDEX(data!$A$12:$AI$213,MATCH(HLOOKUP('II. Sledování projektu'!$L$5,vstupy!$N$2:$BY$180,$B73+1,0),data!$B$12:$B$213,0),32)),"",INDEX(data!$A$12:$AI$213,MATCH(HLOOKUP('II. Sledování projektu'!$L$5,vstupy!$N$2:$BY$180,$B73+1,0),data!$B$12:$B$213,0),32))</f>
        <v>121610.4</v>
      </c>
      <c r="M73" s="53">
        <f t="shared" si="8"/>
        <v>0.20142086958474706</v>
      </c>
      <c r="N73" s="54">
        <f>IF(ISERROR(VLOOKUP(C73,data!$C$12:$AD$213,28,0)),0,VLOOKUP(C73,data!$C$12:$AD$213,28,0))</f>
        <v>717412.95</v>
      </c>
    </row>
    <row r="74" spans="2:14" x14ac:dyDescent="0.2">
      <c r="B74" s="19">
        <f t="shared" si="11"/>
        <v>69</v>
      </c>
      <c r="C74" s="19" t="str">
        <f>IF(ISERROR(INDEX(data!$A$12:$AI$213,MATCH(HLOOKUP('II. Sledování projektu'!$L$5,vstupy!$N$2:$BY$180,$B74+1,0),data!$B$12:$B$213,0),3)),"",INDEX(data!$A$12:$AI$213,MATCH(HLOOKUP('II. Sledování projektu'!$L$5,vstupy!$N$2:$BY$180,$B74+1,0),data!$B$12:$B$213,0),3))</f>
        <v>MŠ O-Poruba, Sokolovská</v>
      </c>
      <c r="D74" s="156">
        <f>IF(ISERROR(INDEX(data!$A$12:$AI$213,MATCH(HLOOKUP('II. Sledování projektu'!$L$5,vstupy!$N$2:$BY$180,$B74+1,0),data!$B$12:$B$213,0),35)),"",INDEX(data!$A$12:$AI$213,MATCH(HLOOKUP('II. Sledování projektu'!$L$5,vstupy!$N$2:$BY$180,$B74+1,0),data!$B$12:$B$213,0),35))</f>
        <v>28.288517479253578</v>
      </c>
      <c r="E74" s="49">
        <f>IF(ISERROR(INDEX(data!$A$12:$AI$213,MATCH(HLOOKUP('II. Sledování projektu'!$L$5,vstupy!$N$2:$BY$180,$B74+1,0),data!$B$12:$B$213,0),27)),"",INDEX(data!$A$12:$AI$213,MATCH(HLOOKUP('II. Sledování projektu'!$L$5,vstupy!$N$2:$BY$180,$B74+1,0),data!$B$12:$B$213,0),27))</f>
        <v>2509500</v>
      </c>
      <c r="F74" s="54">
        <f>IF(ISERROR(INDEX(data!$A$12:$AI$213,MATCH(HLOOKUP('II. Sledování projektu'!$L$5,vstupy!$N$2:$BY$180,$B74+1,0),data!$B$12:$B$213,0),28)),"",INDEX(data!$A$12:$AI$213,MATCH(HLOOKUP('II. Sledování projektu'!$L$5,vstupy!$N$2:$BY$180,$B74+1,0),data!$B$12:$B$213,0),28))</f>
        <v>505262.63</v>
      </c>
      <c r="G74" s="53">
        <f t="shared" si="9"/>
        <v>0.20133996015142458</v>
      </c>
      <c r="H74" s="53">
        <f>IF(ISERROR(INDEX(data!$A$12:$AI$213,MATCH(HLOOKUP('II. Sledování projektu'!$L$5,vstupy!$N$2:$BY$180,$B74+1,0),data!$B$12:$B$213,0),29)),"",INDEX(data!$A$12:$AI$213,MATCH(HLOOKUP('II. Sledování projektu'!$L$5,vstupy!$N$2:$BY$180,$B74+1,0),data!$B$12:$B$213,0),29))</f>
        <v>0.23119999999999999</v>
      </c>
      <c r="I74" s="54">
        <f>IF(ISERROR(INDEX(data!$A$12:$AI$213,MATCH(HLOOKUP('II. Sledování projektu'!$L$5,vstupy!$N$2:$BY$180,$B74+1,0),data!$B$12:$B$213,0),31)),"",INDEX(data!$A$12:$AI$213,MATCH(HLOOKUP('II. Sledování projektu'!$L$5,vstupy!$N$2:$BY$180,$B74+1,0),data!$B$12:$B$213,0),31))</f>
        <v>176201</v>
      </c>
      <c r="J74" s="53">
        <f t="shared" si="10"/>
        <v>7.0213588364215984E-2</v>
      </c>
      <c r="K74" s="53">
        <f t="shared" si="12"/>
        <v>0.3036919911947058</v>
      </c>
      <c r="L74" s="54">
        <f>IF(ISERROR(INDEX(data!$A$12:$AI$213,MATCH(HLOOKUP('II. Sledování projektu'!$L$5,vstupy!$N$2:$BY$180,$B74+1,0),data!$B$12:$B$213,0),32)),"",INDEX(data!$A$12:$AI$213,MATCH(HLOOKUP('II. Sledování projektu'!$L$5,vstupy!$N$2:$BY$180,$B74+1,0),data!$B$12:$B$213,0),32))</f>
        <v>54421.8</v>
      </c>
      <c r="M74" s="53">
        <f t="shared" si="8"/>
        <v>0.23597753561226387</v>
      </c>
      <c r="N74" s="54">
        <f>IF(ISERROR(VLOOKUP(C74,data!$C$12:$AD$213,28,0)),0,VLOOKUP(C74,data!$C$12:$AD$213,28,0))</f>
        <v>580196.4</v>
      </c>
    </row>
    <row r="75" spans="2:14" x14ac:dyDescent="0.2">
      <c r="B75" s="19">
        <f t="shared" si="11"/>
        <v>70</v>
      </c>
      <c r="C75" s="19" t="str">
        <f>IF(ISERROR(INDEX(data!$A$12:$AI$213,MATCH(HLOOKUP('II. Sledování projektu'!$L$5,vstupy!$N$2:$BY$180,$B75+1,0),data!$B$12:$B$213,0),3)),"",INDEX(data!$A$12:$AI$213,MATCH(HLOOKUP('II. Sledování projektu'!$L$5,vstupy!$N$2:$BY$180,$B75+1,0),data!$B$12:$B$213,0),3))</f>
        <v>MŠ O-Poruba, Ukrajinská</v>
      </c>
      <c r="D75" s="156">
        <f>IF(ISERROR(INDEX(data!$A$12:$AI$213,MATCH(HLOOKUP('II. Sledování projektu'!$L$5,vstupy!$N$2:$BY$180,$B75+1,0),data!$B$12:$B$213,0),35)),"",INDEX(data!$A$12:$AI$213,MATCH(HLOOKUP('II. Sledování projektu'!$L$5,vstupy!$N$2:$BY$180,$B75+1,0),data!$B$12:$B$213,0),35))</f>
        <v>68.129625391357919</v>
      </c>
      <c r="E75" s="49">
        <f>IF(ISERROR(INDEX(data!$A$12:$AI$213,MATCH(HLOOKUP('II. Sledování projektu'!$L$5,vstupy!$N$2:$BY$180,$B75+1,0),data!$B$12:$B$213,0),27)),"",INDEX(data!$A$12:$AI$213,MATCH(HLOOKUP('II. Sledování projektu'!$L$5,vstupy!$N$2:$BY$180,$B75+1,0),data!$B$12:$B$213,0),27))</f>
        <v>1456792.5</v>
      </c>
      <c r="F75" s="54">
        <f>IF(ISERROR(INDEX(data!$A$12:$AI$213,MATCH(HLOOKUP('II. Sledování projektu'!$L$5,vstupy!$N$2:$BY$180,$B75+1,0),data!$B$12:$B$213,0),28)),"",INDEX(data!$A$12:$AI$213,MATCH(HLOOKUP('II. Sledování projektu'!$L$5,vstupy!$N$2:$BY$180,$B75+1,0),data!$B$12:$B$213,0),28))</f>
        <v>862983.5</v>
      </c>
      <c r="G75" s="53">
        <f t="shared" si="9"/>
        <v>0.59238601242112376</v>
      </c>
      <c r="H75" s="53">
        <f>IF(ISERROR(INDEX(data!$A$12:$AI$213,MATCH(HLOOKUP('II. Sledování projektu'!$L$5,vstupy!$N$2:$BY$180,$B75+1,0),data!$B$12:$B$213,0),29)),"",INDEX(data!$A$12:$AI$213,MATCH(HLOOKUP('II. Sledování projektu'!$L$5,vstupy!$N$2:$BY$180,$B75+1,0),data!$B$12:$B$213,0),29))</f>
        <v>0.25240000000000001</v>
      </c>
      <c r="I75" s="54">
        <f>IF(ISERROR(INDEX(data!$A$12:$AI$213,MATCH(HLOOKUP('II. Sledování projektu'!$L$5,vstupy!$N$2:$BY$180,$B75+1,0),data!$B$12:$B$213,0),31)),"",INDEX(data!$A$12:$AI$213,MATCH(HLOOKUP('II. Sledování projektu'!$L$5,vstupy!$N$2:$BY$180,$B75+1,0),data!$B$12:$B$213,0),31))</f>
        <v>236000.53000000003</v>
      </c>
      <c r="J75" s="53">
        <f t="shared" si="10"/>
        <v>0.16200009953373595</v>
      </c>
      <c r="K75" s="53">
        <f t="shared" si="12"/>
        <v>0.64183874617169545</v>
      </c>
      <c r="L75" s="54">
        <f>IF(ISERROR(INDEX(data!$A$12:$AI$213,MATCH(HLOOKUP('II. Sledování projektu'!$L$5,vstupy!$N$2:$BY$180,$B75+1,0),data!$B$12:$B$213,0),32)),"",INDEX(data!$A$12:$AI$213,MATCH(HLOOKUP('II. Sledování projektu'!$L$5,vstupy!$N$2:$BY$180,$B75+1,0),data!$B$12:$B$213,0),32))</f>
        <v>59867.759999999995</v>
      </c>
      <c r="M75" s="53">
        <f t="shared" si="8"/>
        <v>0.20234598307240018</v>
      </c>
      <c r="N75" s="54">
        <f>IF(ISERROR(VLOOKUP(C75,data!$C$12:$AD$213,28,0)),0,VLOOKUP(C75,data!$C$12:$AD$213,28,0))</f>
        <v>367694.42700000003</v>
      </c>
    </row>
    <row r="76" spans="2:14" x14ac:dyDescent="0.2">
      <c r="B76" s="19">
        <f t="shared" si="11"/>
        <v>71</v>
      </c>
      <c r="C76" s="19" t="str">
        <f>IF(ISERROR(INDEX(data!$A$12:$AI$213,MATCH(HLOOKUP('II. Sledování projektu'!$L$5,vstupy!$N$2:$BY$180,$B76+1,0),data!$B$12:$B$213,0),3)),"",INDEX(data!$A$12:$AI$213,MATCH(HLOOKUP('II. Sledování projektu'!$L$5,vstupy!$N$2:$BY$180,$B76+1,0),data!$B$12:$B$213,0),3))</f>
        <v>MŠ O-Poruba, V.Makovského</v>
      </c>
      <c r="D76" s="156">
        <f>IF(ISERROR(INDEX(data!$A$12:$AI$213,MATCH(HLOOKUP('II. Sledování projektu'!$L$5,vstupy!$N$2:$BY$180,$B76+1,0),data!$B$12:$B$213,0),35)),"",INDEX(data!$A$12:$AI$213,MATCH(HLOOKUP('II. Sledování projektu'!$L$5,vstupy!$N$2:$BY$180,$B76+1,0),data!$B$12:$B$213,0),35))</f>
        <v>80.235510976439315</v>
      </c>
      <c r="E76" s="49">
        <f>IF(ISERROR(INDEX(data!$A$12:$AI$213,MATCH(HLOOKUP('II. Sledování projektu'!$L$5,vstupy!$N$2:$BY$180,$B76+1,0),data!$B$12:$B$213,0),27)),"",INDEX(data!$A$12:$AI$213,MATCH(HLOOKUP('II. Sledování projektu'!$L$5,vstupy!$N$2:$BY$180,$B76+1,0),data!$B$12:$B$213,0),27))</f>
        <v>1766250</v>
      </c>
      <c r="F76" s="54">
        <f>IF(ISERROR(INDEX(data!$A$12:$AI$213,MATCH(HLOOKUP('II. Sledování projektu'!$L$5,vstupy!$N$2:$BY$180,$B76+1,0),data!$B$12:$B$213,0),28)),"",INDEX(data!$A$12:$AI$213,MATCH(HLOOKUP('II. Sledování projektu'!$L$5,vstupy!$N$2:$BY$180,$B76+1,0),data!$B$12:$B$213,0),28))</f>
        <v>1751756.4</v>
      </c>
      <c r="G76" s="53">
        <f t="shared" si="9"/>
        <v>0.99179414012738853</v>
      </c>
      <c r="H76" s="53">
        <f>IF(ISERROR(INDEX(data!$A$12:$AI$213,MATCH(HLOOKUP('II. Sledování projektu'!$L$5,vstupy!$N$2:$BY$180,$B76+1,0),data!$B$12:$B$213,0),29)),"",INDEX(data!$A$12:$AI$213,MATCH(HLOOKUP('II. Sledování projektu'!$L$5,vstupy!$N$2:$BY$180,$B76+1,0),data!$B$12:$B$213,0),29))</f>
        <v>0.25750000000000001</v>
      </c>
      <c r="I76" s="54">
        <f>IF(ISERROR(INDEX(data!$A$12:$AI$213,MATCH(HLOOKUP('II. Sledování projektu'!$L$5,vstupy!$N$2:$BY$180,$B76+1,0),data!$B$12:$B$213,0),31)),"",INDEX(data!$A$12:$AI$213,MATCH(HLOOKUP('II. Sledování projektu'!$L$5,vstupy!$N$2:$BY$180,$B76+1,0),data!$B$12:$B$213,0),31))</f>
        <v>304991.46000000002</v>
      </c>
      <c r="J76" s="53">
        <f t="shared" si="10"/>
        <v>0.17267740127388537</v>
      </c>
      <c r="K76" s="53">
        <f t="shared" si="12"/>
        <v>0.67059184960732177</v>
      </c>
      <c r="L76" s="54">
        <f>IF(ISERROR(INDEX(data!$A$12:$AI$213,MATCH(HLOOKUP('II. Sledování projektu'!$L$5,vstupy!$N$2:$BY$180,$B76+1,0),data!$B$12:$B$213,0),32)),"",INDEX(data!$A$12:$AI$213,MATCH(HLOOKUP('II. Sledování projektu'!$L$5,vstupy!$N$2:$BY$180,$B76+1,0),data!$B$12:$B$213,0),32))</f>
        <v>111319.19</v>
      </c>
      <c r="M76" s="53">
        <f t="shared" si="8"/>
        <v>0.26739452858100077</v>
      </c>
      <c r="N76" s="54">
        <f>IF(ISERROR(VLOOKUP(C76,data!$C$12:$AD$213,28,0)),0,VLOOKUP(C76,data!$C$12:$AD$213,28,0))</f>
        <v>454809.375</v>
      </c>
    </row>
    <row r="77" spans="2:14" x14ac:dyDescent="0.2">
      <c r="B77" s="19">
        <f t="shared" si="11"/>
        <v>72</v>
      </c>
      <c r="C77" s="19" t="str">
        <f>IF(ISERROR(INDEX(data!$A$12:$AI$213,MATCH(HLOOKUP('II. Sledování projektu'!$L$5,vstupy!$N$2:$BY$180,$B77+1,0),data!$B$12:$B$213,0),3)),"",INDEX(data!$A$12:$AI$213,MATCH(HLOOKUP('II. Sledování projektu'!$L$5,vstupy!$N$2:$BY$180,$B77+1,0),data!$B$12:$B$213,0),3))</f>
        <v>MŠ O-Radvanice</v>
      </c>
      <c r="D77" s="156">
        <f>IF(ISERROR(INDEX(data!$A$12:$AI$213,MATCH(HLOOKUP('II. Sledování projektu'!$L$5,vstupy!$N$2:$BY$180,$B77+1,0),data!$B$12:$B$213,0),35)),"",INDEX(data!$A$12:$AI$213,MATCH(HLOOKUP('II. Sledování projektu'!$L$5,vstupy!$N$2:$BY$180,$B77+1,0),data!$B$12:$B$213,0),35))</f>
        <v>25.114844500825999</v>
      </c>
      <c r="E77" s="49">
        <f>IF(ISERROR(INDEX(data!$A$12:$AI$213,MATCH(HLOOKUP('II. Sledování projektu'!$L$5,vstupy!$N$2:$BY$180,$B77+1,0),data!$B$12:$B$213,0),27)),"",INDEX(data!$A$12:$AI$213,MATCH(HLOOKUP('II. Sledování projektu'!$L$5,vstupy!$N$2:$BY$180,$B77+1,0),data!$B$12:$B$213,0),27))</f>
        <v>1414275</v>
      </c>
      <c r="F77" s="54">
        <f>IF(ISERROR(INDEX(data!$A$12:$AI$213,MATCH(HLOOKUP('II. Sledování projektu'!$L$5,vstupy!$N$2:$BY$180,$B77+1,0),data!$B$12:$B$213,0),28)),"",INDEX(data!$A$12:$AI$213,MATCH(HLOOKUP('II. Sledování projektu'!$L$5,vstupy!$N$2:$BY$180,$B77+1,0),data!$B$12:$B$213,0),28))</f>
        <v>39786.29</v>
      </c>
      <c r="G77" s="53">
        <f t="shared" si="9"/>
        <v>2.8131933322727194E-2</v>
      </c>
      <c r="H77" s="53">
        <f>IF(ISERROR(INDEX(data!$A$12:$AI$213,MATCH(HLOOKUP('II. Sledování projektu'!$L$5,vstupy!$N$2:$BY$180,$B77+1,0),data!$B$12:$B$213,0),29)),"",INDEX(data!$A$12:$AI$213,MATCH(HLOOKUP('II. Sledování projektu'!$L$5,vstupy!$N$2:$BY$180,$B77+1,0),data!$B$12:$B$213,0),29))</f>
        <v>0.3372</v>
      </c>
      <c r="I77" s="54">
        <f>IF(ISERROR(INDEX(data!$A$12:$AI$213,MATCH(HLOOKUP('II. Sledování projektu'!$L$5,vstupy!$N$2:$BY$180,$B77+1,0),data!$B$12:$B$213,0),31)),"",INDEX(data!$A$12:$AI$213,MATCH(HLOOKUP('II. Sledování projektu'!$L$5,vstupy!$N$2:$BY$180,$B77+1,0),data!$B$12:$B$213,0),31))</f>
        <v>188438.5</v>
      </c>
      <c r="J77" s="53">
        <f t="shared" si="10"/>
        <v>0.13324035283095578</v>
      </c>
      <c r="K77" s="53">
        <f t="shared" si="12"/>
        <v>0.39513746391149401</v>
      </c>
      <c r="L77" s="54">
        <f>IF(ISERROR(INDEX(data!$A$12:$AI$213,MATCH(HLOOKUP('II. Sledování projektu'!$L$5,vstupy!$N$2:$BY$180,$B77+1,0),data!$B$12:$B$213,0),32)),"",INDEX(data!$A$12:$AI$213,MATCH(HLOOKUP('II. Sledování projektu'!$L$5,vstupy!$N$2:$BY$180,$B77+1,0),data!$B$12:$B$213,0),32))</f>
        <v>124606.38</v>
      </c>
      <c r="M77" s="53">
        <f t="shared" si="8"/>
        <v>0.39804637597011649</v>
      </c>
      <c r="N77" s="54">
        <f>IF(ISERROR(VLOOKUP(C77,data!$C$12:$AD$213,28,0)),0,VLOOKUP(C77,data!$C$12:$AD$213,28,0))</f>
        <v>476893.53</v>
      </c>
    </row>
    <row r="78" spans="2:14" x14ac:dyDescent="0.2">
      <c r="B78" s="19">
        <f t="shared" si="11"/>
        <v>73</v>
      </c>
      <c r="C78" s="19" t="str">
        <f>IF(ISERROR(INDEX(data!$A$12:$AI$213,MATCH(HLOOKUP('II. Sledování projektu'!$L$5,vstupy!$N$2:$BY$180,$B78+1,0),data!$B$12:$B$213,0),3)),"",INDEX(data!$A$12:$AI$213,MATCH(HLOOKUP('II. Sledování projektu'!$L$5,vstupy!$N$2:$BY$180,$B78+1,0),data!$B$12:$B$213,0),3))</f>
        <v>MŠ O-Stará Bělá</v>
      </c>
      <c r="D78" s="156">
        <f>IF(ISERROR(INDEX(data!$A$12:$AI$213,MATCH(HLOOKUP('II. Sledování projektu'!$L$5,vstupy!$N$2:$BY$180,$B78+1,0),data!$B$12:$B$213,0),35)),"",INDEX(data!$A$12:$AI$213,MATCH(HLOOKUP('II. Sledování projektu'!$L$5,vstupy!$N$2:$BY$180,$B78+1,0),data!$B$12:$B$213,0),35))</f>
        <v>8.4484606259336683</v>
      </c>
      <c r="E78" s="49">
        <f>IF(ISERROR(INDEX(data!$A$12:$AI$213,MATCH(HLOOKUP('II. Sledování projektu'!$L$5,vstupy!$N$2:$BY$180,$B78+1,0),data!$B$12:$B$213,0),27)),"",INDEX(data!$A$12:$AI$213,MATCH(HLOOKUP('II. Sledování projektu'!$L$5,vstupy!$N$2:$BY$180,$B78+1,0),data!$B$12:$B$213,0),27))</f>
        <v>1163250</v>
      </c>
      <c r="F78" s="54">
        <f>IF(ISERROR(INDEX(data!$A$12:$AI$213,MATCH(HLOOKUP('II. Sledování projektu'!$L$5,vstupy!$N$2:$BY$180,$B78+1,0),data!$B$12:$B$213,0),28)),"",INDEX(data!$A$12:$AI$213,MATCH(HLOOKUP('II. Sledování projektu'!$L$5,vstupy!$N$2:$BY$180,$B78+1,0),data!$B$12:$B$213,0),28))</f>
        <v>3104.82</v>
      </c>
      <c r="G78" s="53">
        <f t="shared" si="9"/>
        <v>2.6690909090909092E-3</v>
      </c>
      <c r="H78" s="53">
        <f>IF(ISERROR(INDEX(data!$A$12:$AI$213,MATCH(HLOOKUP('II. Sledování projektu'!$L$5,vstupy!$N$2:$BY$180,$B78+1,0),data!$B$12:$B$213,0),29)),"",INDEX(data!$A$12:$AI$213,MATCH(HLOOKUP('II. Sledování projektu'!$L$5,vstupy!$N$2:$BY$180,$B78+1,0),data!$B$12:$B$213,0),29))</f>
        <v>0.1142</v>
      </c>
      <c r="I78" s="54">
        <f>IF(ISERROR(INDEX(data!$A$12:$AI$213,MATCH(HLOOKUP('II. Sledování projektu'!$L$5,vstupy!$N$2:$BY$180,$B78+1,0),data!$B$12:$B$213,0),31)),"",INDEX(data!$A$12:$AI$213,MATCH(HLOOKUP('II. Sledování projektu'!$L$5,vstupy!$N$2:$BY$180,$B78+1,0),data!$B$12:$B$213,0),31))</f>
        <v>18409.86</v>
      </c>
      <c r="J78" s="53">
        <f t="shared" si="10"/>
        <v>1.5826228239845263E-2</v>
      </c>
      <c r="K78" s="53">
        <f t="shared" si="12"/>
        <v>0.13858343467465203</v>
      </c>
      <c r="L78" s="54">
        <f>IF(ISERROR(INDEX(data!$A$12:$AI$213,MATCH(HLOOKUP('II. Sledování projektu'!$L$5,vstupy!$N$2:$BY$180,$B78+1,0),data!$B$12:$B$213,0),32)),"",INDEX(data!$A$12:$AI$213,MATCH(HLOOKUP('II. Sledování projektu'!$L$5,vstupy!$N$2:$BY$180,$B78+1,0),data!$B$12:$B$213,0),32))</f>
        <v>12885.18</v>
      </c>
      <c r="M78" s="53">
        <f t="shared" si="8"/>
        <v>0.41173233841528883</v>
      </c>
      <c r="N78" s="54">
        <f>IF(ISERROR(VLOOKUP(C78,data!$C$12:$AD$213,28,0)),0,VLOOKUP(C78,data!$C$12:$AD$213,28,0))</f>
        <v>132843.15</v>
      </c>
    </row>
    <row r="79" spans="2:14" x14ac:dyDescent="0.2">
      <c r="B79" s="19">
        <f t="shared" si="11"/>
        <v>74</v>
      </c>
      <c r="C79" s="19" t="str">
        <f>IF(ISERROR(INDEX(data!$A$12:$AI$213,MATCH(HLOOKUP('II. Sledování projektu'!$L$5,vstupy!$N$2:$BY$180,$B79+1,0),data!$B$12:$B$213,0),3)),"",INDEX(data!$A$12:$AI$213,MATCH(HLOOKUP('II. Sledování projektu'!$L$5,vstupy!$N$2:$BY$180,$B79+1,0),data!$B$12:$B$213,0),3))</f>
        <v>MŠ O-Vítkovice</v>
      </c>
      <c r="D79" s="156">
        <f>IF(ISERROR(INDEX(data!$A$12:$AI$213,MATCH(HLOOKUP('II. Sledování projektu'!$L$5,vstupy!$N$2:$BY$180,$B79+1,0),data!$B$12:$B$213,0),35)),"",INDEX(data!$A$12:$AI$213,MATCH(HLOOKUP('II. Sledování projektu'!$L$5,vstupy!$N$2:$BY$180,$B79+1,0),data!$B$12:$B$213,0),35))</f>
        <v>36.792804771563993</v>
      </c>
      <c r="E79" s="49">
        <f>IF(ISERROR(INDEX(data!$A$12:$AI$213,MATCH(HLOOKUP('II. Sledování projektu'!$L$5,vstupy!$N$2:$BY$180,$B79+1,0),data!$B$12:$B$213,0),27)),"",INDEX(data!$A$12:$AI$213,MATCH(HLOOKUP('II. Sledování projektu'!$L$5,vstupy!$N$2:$BY$180,$B79+1,0),data!$B$12:$B$213,0),27))</f>
        <v>1460625</v>
      </c>
      <c r="F79" s="54">
        <f>IF(ISERROR(INDEX(data!$A$12:$AI$213,MATCH(HLOOKUP('II. Sledování projektu'!$L$5,vstupy!$N$2:$BY$180,$B79+1,0),data!$B$12:$B$213,0),28)),"",INDEX(data!$A$12:$AI$213,MATCH(HLOOKUP('II. Sledování projektu'!$L$5,vstupy!$N$2:$BY$180,$B79+1,0),data!$B$12:$B$213,0),28))</f>
        <v>12996.13</v>
      </c>
      <c r="G79" s="53">
        <f t="shared" si="9"/>
        <v>8.8976499786050482E-3</v>
      </c>
      <c r="H79" s="53">
        <f>IF(ISERROR(INDEX(data!$A$12:$AI$213,MATCH(HLOOKUP('II. Sledování projektu'!$L$5,vstupy!$N$2:$BY$180,$B79+1,0),data!$B$12:$B$213,0),29)),"",INDEX(data!$A$12:$AI$213,MATCH(HLOOKUP('II. Sledování projektu'!$L$5,vstupy!$N$2:$BY$180,$B79+1,0),data!$B$12:$B$213,0),29))</f>
        <v>0.26200000000000001</v>
      </c>
      <c r="I79" s="54">
        <f>IF(ISERROR(INDEX(data!$A$12:$AI$213,MATCH(HLOOKUP('II. Sledování projektu'!$L$5,vstupy!$N$2:$BY$180,$B79+1,0),data!$B$12:$B$213,0),31)),"",INDEX(data!$A$12:$AI$213,MATCH(HLOOKUP('II. Sledování projektu'!$L$5,vstupy!$N$2:$BY$180,$B79+1,0),data!$B$12:$B$213,0),31))</f>
        <v>231829.32</v>
      </c>
      <c r="J79" s="53">
        <f t="shared" si="10"/>
        <v>0.15871926059050065</v>
      </c>
      <c r="K79" s="53">
        <f t="shared" si="12"/>
        <v>0.60579870454389562</v>
      </c>
      <c r="L79" s="54">
        <f>IF(ISERROR(INDEX(data!$A$12:$AI$213,MATCH(HLOOKUP('II. Sledování projektu'!$L$5,vstupy!$N$2:$BY$180,$B79+1,0),data!$B$12:$B$213,0),32)),"",INDEX(data!$A$12:$AI$213,MATCH(HLOOKUP('II. Sledování projektu'!$L$5,vstupy!$N$2:$BY$180,$B79+1,0),data!$B$12:$B$213,0),32))</f>
        <v>167627.41999999998</v>
      </c>
      <c r="M79" s="53">
        <f t="shared" si="8"/>
        <v>0.41963848200433418</v>
      </c>
      <c r="N79" s="54">
        <f>IF(ISERROR(VLOOKUP(C79,data!$C$12:$AD$213,28,0)),0,VLOOKUP(C79,data!$C$12:$AD$213,28,0))</f>
        <v>382683.75</v>
      </c>
    </row>
    <row r="80" spans="2:14" x14ac:dyDescent="0.2">
      <c r="B80" s="19">
        <f t="shared" si="11"/>
        <v>75</v>
      </c>
      <c r="C80" s="19" t="str">
        <f>IF(ISERROR(INDEX(data!$A$12:$AI$213,MATCH(HLOOKUP('II. Sledování projektu'!$L$5,vstupy!$N$2:$BY$180,$B80+1,0),data!$B$12:$B$213,0),3)),"",INDEX(data!$A$12:$AI$213,MATCH(HLOOKUP('II. Sledování projektu'!$L$5,vstupy!$N$2:$BY$180,$B80+1,0),data!$B$12:$B$213,0),3))</f>
        <v>MŠ Poděbradova</v>
      </c>
      <c r="D80" s="156">
        <f>IF(ISERROR(INDEX(data!$A$12:$AI$213,MATCH(HLOOKUP('II. Sledování projektu'!$L$5,vstupy!$N$2:$BY$180,$B80+1,0),data!$B$12:$B$213,0),35)),"",INDEX(data!$A$12:$AI$213,MATCH(HLOOKUP('II. Sledování projektu'!$L$5,vstupy!$N$2:$BY$180,$B80+1,0),data!$B$12:$B$213,0),35))</f>
        <v>34.758440913604773</v>
      </c>
      <c r="E80" s="49">
        <f>IF(ISERROR(INDEX(data!$A$12:$AI$213,MATCH(HLOOKUP('II. Sledování projektu'!$L$5,vstupy!$N$2:$BY$180,$B80+1,0),data!$B$12:$B$213,0),27)),"",INDEX(data!$A$12:$AI$213,MATCH(HLOOKUP('II. Sledování projektu'!$L$5,vstupy!$N$2:$BY$180,$B80+1,0),data!$B$12:$B$213,0),27))</f>
        <v>755250</v>
      </c>
      <c r="F80" s="54">
        <f>IF(ISERROR(INDEX(data!$A$12:$AI$213,MATCH(HLOOKUP('II. Sledování projektu'!$L$5,vstupy!$N$2:$BY$180,$B80+1,0),data!$B$12:$B$213,0),28)),"",INDEX(data!$A$12:$AI$213,MATCH(HLOOKUP('II. Sledování projektu'!$L$5,vstupy!$N$2:$BY$180,$B80+1,0),data!$B$12:$B$213,0),28))</f>
        <v>0</v>
      </c>
      <c r="G80" s="53">
        <f t="shared" si="9"/>
        <v>0</v>
      </c>
      <c r="H80" s="53">
        <f>IF(ISERROR(INDEX(data!$A$12:$AI$213,MATCH(HLOOKUP('II. Sledování projektu'!$L$5,vstupy!$N$2:$BY$180,$B80+1,0),data!$B$12:$B$213,0),29)),"",INDEX(data!$A$12:$AI$213,MATCH(HLOOKUP('II. Sledování projektu'!$L$5,vstupy!$N$2:$BY$180,$B80+1,0),data!$B$12:$B$213,0),29))</f>
        <v>0.24</v>
      </c>
      <c r="I80" s="54">
        <f>IF(ISERROR(INDEX(data!$A$12:$AI$213,MATCH(HLOOKUP('II. Sledování projektu'!$L$5,vstupy!$N$2:$BY$180,$B80+1,0),data!$B$12:$B$213,0),31)),"",INDEX(data!$A$12:$AI$213,MATCH(HLOOKUP('II. Sledování projektu'!$L$5,vstupy!$N$2:$BY$180,$B80+1,0),data!$B$12:$B$213,0),31))</f>
        <v>105005.25</v>
      </c>
      <c r="J80" s="53">
        <f t="shared" si="10"/>
        <v>0.13903376365441908</v>
      </c>
      <c r="K80" s="53">
        <f t="shared" si="12"/>
        <v>0.57930734856007948</v>
      </c>
      <c r="L80" s="54">
        <f>IF(ISERROR(INDEX(data!$A$12:$AI$213,MATCH(HLOOKUP('II. Sledování projektu'!$L$5,vstupy!$N$2:$BY$180,$B80+1,0),data!$B$12:$B$213,0),32)),"",INDEX(data!$A$12:$AI$213,MATCH(HLOOKUP('II. Sledování projektu'!$L$5,vstupy!$N$2:$BY$180,$B80+1,0),data!$B$12:$B$213,0),32))</f>
        <v>83090.070000000007</v>
      </c>
      <c r="M80" s="53">
        <f t="shared" si="8"/>
        <v>0.44174448359480717</v>
      </c>
      <c r="N80" s="54">
        <f>IF(ISERROR(VLOOKUP(C80,data!$C$12:$AD$213,28,0)),0,VLOOKUP(C80,data!$C$12:$AD$213,28,0))</f>
        <v>181260</v>
      </c>
    </row>
    <row r="81" spans="2:14" x14ac:dyDescent="0.2">
      <c r="B81" s="19">
        <f t="shared" si="11"/>
        <v>76</v>
      </c>
      <c r="C81" s="19" t="str">
        <f>IF(ISERROR(INDEX(data!$A$12:$AI$213,MATCH(HLOOKUP('II. Sledování projektu'!$L$5,vstupy!$N$2:$BY$180,$B81+1,0),data!$B$12:$B$213,0),3)),"",INDEX(data!$A$12:$AI$213,MATCH(HLOOKUP('II. Sledování projektu'!$L$5,vstupy!$N$2:$BY$180,$B81+1,0),data!$B$12:$B$213,0),3))</f>
        <v>MŠ Polanka</v>
      </c>
      <c r="D81" s="156">
        <f>IF(ISERROR(INDEX(data!$A$12:$AI$213,MATCH(HLOOKUP('II. Sledování projektu'!$L$5,vstupy!$N$2:$BY$180,$B81+1,0),data!$B$12:$B$213,0),35)),"",INDEX(data!$A$12:$AI$213,MATCH(HLOOKUP('II. Sledování projektu'!$L$5,vstupy!$N$2:$BY$180,$B81+1,0),data!$B$12:$B$213,0),35))</f>
        <v>11.055118700941959</v>
      </c>
      <c r="E81" s="49">
        <f>IF(ISERROR(INDEX(data!$A$12:$AI$213,MATCH(HLOOKUP('II. Sledování projektu'!$L$5,vstupy!$N$2:$BY$180,$B81+1,0),data!$B$12:$B$213,0),27)),"",INDEX(data!$A$12:$AI$213,MATCH(HLOOKUP('II. Sledování projektu'!$L$5,vstupy!$N$2:$BY$180,$B81+1,0),data!$B$12:$B$213,0),27))</f>
        <v>1311623.25</v>
      </c>
      <c r="F81" s="54">
        <f>IF(ISERROR(INDEX(data!$A$12:$AI$213,MATCH(HLOOKUP('II. Sledování projektu'!$L$5,vstupy!$N$2:$BY$180,$B81+1,0),data!$B$12:$B$213,0),28)),"",INDEX(data!$A$12:$AI$213,MATCH(HLOOKUP('II. Sledování projektu'!$L$5,vstupy!$N$2:$BY$180,$B81+1,0),data!$B$12:$B$213,0),28))</f>
        <v>14241.96</v>
      </c>
      <c r="G81" s="53">
        <f t="shared" si="9"/>
        <v>1.0858270467529452E-2</v>
      </c>
      <c r="H81" s="53">
        <f>IF(ISERROR(INDEX(data!$A$12:$AI$213,MATCH(HLOOKUP('II. Sledování projektu'!$L$5,vstupy!$N$2:$BY$180,$B81+1,0),data!$B$12:$B$213,0),29)),"",INDEX(data!$A$12:$AI$213,MATCH(HLOOKUP('II. Sledování projektu'!$L$5,vstupy!$N$2:$BY$180,$B81+1,0),data!$B$12:$B$213,0),29))</f>
        <v>0.23899999999999999</v>
      </c>
      <c r="I81" s="54">
        <f>IF(ISERROR(INDEX(data!$A$12:$AI$213,MATCH(HLOOKUP('II. Sledování projektu'!$L$5,vstupy!$N$2:$BY$180,$B81+1,0),data!$B$12:$B$213,0),31)),"",INDEX(data!$A$12:$AI$213,MATCH(HLOOKUP('II. Sledování projektu'!$L$5,vstupy!$N$2:$BY$180,$B81+1,0),data!$B$12:$B$213,0),31))</f>
        <v>54922.409999999996</v>
      </c>
      <c r="J81" s="53">
        <f t="shared" si="10"/>
        <v>4.1873617290635858E-2</v>
      </c>
      <c r="K81" s="53">
        <f t="shared" si="12"/>
        <v>0.17520341962609143</v>
      </c>
      <c r="L81" s="54">
        <f>IF(ISERROR(INDEX(data!$A$12:$AI$213,MATCH(HLOOKUP('II. Sledování projektu'!$L$5,vstupy!$N$2:$BY$180,$B81+1,0),data!$B$12:$B$213,0),32)),"",INDEX(data!$A$12:$AI$213,MATCH(HLOOKUP('II. Sledování projektu'!$L$5,vstupy!$N$2:$BY$180,$B81+1,0),data!$B$12:$B$213,0),32))</f>
        <v>37774.800000000003</v>
      </c>
      <c r="M81" s="53">
        <f t="shared" si="8"/>
        <v>0.40750741041720678</v>
      </c>
      <c r="N81" s="54">
        <f>IF(ISERROR(VLOOKUP(C81,data!$C$12:$AD$213,28,0)),0,VLOOKUP(C81,data!$C$12:$AD$213,28,0))</f>
        <v>313477.95675000001</v>
      </c>
    </row>
    <row r="82" spans="2:14" x14ac:dyDescent="0.2">
      <c r="B82" s="19">
        <f t="shared" si="11"/>
        <v>77</v>
      </c>
      <c r="C82" s="19" t="str">
        <f>IF(ISERROR(INDEX(data!$A$12:$AI$213,MATCH(HLOOKUP('II. Sledování projektu'!$L$5,vstupy!$N$2:$BY$180,$B82+1,0),data!$B$12:$B$213,0),3)),"",INDEX(data!$A$12:$AI$213,MATCH(HLOOKUP('II. Sledování projektu'!$L$5,vstupy!$N$2:$BY$180,$B82+1,0),data!$B$12:$B$213,0),3))</f>
        <v>MŠ Repinova</v>
      </c>
      <c r="D82" s="156">
        <f>IF(ISERROR(INDEX(data!$A$12:$AI$213,MATCH(HLOOKUP('II. Sledování projektu'!$L$5,vstupy!$N$2:$BY$180,$B82+1,0),data!$B$12:$B$213,0),35)),"",INDEX(data!$A$12:$AI$213,MATCH(HLOOKUP('II. Sledování projektu'!$L$5,vstupy!$N$2:$BY$180,$B82+1,0),data!$B$12:$B$213,0),35))</f>
        <v>7.5159933880359198</v>
      </c>
      <c r="E82" s="49">
        <f>IF(ISERROR(INDEX(data!$A$12:$AI$213,MATCH(HLOOKUP('II. Sledování projektu'!$L$5,vstupy!$N$2:$BY$180,$B82+1,0),data!$B$12:$B$213,0),27)),"",INDEX(data!$A$12:$AI$213,MATCH(HLOOKUP('II. Sledování projektu'!$L$5,vstupy!$N$2:$BY$180,$B82+1,0),data!$B$12:$B$213,0),27))</f>
        <v>1086000</v>
      </c>
      <c r="F82" s="54">
        <f>IF(ISERROR(INDEX(data!$A$12:$AI$213,MATCH(HLOOKUP('II. Sledování projektu'!$L$5,vstupy!$N$2:$BY$180,$B82+1,0),data!$B$12:$B$213,0),28)),"",INDEX(data!$A$12:$AI$213,MATCH(HLOOKUP('II. Sledování projektu'!$L$5,vstupy!$N$2:$BY$180,$B82+1,0),data!$B$12:$B$213,0),28))</f>
        <v>4455.84</v>
      </c>
      <c r="G82" s="53">
        <f t="shared" si="9"/>
        <v>4.1029834254143645E-3</v>
      </c>
      <c r="H82" s="53">
        <f>IF(ISERROR(INDEX(data!$A$12:$AI$213,MATCH(HLOOKUP('II. Sledování projektu'!$L$5,vstupy!$N$2:$BY$180,$B82+1,0),data!$B$12:$B$213,0),29)),"",INDEX(data!$A$12:$AI$213,MATCH(HLOOKUP('II. Sledování projektu'!$L$5,vstupy!$N$2:$BY$180,$B82+1,0),data!$B$12:$B$213,0),29))</f>
        <v>0.1484</v>
      </c>
      <c r="I82" s="54">
        <f>IF(ISERROR(INDEX(data!$A$12:$AI$213,MATCH(HLOOKUP('II. Sledování projektu'!$L$5,vstupy!$N$2:$BY$180,$B82+1,0),data!$B$12:$B$213,0),31)),"",INDEX(data!$A$12:$AI$213,MATCH(HLOOKUP('II. Sledování projektu'!$L$5,vstupy!$N$2:$BY$180,$B82+1,0),data!$B$12:$B$213,0),31))</f>
        <v>19637.22</v>
      </c>
      <c r="J82" s="53">
        <f t="shared" si="10"/>
        <v>1.8082154696132599E-2</v>
      </c>
      <c r="K82" s="53">
        <f t="shared" si="12"/>
        <v>0.12184740361275335</v>
      </c>
      <c r="L82" s="54">
        <f>IF(ISERROR(INDEX(data!$A$12:$AI$213,MATCH(HLOOKUP('II. Sledování projektu'!$L$5,vstupy!$N$2:$BY$180,$B82+1,0),data!$B$12:$B$213,0),32)),"",INDEX(data!$A$12:$AI$213,MATCH(HLOOKUP('II. Sledování projektu'!$L$5,vstupy!$N$2:$BY$180,$B82+1,0),data!$B$12:$B$213,0),32))</f>
        <v>19461.060000000001</v>
      </c>
      <c r="M82" s="53">
        <f t="shared" si="8"/>
        <v>0.49774721547853262</v>
      </c>
      <c r="N82" s="54">
        <f>IF(ISERROR(VLOOKUP(C82,data!$C$12:$AD$213,28,0)),0,VLOOKUP(C82,data!$C$12:$AD$213,28,0))</f>
        <v>161162.4</v>
      </c>
    </row>
    <row r="83" spans="2:14" x14ac:dyDescent="0.2">
      <c r="B83" s="19">
        <f t="shared" si="11"/>
        <v>78</v>
      </c>
      <c r="C83" s="19" t="str">
        <f>IF(ISERROR(INDEX(data!$A$12:$AI$213,MATCH(HLOOKUP('II. Sledování projektu'!$L$5,vstupy!$N$2:$BY$180,$B83+1,0),data!$B$12:$B$213,0),3)),"",INDEX(data!$A$12:$AI$213,MATCH(HLOOKUP('II. Sledování projektu'!$L$5,vstupy!$N$2:$BY$180,$B83+1,0),data!$B$12:$B$213,0),3))</f>
        <v>MŠ Sládečkova</v>
      </c>
      <c r="D83" s="156">
        <f>IF(ISERROR(INDEX(data!$A$12:$AI$213,MATCH(HLOOKUP('II. Sledování projektu'!$L$5,vstupy!$N$2:$BY$180,$B83+1,0),data!$B$12:$B$213,0),35)),"",INDEX(data!$A$12:$AI$213,MATCH(HLOOKUP('II. Sledování projektu'!$L$5,vstupy!$N$2:$BY$180,$B83+1,0),data!$B$12:$B$213,0),35))</f>
        <v>38.646437638903784</v>
      </c>
      <c r="E83" s="49">
        <f>IF(ISERROR(INDEX(data!$A$12:$AI$213,MATCH(HLOOKUP('II. Sledování projektu'!$L$5,vstupy!$N$2:$BY$180,$B83+1,0),data!$B$12:$B$213,0),27)),"",INDEX(data!$A$12:$AI$213,MATCH(HLOOKUP('II. Sledování projektu'!$L$5,vstupy!$N$2:$BY$180,$B83+1,0),data!$B$12:$B$213,0),27))</f>
        <v>536100</v>
      </c>
      <c r="F83" s="54">
        <f>IF(ISERROR(INDEX(data!$A$12:$AI$213,MATCH(HLOOKUP('II. Sledování projektu'!$L$5,vstupy!$N$2:$BY$180,$B83+1,0),data!$B$12:$B$213,0),28)),"",INDEX(data!$A$12:$AI$213,MATCH(HLOOKUP('II. Sledování projektu'!$L$5,vstupy!$N$2:$BY$180,$B83+1,0),data!$B$12:$B$213,0),28))</f>
        <v>0</v>
      </c>
      <c r="G83" s="53">
        <f t="shared" si="9"/>
        <v>0</v>
      </c>
      <c r="H83" s="53">
        <f>IF(ISERROR(INDEX(data!$A$12:$AI$213,MATCH(HLOOKUP('II. Sledování projektu'!$L$5,vstupy!$N$2:$BY$180,$B83+1,0),data!$B$12:$B$213,0),29)),"",INDEX(data!$A$12:$AI$213,MATCH(HLOOKUP('II. Sledování projektu'!$L$5,vstupy!$N$2:$BY$180,$B83+1,0),data!$B$12:$B$213,0),29))</f>
        <v>0.26350000000000001</v>
      </c>
      <c r="I83" s="54">
        <f>IF(ISERROR(INDEX(data!$A$12:$AI$213,MATCH(HLOOKUP('II. Sledování projektu'!$L$5,vstupy!$N$2:$BY$180,$B83+1,0),data!$B$12:$B$213,0),31)),"",INDEX(data!$A$12:$AI$213,MATCH(HLOOKUP('II. Sledování projektu'!$L$5,vstupy!$N$2:$BY$180,$B83+1,0),data!$B$12:$B$213,0),31))</f>
        <v>90988.11</v>
      </c>
      <c r="J83" s="53">
        <f t="shared" si="10"/>
        <v>0.16972227196418579</v>
      </c>
      <c r="K83" s="53">
        <f t="shared" si="12"/>
        <v>0.64410729398172972</v>
      </c>
      <c r="L83" s="54">
        <f>IF(ISERROR(INDEX(data!$A$12:$AI$213,MATCH(HLOOKUP('II. Sledování projektu'!$L$5,vstupy!$N$2:$BY$180,$B83+1,0),data!$B$12:$B$213,0),32)),"",INDEX(data!$A$12:$AI$213,MATCH(HLOOKUP('II. Sledování projektu'!$L$5,vstupy!$N$2:$BY$180,$B83+1,0),data!$B$12:$B$213,0),32))</f>
        <v>66245.399999999994</v>
      </c>
      <c r="M83" s="53">
        <f t="shared" si="8"/>
        <v>0.42131858533209615</v>
      </c>
      <c r="N83" s="54">
        <f>IF(ISERROR(VLOOKUP(C83,data!$C$12:$AD$213,28,0)),0,VLOOKUP(C83,data!$C$12:$AD$213,28,0))</f>
        <v>141262.35</v>
      </c>
    </row>
    <row r="84" spans="2:14" x14ac:dyDescent="0.2">
      <c r="B84" s="19">
        <f t="shared" si="11"/>
        <v>79</v>
      </c>
      <c r="C84" s="19" t="str">
        <f>IF(ISERROR(INDEX(data!$A$12:$AI$213,MATCH(HLOOKUP('II. Sledování projektu'!$L$5,vstupy!$N$2:$BY$180,$B84+1,0),data!$B$12:$B$213,0),3)),"",INDEX(data!$A$12:$AI$213,MATCH(HLOOKUP('II. Sledování projektu'!$L$5,vstupy!$N$2:$BY$180,$B84+1,0),data!$B$12:$B$213,0),3))</f>
        <v>MŠ Staňkova</v>
      </c>
      <c r="D84" s="156">
        <f>IF(ISERROR(INDEX(data!$A$12:$AI$213,MATCH(HLOOKUP('II. Sledování projektu'!$L$5,vstupy!$N$2:$BY$180,$B84+1,0),data!$B$12:$B$213,0),35)),"",INDEX(data!$A$12:$AI$213,MATCH(HLOOKUP('II. Sledování projektu'!$L$5,vstupy!$N$2:$BY$180,$B84+1,0),data!$B$12:$B$213,0),35))</f>
        <v>30.405631744520285</v>
      </c>
      <c r="E84" s="49">
        <f>IF(ISERROR(INDEX(data!$A$12:$AI$213,MATCH(HLOOKUP('II. Sledování projektu'!$L$5,vstupy!$N$2:$BY$180,$B84+1,0),data!$B$12:$B$213,0),27)),"",INDEX(data!$A$12:$AI$213,MATCH(HLOOKUP('II. Sledování projektu'!$L$5,vstupy!$N$2:$BY$180,$B84+1,0),data!$B$12:$B$213,0),27))</f>
        <v>2259486</v>
      </c>
      <c r="F84" s="54">
        <f>IF(ISERROR(INDEX(data!$A$12:$AI$213,MATCH(HLOOKUP('II. Sledování projektu'!$L$5,vstupy!$N$2:$BY$180,$B84+1,0),data!$B$12:$B$213,0),28)),"",INDEX(data!$A$12:$AI$213,MATCH(HLOOKUP('II. Sledování projektu'!$L$5,vstupy!$N$2:$BY$180,$B84+1,0),data!$B$12:$B$213,0),28))</f>
        <v>756694.59</v>
      </c>
      <c r="G84" s="53">
        <f t="shared" si="9"/>
        <v>0.33489678183445259</v>
      </c>
      <c r="H84" s="53">
        <f>IF(ISERROR(INDEX(data!$A$12:$AI$213,MATCH(HLOOKUP('II. Sledování projektu'!$L$5,vstupy!$N$2:$BY$180,$B84+1,0),data!$B$12:$B$213,0),29)),"",INDEX(data!$A$12:$AI$213,MATCH(HLOOKUP('II. Sledování projektu'!$L$5,vstupy!$N$2:$BY$180,$B84+1,0),data!$B$12:$B$213,0),29))</f>
        <v>0.2737</v>
      </c>
      <c r="I84" s="54">
        <f>IF(ISERROR(INDEX(data!$A$12:$AI$213,MATCH(HLOOKUP('II. Sledování projektu'!$L$5,vstupy!$N$2:$BY$180,$B84+1,0),data!$B$12:$B$213,0),31)),"",INDEX(data!$A$12:$AI$213,MATCH(HLOOKUP('II. Sledování projektu'!$L$5,vstupy!$N$2:$BY$180,$B84+1,0),data!$B$12:$B$213,0),31))</f>
        <v>140802.09</v>
      </c>
      <c r="J84" s="53">
        <f t="shared" si="10"/>
        <v>6.2315982484511964E-2</v>
      </c>
      <c r="K84" s="53">
        <f t="shared" si="12"/>
        <v>0.22767987754662758</v>
      </c>
      <c r="L84" s="54">
        <f>IF(ISERROR(INDEX(data!$A$12:$AI$213,MATCH(HLOOKUP('II. Sledování projektu'!$L$5,vstupy!$N$2:$BY$180,$B84+1,0),data!$B$12:$B$213,0),32)),"",INDEX(data!$A$12:$AI$213,MATCH(HLOOKUP('II. Sledování projektu'!$L$5,vstupy!$N$2:$BY$180,$B84+1,0),data!$B$12:$B$213,0),32))</f>
        <v>68845.55</v>
      </c>
      <c r="M84" s="53">
        <f t="shared" si="8"/>
        <v>0.32838695441551358</v>
      </c>
      <c r="N84" s="54">
        <f>IF(ISERROR(VLOOKUP(C84,data!$C$12:$AD$213,28,0)),0,VLOOKUP(C84,data!$C$12:$AD$213,28,0))</f>
        <v>618421.31819999998</v>
      </c>
    </row>
    <row r="85" spans="2:14" x14ac:dyDescent="0.2">
      <c r="B85" s="19">
        <f t="shared" si="11"/>
        <v>80</v>
      </c>
      <c r="C85" s="19" t="str">
        <f>IF(ISERROR(INDEX(data!$A$12:$AI$213,MATCH(HLOOKUP('II. Sledování projektu'!$L$5,vstupy!$N$2:$BY$180,$B85+1,0),data!$B$12:$B$213,0),3)),"",INDEX(data!$A$12:$AI$213,MATCH(HLOOKUP('II. Sledování projektu'!$L$5,vstupy!$N$2:$BY$180,$B85+1,0),data!$B$12:$B$213,0),3))</f>
        <v>MŠ Šafaříkova</v>
      </c>
      <c r="D85" s="156">
        <f>IF(ISERROR(INDEX(data!$A$12:$AI$213,MATCH(HLOOKUP('II. Sledování projektu'!$L$5,vstupy!$N$2:$BY$180,$B85+1,0),data!$B$12:$B$213,0),35)),"",INDEX(data!$A$12:$AI$213,MATCH(HLOOKUP('II. Sledování projektu'!$L$5,vstupy!$N$2:$BY$180,$B85+1,0),data!$B$12:$B$213,0),35))</f>
        <v>3.1908257814886469</v>
      </c>
      <c r="E85" s="49">
        <f>IF(ISERROR(INDEX(data!$A$12:$AI$213,MATCH(HLOOKUP('II. Sledování projektu'!$L$5,vstupy!$N$2:$BY$180,$B85+1,0),data!$B$12:$B$213,0),27)),"",INDEX(data!$A$12:$AI$213,MATCH(HLOOKUP('II. Sledování projektu'!$L$5,vstupy!$N$2:$BY$180,$B85+1,0),data!$B$12:$B$213,0),27))</f>
        <v>840000</v>
      </c>
      <c r="F85" s="54">
        <f>IF(ISERROR(INDEX(data!$A$12:$AI$213,MATCH(HLOOKUP('II. Sledování projektu'!$L$5,vstupy!$N$2:$BY$180,$B85+1,0),data!$B$12:$B$213,0),28)),"",INDEX(data!$A$12:$AI$213,MATCH(HLOOKUP('II. Sledování projektu'!$L$5,vstupy!$N$2:$BY$180,$B85+1,0),data!$B$12:$B$213,0),28))</f>
        <v>0</v>
      </c>
      <c r="G85" s="53">
        <f t="shared" si="9"/>
        <v>0</v>
      </c>
      <c r="H85" s="53">
        <f>IF(ISERROR(INDEX(data!$A$12:$AI$213,MATCH(HLOOKUP('II. Sledování projektu'!$L$5,vstupy!$N$2:$BY$180,$B85+1,0),data!$B$12:$B$213,0),29)),"",INDEX(data!$A$12:$AI$213,MATCH(HLOOKUP('II. Sledování projektu'!$L$5,vstupy!$N$2:$BY$180,$B85+1,0),data!$B$12:$B$213,0),29))</f>
        <v>0.14030000000000001</v>
      </c>
      <c r="I85" s="54">
        <f>IF(ISERROR(INDEX(data!$A$12:$AI$213,MATCH(HLOOKUP('II. Sledování projektu'!$L$5,vstupy!$N$2:$BY$180,$B85+1,0),data!$B$12:$B$213,0),31)),"",INDEX(data!$A$12:$AI$213,MATCH(HLOOKUP('II. Sledování projektu'!$L$5,vstupy!$N$2:$BY$180,$B85+1,0),data!$B$12:$B$213,0),31))</f>
        <v>6267.42</v>
      </c>
      <c r="J85" s="53">
        <f t="shared" si="10"/>
        <v>7.4612142857142854E-3</v>
      </c>
      <c r="K85" s="53">
        <f t="shared" si="12"/>
        <v>5.3180429691477446E-2</v>
      </c>
      <c r="L85" s="54">
        <f>IF(ISERROR(INDEX(data!$A$12:$AI$213,MATCH(HLOOKUP('II. Sledování projektu'!$L$5,vstupy!$N$2:$BY$180,$B85+1,0),data!$B$12:$B$213,0),32)),"",INDEX(data!$A$12:$AI$213,MATCH(HLOOKUP('II. Sledování projektu'!$L$5,vstupy!$N$2:$BY$180,$B85+1,0),data!$B$12:$B$213,0),32))</f>
        <v>9250.65</v>
      </c>
      <c r="M85" s="53">
        <f t="shared" si="8"/>
        <v>0.59612116712967522</v>
      </c>
      <c r="N85" s="54">
        <f>IF(ISERROR(VLOOKUP(C85,data!$C$12:$AD$213,28,0)),0,VLOOKUP(C85,data!$C$12:$AD$213,28,0))</f>
        <v>117852</v>
      </c>
    </row>
    <row r="86" spans="2:14" x14ac:dyDescent="0.2">
      <c r="B86" s="19">
        <f t="shared" si="11"/>
        <v>81</v>
      </c>
      <c r="C86" s="19" t="str">
        <f>IF(ISERROR(INDEX(data!$A$12:$AI$213,MATCH(HLOOKUP('II. Sledování projektu'!$L$5,vstupy!$N$2:$BY$180,$B86+1,0),data!$B$12:$B$213,0),3)),"",INDEX(data!$A$12:$AI$213,MATCH(HLOOKUP('II. Sledování projektu'!$L$5,vstupy!$N$2:$BY$180,$B86+1,0),data!$B$12:$B$213,0),3))</f>
        <v>MŠ Špálova</v>
      </c>
      <c r="D86" s="156">
        <f>IF(ISERROR(INDEX(data!$A$12:$AI$213,MATCH(HLOOKUP('II. Sledování projektu'!$L$5,vstupy!$N$2:$BY$180,$B86+1,0),data!$B$12:$B$213,0),35)),"",INDEX(data!$A$12:$AI$213,MATCH(HLOOKUP('II. Sledování projektu'!$L$5,vstupy!$N$2:$BY$180,$B86+1,0),data!$B$12:$B$213,0),35))</f>
        <v>5.9421321117875872</v>
      </c>
      <c r="E86" s="49">
        <f>IF(ISERROR(INDEX(data!$A$12:$AI$213,MATCH(HLOOKUP('II. Sledování projektu'!$L$5,vstupy!$N$2:$BY$180,$B86+1,0),data!$B$12:$B$213,0),27)),"",INDEX(data!$A$12:$AI$213,MATCH(HLOOKUP('II. Sledování projektu'!$L$5,vstupy!$N$2:$BY$180,$B86+1,0),data!$B$12:$B$213,0),27))</f>
        <v>803250</v>
      </c>
      <c r="F86" s="54">
        <f>IF(ISERROR(INDEX(data!$A$12:$AI$213,MATCH(HLOOKUP('II. Sledování projektu'!$L$5,vstupy!$N$2:$BY$180,$B86+1,0),data!$B$12:$B$213,0),28)),"",INDEX(data!$A$12:$AI$213,MATCH(HLOOKUP('II. Sledování projektu'!$L$5,vstupy!$N$2:$BY$180,$B86+1,0),data!$B$12:$B$213,0),28))</f>
        <v>0</v>
      </c>
      <c r="G86" s="53">
        <f t="shared" si="9"/>
        <v>0</v>
      </c>
      <c r="H86" s="53">
        <f>IF(ISERROR(INDEX(data!$A$12:$AI$213,MATCH(HLOOKUP('II. Sledování projektu'!$L$5,vstupy!$N$2:$BY$180,$B86+1,0),data!$B$12:$B$213,0),29)),"",INDEX(data!$A$12:$AI$213,MATCH(HLOOKUP('II. Sledování projektu'!$L$5,vstupy!$N$2:$BY$180,$B86+1,0),data!$B$12:$B$213,0),29))</f>
        <v>0.18729999999999999</v>
      </c>
      <c r="I86" s="54">
        <f>IF(ISERROR(INDEX(data!$A$12:$AI$213,MATCH(HLOOKUP('II. Sledování projektu'!$L$5,vstupy!$N$2:$BY$180,$B86+1,0),data!$B$12:$B$213,0),31)),"",INDEX(data!$A$12:$AI$213,MATCH(HLOOKUP('II. Sledování projektu'!$L$5,vstupy!$N$2:$BY$180,$B86+1,0),data!$B$12:$B$213,0),31))</f>
        <v>14899.77</v>
      </c>
      <c r="J86" s="53">
        <f t="shared" si="10"/>
        <v>1.8549355742296918E-2</v>
      </c>
      <c r="K86" s="53">
        <f t="shared" si="12"/>
        <v>9.9035535196459787E-2</v>
      </c>
      <c r="L86" s="54">
        <f>IF(ISERROR(INDEX(data!$A$12:$AI$213,MATCH(HLOOKUP('II. Sledování projektu'!$L$5,vstupy!$N$2:$BY$180,$B86+1,0),data!$B$12:$B$213,0),32)),"",INDEX(data!$A$12:$AI$213,MATCH(HLOOKUP('II. Sledování projektu'!$L$5,vstupy!$N$2:$BY$180,$B86+1,0),data!$B$12:$B$213,0),32))</f>
        <v>13289.85</v>
      </c>
      <c r="M86" s="53">
        <f t="shared" si="8"/>
        <v>0.4714448084082013</v>
      </c>
      <c r="N86" s="54">
        <f>IF(ISERROR(VLOOKUP(C86,data!$C$12:$AD$213,28,0)),0,VLOOKUP(C86,data!$C$12:$AD$213,28,0))</f>
        <v>150448.72500000001</v>
      </c>
    </row>
    <row r="87" spans="2:14" x14ac:dyDescent="0.2">
      <c r="B87" s="19">
        <f t="shared" si="11"/>
        <v>82</v>
      </c>
      <c r="C87" s="19" t="str">
        <f>IF(ISERROR(INDEX(data!$A$12:$AI$213,MATCH(HLOOKUP('II. Sledování projektu'!$L$5,vstupy!$N$2:$BY$180,$B87+1,0),data!$B$12:$B$213,0),3)),"",INDEX(data!$A$12:$AI$213,MATCH(HLOOKUP('II. Sledování projektu'!$L$5,vstupy!$N$2:$BY$180,$B87+1,0),data!$B$12:$B$213,0),3))</f>
        <v>MŠ U Dvoru</v>
      </c>
      <c r="D87" s="156">
        <f>IF(ISERROR(INDEX(data!$A$12:$AI$213,MATCH(HLOOKUP('II. Sledování projektu'!$L$5,vstupy!$N$2:$BY$180,$B87+1,0),data!$B$12:$B$213,0),35)),"",INDEX(data!$A$12:$AI$213,MATCH(HLOOKUP('II. Sledování projektu'!$L$5,vstupy!$N$2:$BY$180,$B87+1,0),data!$B$12:$B$213,0),35))</f>
        <v>14.496014912310725</v>
      </c>
      <c r="E87" s="49">
        <f>IF(ISERROR(INDEX(data!$A$12:$AI$213,MATCH(HLOOKUP('II. Sledování projektu'!$L$5,vstupy!$N$2:$BY$180,$B87+1,0),data!$B$12:$B$213,0),27)),"",INDEX(data!$A$12:$AI$213,MATCH(HLOOKUP('II. Sledování projektu'!$L$5,vstupy!$N$2:$BY$180,$B87+1,0),data!$B$12:$B$213,0),27))</f>
        <v>449680.23750000005</v>
      </c>
      <c r="F87" s="54">
        <f>IF(ISERROR(INDEX(data!$A$12:$AI$213,MATCH(HLOOKUP('II. Sledování projektu'!$L$5,vstupy!$N$2:$BY$180,$B87+1,0),data!$B$12:$B$213,0),28)),"",INDEX(data!$A$12:$AI$213,MATCH(HLOOKUP('II. Sledování projektu'!$L$5,vstupy!$N$2:$BY$180,$B87+1,0),data!$B$12:$B$213,0),28))</f>
        <v>0</v>
      </c>
      <c r="G87" s="53">
        <f t="shared" si="9"/>
        <v>0</v>
      </c>
      <c r="H87" s="53">
        <f>IF(ISERROR(INDEX(data!$A$12:$AI$213,MATCH(HLOOKUP('II. Sledování projektu'!$L$5,vstupy!$N$2:$BY$180,$B87+1,0),data!$B$12:$B$213,0),29)),"",INDEX(data!$A$12:$AI$213,MATCH(HLOOKUP('II. Sledování projektu'!$L$5,vstupy!$N$2:$BY$180,$B87+1,0),data!$B$12:$B$213,0),29))</f>
        <v>5.67E-2</v>
      </c>
      <c r="I87" s="54">
        <f>IF(ISERROR(INDEX(data!$A$12:$AI$213,MATCH(HLOOKUP('II. Sledování projektu'!$L$5,vstupy!$N$2:$BY$180,$B87+1,0),data!$B$12:$B$213,0),31)),"",INDEX(data!$A$12:$AI$213,MATCH(HLOOKUP('II. Sledování projektu'!$L$5,vstupy!$N$2:$BY$180,$B87+1,0),data!$B$12:$B$213,0),31))</f>
        <v>6160.05</v>
      </c>
      <c r="J87" s="53">
        <f t="shared" si="10"/>
        <v>1.3698734092133635E-2</v>
      </c>
      <c r="K87" s="53">
        <f t="shared" si="12"/>
        <v>0.24160024853851209</v>
      </c>
      <c r="L87" s="54">
        <f>IF(ISERROR(INDEX(data!$A$12:$AI$213,MATCH(HLOOKUP('II. Sledování projektu'!$L$5,vstupy!$N$2:$BY$180,$B87+1,0),data!$B$12:$B$213,0),32)),"",INDEX(data!$A$12:$AI$213,MATCH(HLOOKUP('II. Sledování projektu'!$L$5,vstupy!$N$2:$BY$180,$B87+1,0),data!$B$12:$B$213,0),32))</f>
        <v>1099.98</v>
      </c>
      <c r="M87" s="53">
        <f t="shared" si="8"/>
        <v>0.15151177061251811</v>
      </c>
      <c r="N87" s="54">
        <f>IF(ISERROR(VLOOKUP(C87,data!$C$12:$AD$213,28,0)),0,VLOOKUP(C87,data!$C$12:$AD$213,28,0))</f>
        <v>25496.869466250002</v>
      </c>
    </row>
    <row r="88" spans="2:14" x14ac:dyDescent="0.2">
      <c r="B88" s="19">
        <f t="shared" si="11"/>
        <v>83</v>
      </c>
      <c r="C88" s="19" t="str">
        <f>IF(ISERROR(INDEX(data!$A$12:$AI$213,MATCH(HLOOKUP('II. Sledování projektu'!$L$5,vstupy!$N$2:$BY$180,$B88+1,0),data!$B$12:$B$213,0),3)),"",INDEX(data!$A$12:$AI$213,MATCH(HLOOKUP('II. Sledování projektu'!$L$5,vstupy!$N$2:$BY$180,$B88+1,0),data!$B$12:$B$213,0),3))</f>
        <v>MŠ Varenská</v>
      </c>
      <c r="D88" s="156">
        <f>IF(ISERROR(INDEX(data!$A$12:$AI$213,MATCH(HLOOKUP('II. Sledování projektu'!$L$5,vstupy!$N$2:$BY$180,$B88+1,0),data!$B$12:$B$213,0),35)),"",INDEX(data!$A$12:$AI$213,MATCH(HLOOKUP('II. Sledování projektu'!$L$5,vstupy!$N$2:$BY$180,$B88+1,0),data!$B$12:$B$213,0),35))</f>
        <v>57.187662593718819</v>
      </c>
      <c r="E88" s="49">
        <f>IF(ISERROR(INDEX(data!$A$12:$AI$213,MATCH(HLOOKUP('II. Sledování projektu'!$L$5,vstupy!$N$2:$BY$180,$B88+1,0),data!$B$12:$B$213,0),27)),"",INDEX(data!$A$12:$AI$213,MATCH(HLOOKUP('II. Sledování projektu'!$L$5,vstupy!$N$2:$BY$180,$B88+1,0),data!$B$12:$B$213,0),27))</f>
        <v>1185750</v>
      </c>
      <c r="F88" s="54">
        <f>IF(ISERROR(INDEX(data!$A$12:$AI$213,MATCH(HLOOKUP('II. Sledování projektu'!$L$5,vstupy!$N$2:$BY$180,$B88+1,0),data!$B$12:$B$213,0),28)),"",INDEX(data!$A$12:$AI$213,MATCH(HLOOKUP('II. Sledování projektu'!$L$5,vstupy!$N$2:$BY$180,$B88+1,0),data!$B$12:$B$213,0),28))</f>
        <v>1114749.46</v>
      </c>
      <c r="G88" s="53">
        <f t="shared" si="9"/>
        <v>0.94012183006535943</v>
      </c>
      <c r="H88" s="53">
        <f>IF(ISERROR(INDEX(data!$A$12:$AI$213,MATCH(HLOOKUP('II. Sledování projektu'!$L$5,vstupy!$N$2:$BY$180,$B88+1,0),data!$B$12:$B$213,0),29)),"",INDEX(data!$A$12:$AI$213,MATCH(HLOOKUP('II. Sledování projektu'!$L$5,vstupy!$N$2:$BY$180,$B88+1,0),data!$B$12:$B$213,0),29))</f>
        <v>0.19120000000000001</v>
      </c>
      <c r="I88" s="54">
        <f>IF(ISERROR(INDEX(data!$A$12:$AI$213,MATCH(HLOOKUP('II. Sledování projektu'!$L$5,vstupy!$N$2:$BY$180,$B88+1,0),data!$B$12:$B$213,0),31)),"",INDEX(data!$A$12:$AI$213,MATCH(HLOOKUP('II. Sledování projektu'!$L$5,vstupy!$N$2:$BY$180,$B88+1,0),data!$B$12:$B$213,0),31))</f>
        <v>64945.13</v>
      </c>
      <c r="J88" s="53">
        <f t="shared" si="10"/>
        <v>5.4771351465317308E-2</v>
      </c>
      <c r="K88" s="53">
        <f t="shared" si="12"/>
        <v>0.28646104322864696</v>
      </c>
      <c r="L88" s="54">
        <f>IF(ISERROR(INDEX(data!$A$12:$AI$213,MATCH(HLOOKUP('II. Sledování projektu'!$L$5,vstupy!$N$2:$BY$180,$B88+1,0),data!$B$12:$B$213,0),32)),"",INDEX(data!$A$12:$AI$213,MATCH(HLOOKUP('II. Sledování projektu'!$L$5,vstupy!$N$2:$BY$180,$B88+1,0),data!$B$12:$B$213,0),32))</f>
        <v>23798.02</v>
      </c>
      <c r="M88" s="53">
        <f t="shared" si="8"/>
        <v>0.26816740221639646</v>
      </c>
      <c r="N88" s="54">
        <f>IF(ISERROR(VLOOKUP(C88,data!$C$12:$AD$213,28,0)),0,VLOOKUP(C88,data!$C$12:$AD$213,28,0))</f>
        <v>226715.40000000002</v>
      </c>
    </row>
    <row r="89" spans="2:14" x14ac:dyDescent="0.2">
      <c r="B89" s="19">
        <f t="shared" si="11"/>
        <v>84</v>
      </c>
      <c r="C89" s="19" t="str">
        <f>IF(ISERROR(INDEX(data!$A$12:$AI$213,MATCH(HLOOKUP('II. Sledování projektu'!$L$5,vstupy!$N$2:$BY$180,$B89+1,0),data!$B$12:$B$213,0),3)),"",INDEX(data!$A$12:$AI$213,MATCH(HLOOKUP('II. Sledování projektu'!$L$5,vstupy!$N$2:$BY$180,$B89+1,0),data!$B$12:$B$213,0),3))</f>
        <v>MŠ Volgogradská</v>
      </c>
      <c r="D89" s="156">
        <f>IF(ISERROR(INDEX(data!$A$12:$AI$213,MATCH(HLOOKUP('II. Sledování projektu'!$L$5,vstupy!$N$2:$BY$180,$B89+1,0),data!$B$12:$B$213,0),35)),"",INDEX(data!$A$12:$AI$213,MATCH(HLOOKUP('II. Sledování projektu'!$L$5,vstupy!$N$2:$BY$180,$B89+1,0),data!$B$12:$B$213,0),35))</f>
        <v>8.0848557781013977</v>
      </c>
      <c r="E89" s="49">
        <f>IF(ISERROR(INDEX(data!$A$12:$AI$213,MATCH(HLOOKUP('II. Sledování projektu'!$L$5,vstupy!$N$2:$BY$180,$B89+1,0),data!$B$12:$B$213,0),27)),"",INDEX(data!$A$12:$AI$213,MATCH(HLOOKUP('II. Sledování projektu'!$L$5,vstupy!$N$2:$BY$180,$B89+1,0),data!$B$12:$B$213,0),27))</f>
        <v>2828250</v>
      </c>
      <c r="F89" s="54">
        <f>IF(ISERROR(INDEX(data!$A$12:$AI$213,MATCH(HLOOKUP('II. Sledování projektu'!$L$5,vstupy!$N$2:$BY$180,$B89+1,0),data!$B$12:$B$213,0),28)),"",INDEX(data!$A$12:$AI$213,MATCH(HLOOKUP('II. Sledování projektu'!$L$5,vstupy!$N$2:$BY$180,$B89+1,0),data!$B$12:$B$213,0),28))</f>
        <v>25929.49</v>
      </c>
      <c r="G89" s="53">
        <f t="shared" si="9"/>
        <v>9.1680332361000622E-3</v>
      </c>
      <c r="H89" s="53">
        <f>IF(ISERROR(INDEX(data!$A$12:$AI$213,MATCH(HLOOKUP('II. Sledování projektu'!$L$5,vstupy!$N$2:$BY$180,$B89+1,0),data!$B$12:$B$213,0),29)),"",INDEX(data!$A$12:$AI$213,MATCH(HLOOKUP('II. Sledování projektu'!$L$5,vstupy!$N$2:$BY$180,$B89+1,0),data!$B$12:$B$213,0),29))</f>
        <v>0.20949999999999999</v>
      </c>
      <c r="I89" s="54">
        <f>IF(ISERROR(INDEX(data!$A$12:$AI$213,MATCH(HLOOKUP('II. Sledování projektu'!$L$5,vstupy!$N$2:$BY$180,$B89+1,0),data!$B$12:$B$213,0),31)),"",INDEX(data!$A$12:$AI$213,MATCH(HLOOKUP('II. Sledování projektu'!$L$5,vstupy!$N$2:$BY$180,$B89+1,0),data!$B$12:$B$213,0),31))</f>
        <v>75313.570000000007</v>
      </c>
      <c r="J89" s="53">
        <f t="shared" si="10"/>
        <v>2.6629035622734908E-2</v>
      </c>
      <c r="K89" s="53">
        <f t="shared" si="12"/>
        <v>0.12710756860493991</v>
      </c>
      <c r="L89" s="54">
        <f>IF(ISERROR(INDEX(data!$A$12:$AI$213,MATCH(HLOOKUP('II. Sledování projektu'!$L$5,vstupy!$N$2:$BY$180,$B89+1,0),data!$B$12:$B$213,0),32)),"",INDEX(data!$A$12:$AI$213,MATCH(HLOOKUP('II. Sledování projektu'!$L$5,vstupy!$N$2:$BY$180,$B89+1,0),data!$B$12:$B$213,0),32))</f>
        <v>44555.71</v>
      </c>
      <c r="M89" s="53">
        <f t="shared" si="8"/>
        <v>0.37170249124713189</v>
      </c>
      <c r="N89" s="54">
        <f>IF(ISERROR(VLOOKUP(C89,data!$C$12:$AD$213,28,0)),0,VLOOKUP(C89,data!$C$12:$AD$213,28,0))</f>
        <v>592518.375</v>
      </c>
    </row>
    <row r="90" spans="2:14" x14ac:dyDescent="0.2">
      <c r="B90" s="19">
        <f t="shared" si="11"/>
        <v>85</v>
      </c>
      <c r="C90" s="19" t="str">
        <f>IF(ISERROR(INDEX(data!$A$12:$AI$213,MATCH(HLOOKUP('II. Sledování projektu'!$L$5,vstupy!$N$2:$BY$180,$B90+1,0),data!$B$12:$B$213,0),3)),"",INDEX(data!$A$12:$AI$213,MATCH(HLOOKUP('II. Sledování projektu'!$L$5,vstupy!$N$2:$BY$180,$B90+1,0),data!$B$12:$B$213,0),3))</f>
        <v>MŠ Za Školou</v>
      </c>
      <c r="D90" s="156">
        <f>IF(ISERROR(INDEX(data!$A$12:$AI$213,MATCH(HLOOKUP('II. Sledování projektu'!$L$5,vstupy!$N$2:$BY$180,$B90+1,0),data!$B$12:$B$213,0),35)),"",INDEX(data!$A$12:$AI$213,MATCH(HLOOKUP('II. Sledování projektu'!$L$5,vstupy!$N$2:$BY$180,$B90+1,0),data!$B$12:$B$213,0),35))</f>
        <v>10.453103508231532</v>
      </c>
      <c r="E90" s="49">
        <f>IF(ISERROR(INDEX(data!$A$12:$AI$213,MATCH(HLOOKUP('II. Sledování projektu'!$L$5,vstupy!$N$2:$BY$180,$B90+1,0),data!$B$12:$B$213,0),27)),"",INDEX(data!$A$12:$AI$213,MATCH(HLOOKUP('II. Sledování projektu'!$L$5,vstupy!$N$2:$BY$180,$B90+1,0),data!$B$12:$B$213,0),27))</f>
        <v>3285375</v>
      </c>
      <c r="F90" s="54">
        <f>IF(ISERROR(INDEX(data!$A$12:$AI$213,MATCH(HLOOKUP('II. Sledování projektu'!$L$5,vstupy!$N$2:$BY$180,$B90+1,0),data!$B$12:$B$213,0),28)),"",INDEX(data!$A$12:$AI$213,MATCH(HLOOKUP('II. Sledování projektu'!$L$5,vstupy!$N$2:$BY$180,$B90+1,0),data!$B$12:$B$213,0),28))</f>
        <v>42989.97</v>
      </c>
      <c r="G90" s="53">
        <f t="shared" si="9"/>
        <v>1.30852551078644E-2</v>
      </c>
      <c r="H90" s="53">
        <f>IF(ISERROR(INDEX(data!$A$12:$AI$213,MATCH(HLOOKUP('II. Sledování projektu'!$L$5,vstupy!$N$2:$BY$180,$B90+1,0),data!$B$12:$B$213,0),29)),"",INDEX(data!$A$12:$AI$213,MATCH(HLOOKUP('II. Sledování projektu'!$L$5,vstupy!$N$2:$BY$180,$B90+1,0),data!$B$12:$B$213,0),29))</f>
        <v>0.29199999999999998</v>
      </c>
      <c r="I90" s="54">
        <f>IF(ISERROR(INDEX(data!$A$12:$AI$213,MATCH(HLOOKUP('II. Sledování projektu'!$L$5,vstupy!$N$2:$BY$180,$B90+1,0),data!$B$12:$B$213,0),31)),"",INDEX(data!$A$12:$AI$213,MATCH(HLOOKUP('II. Sledování projektu'!$L$5,vstupy!$N$2:$BY$180,$B90+1,0),data!$B$12:$B$213,0),31))</f>
        <v>156671.95000000001</v>
      </c>
      <c r="J90" s="53">
        <f t="shared" si="10"/>
        <v>4.7687691663813113E-2</v>
      </c>
      <c r="K90" s="53">
        <f t="shared" si="12"/>
        <v>0.16331401254730521</v>
      </c>
      <c r="L90" s="54">
        <f>IF(ISERROR(INDEX(data!$A$12:$AI$213,MATCH(HLOOKUP('II. Sledování projektu'!$L$5,vstupy!$N$2:$BY$180,$B90+1,0),data!$B$12:$B$213,0),32)),"",INDEX(data!$A$12:$AI$213,MATCH(HLOOKUP('II. Sledování projektu'!$L$5,vstupy!$N$2:$BY$180,$B90+1,0),data!$B$12:$B$213,0),32))</f>
        <v>100973.13</v>
      </c>
      <c r="M90" s="53">
        <f t="shared" si="8"/>
        <v>0.39190785246122301</v>
      </c>
      <c r="N90" s="54">
        <f>IF(ISERROR(VLOOKUP(C90,data!$C$12:$AD$213,28,0)),0,VLOOKUP(C90,data!$C$12:$AD$213,28,0))</f>
        <v>959329.49999999988</v>
      </c>
    </row>
    <row r="91" spans="2:14" x14ac:dyDescent="0.2">
      <c r="B91" s="19">
        <f t="shared" si="11"/>
        <v>86</v>
      </c>
      <c r="C91" s="19" t="str">
        <f>IF(ISERROR(INDEX(data!$A$12:$AI$213,MATCH(HLOOKUP('II. Sledování projektu'!$L$5,vstupy!$N$2:$BY$180,$B91+1,0),data!$B$12:$B$213,0),3)),"",INDEX(data!$A$12:$AI$213,MATCH(HLOOKUP('II. Sledování projektu'!$L$5,vstupy!$N$2:$BY$180,$B91+1,0),data!$B$12:$B$213,0),3))</f>
        <v>MŠ Zámostní</v>
      </c>
      <c r="D91" s="156">
        <f>IF(ISERROR(INDEX(data!$A$12:$AI$213,MATCH(HLOOKUP('II. Sledování projektu'!$L$5,vstupy!$N$2:$BY$180,$B91+1,0),data!$B$12:$B$213,0),35)),"",INDEX(data!$A$12:$AI$213,MATCH(HLOOKUP('II. Sledování projektu'!$L$5,vstupy!$N$2:$BY$180,$B91+1,0),data!$B$12:$B$213,0),35))</f>
        <v>0</v>
      </c>
      <c r="E91" s="49">
        <f>IF(ISERROR(INDEX(data!$A$12:$AI$213,MATCH(HLOOKUP('II. Sledování projektu'!$L$5,vstupy!$N$2:$BY$180,$B91+1,0),data!$B$12:$B$213,0),27)),"",INDEX(data!$A$12:$AI$213,MATCH(HLOOKUP('II. Sledování projektu'!$L$5,vstupy!$N$2:$BY$180,$B91+1,0),data!$B$12:$B$213,0),27))</f>
        <v>1080375</v>
      </c>
      <c r="F91" s="54">
        <f>IF(ISERROR(INDEX(data!$A$12:$AI$213,MATCH(HLOOKUP('II. Sledování projektu'!$L$5,vstupy!$N$2:$BY$180,$B91+1,0),data!$B$12:$B$213,0),28)),"",INDEX(data!$A$12:$AI$213,MATCH(HLOOKUP('II. Sledování projektu'!$L$5,vstupy!$N$2:$BY$180,$B91+1,0),data!$B$12:$B$213,0),28))</f>
        <v>0</v>
      </c>
      <c r="G91" s="53">
        <f t="shared" si="9"/>
        <v>0</v>
      </c>
      <c r="H91" s="53">
        <f>IF(ISERROR(INDEX(data!$A$12:$AI$213,MATCH(HLOOKUP('II. Sledování projektu'!$L$5,vstupy!$N$2:$BY$180,$B91+1,0),data!$B$12:$B$213,0),29)),"",INDEX(data!$A$12:$AI$213,MATCH(HLOOKUP('II. Sledování projektu'!$L$5,vstupy!$N$2:$BY$180,$B91+1,0),data!$B$12:$B$213,0),29))</f>
        <v>5.2900000000000003E-2</v>
      </c>
      <c r="I91" s="54">
        <f>IF(ISERROR(INDEX(data!$A$12:$AI$213,MATCH(HLOOKUP('II. Sledování projektu'!$L$5,vstupy!$N$2:$BY$180,$B91+1,0),data!$B$12:$B$213,0),31)),"",INDEX(data!$A$12:$AI$213,MATCH(HLOOKUP('II. Sledování projektu'!$L$5,vstupy!$N$2:$BY$180,$B91+1,0),data!$B$12:$B$213,0),31))</f>
        <v>0</v>
      </c>
      <c r="J91" s="53">
        <f t="shared" si="10"/>
        <v>0</v>
      </c>
      <c r="K91" s="53">
        <f t="shared" si="12"/>
        <v>0</v>
      </c>
      <c r="L91" s="54">
        <f>IF(ISERROR(INDEX(data!$A$12:$AI$213,MATCH(HLOOKUP('II. Sledování projektu'!$L$5,vstupy!$N$2:$BY$180,$B91+1,0),data!$B$12:$B$213,0),32)),"",INDEX(data!$A$12:$AI$213,MATCH(HLOOKUP('II. Sledování projektu'!$L$5,vstupy!$N$2:$BY$180,$B91+1,0),data!$B$12:$B$213,0),32))</f>
        <v>0</v>
      </c>
      <c r="M91" s="53">
        <f t="shared" si="8"/>
        <v>0</v>
      </c>
      <c r="N91" s="54">
        <f>IF(ISERROR(VLOOKUP(C91,data!$C$12:$AD$213,28,0)),0,VLOOKUP(C91,data!$C$12:$AD$213,28,0))</f>
        <v>57151.837500000001</v>
      </c>
    </row>
    <row r="92" spans="2:14" x14ac:dyDescent="0.2">
      <c r="B92" s="19">
        <f t="shared" si="11"/>
        <v>87</v>
      </c>
      <c r="C92" s="19" t="str">
        <f>IF(ISERROR(INDEX(data!$A$12:$AI$213,MATCH(HLOOKUP('II. Sledování projektu'!$L$5,vstupy!$N$2:$BY$180,$B92+1,0),data!$B$12:$B$213,0),3)),"",INDEX(data!$A$12:$AI$213,MATCH(HLOOKUP('II. Sledování projektu'!$L$5,vstupy!$N$2:$BY$180,$B92+1,0),data!$B$12:$B$213,0),3))</f>
        <v>MŠ Zelená</v>
      </c>
      <c r="D92" s="156">
        <f>IF(ISERROR(INDEX(data!$A$12:$AI$213,MATCH(HLOOKUP('II. Sledování projektu'!$L$5,vstupy!$N$2:$BY$180,$B92+1,0),data!$B$12:$B$213,0),35)),"",INDEX(data!$A$12:$AI$213,MATCH(HLOOKUP('II. Sledování projektu'!$L$5,vstupy!$N$2:$BY$180,$B92+1,0),data!$B$12:$B$213,0),35))</f>
        <v>70.723126412240902</v>
      </c>
      <c r="E92" s="49">
        <f>IF(ISERROR(INDEX(data!$A$12:$AI$213,MATCH(HLOOKUP('II. Sledování projektu'!$L$5,vstupy!$N$2:$BY$180,$B92+1,0),data!$B$12:$B$213,0),27)),"",INDEX(data!$A$12:$AI$213,MATCH(HLOOKUP('II. Sledování projektu'!$L$5,vstupy!$N$2:$BY$180,$B92+1,0),data!$B$12:$B$213,0),27))</f>
        <v>1405125</v>
      </c>
      <c r="F92" s="54">
        <f>IF(ISERROR(INDEX(data!$A$12:$AI$213,MATCH(HLOOKUP('II. Sledování projektu'!$L$5,vstupy!$N$2:$BY$180,$B92+1,0),data!$B$12:$B$213,0),28)),"",INDEX(data!$A$12:$AI$213,MATCH(HLOOKUP('II. Sledování projektu'!$L$5,vstupy!$N$2:$BY$180,$B92+1,0),data!$B$12:$B$213,0),28))</f>
        <v>301346.65999999997</v>
      </c>
      <c r="G92" s="53">
        <f t="shared" si="9"/>
        <v>0.21446252824481807</v>
      </c>
      <c r="H92" s="53">
        <f>IF(ISERROR(INDEX(data!$A$12:$AI$213,MATCH(HLOOKUP('II. Sledování projektu'!$L$5,vstupy!$N$2:$BY$180,$B92+1,0),data!$B$12:$B$213,0),29)),"",INDEX(data!$A$12:$AI$213,MATCH(HLOOKUP('II. Sledování projektu'!$L$5,vstupy!$N$2:$BY$180,$B92+1,0),data!$B$12:$B$213,0),29))</f>
        <v>0.2046</v>
      </c>
      <c r="I92" s="54">
        <f>IF(ISERROR(INDEX(data!$A$12:$AI$213,MATCH(HLOOKUP('II. Sledování projektu'!$L$5,vstupy!$N$2:$BY$180,$B92+1,0),data!$B$12:$B$213,0),31)),"",INDEX(data!$A$12:$AI$213,MATCH(HLOOKUP('II. Sledování projektu'!$L$5,vstupy!$N$2:$BY$180,$B92+1,0),data!$B$12:$B$213,0),31))</f>
        <v>296496.59999999998</v>
      </c>
      <c r="J92" s="53">
        <f t="shared" si="10"/>
        <v>0.21101083533493459</v>
      </c>
      <c r="K92" s="53">
        <f t="shared" si="12"/>
        <v>1.0313335060358484</v>
      </c>
      <c r="L92" s="54">
        <f>IF(ISERROR(INDEX(data!$A$12:$AI$213,MATCH(HLOOKUP('II. Sledování projektu'!$L$5,vstupy!$N$2:$BY$180,$B92+1,0),data!$B$12:$B$213,0),32)),"",INDEX(data!$A$12:$AI$213,MATCH(HLOOKUP('II. Sledování projektu'!$L$5,vstupy!$N$2:$BY$180,$B92+1,0),data!$B$12:$B$213,0),32))</f>
        <v>81992.929999999993</v>
      </c>
      <c r="M92" s="53">
        <f t="shared" si="8"/>
        <v>0.21663196337293664</v>
      </c>
      <c r="N92" s="54">
        <f>IF(ISERROR(VLOOKUP(C92,data!$C$12:$AD$213,28,0)),0,VLOOKUP(C92,data!$C$12:$AD$213,28,0))</f>
        <v>287488.57500000001</v>
      </c>
    </row>
    <row r="93" spans="2:14" x14ac:dyDescent="0.2">
      <c r="B93" s="19">
        <f t="shared" si="11"/>
        <v>88</v>
      </c>
      <c r="C93" s="19" t="str">
        <f>IF(ISERROR(INDEX(data!$A$12:$AI$213,MATCH(HLOOKUP('II. Sledování projektu'!$L$5,vstupy!$N$2:$BY$180,$B93+1,0),data!$B$12:$B$213,0),3)),"",INDEX(data!$A$12:$AI$213,MATCH(HLOOKUP('II. Sledování projektu'!$L$5,vstupy!$N$2:$BY$180,$B93+1,0),data!$B$12:$B$213,0),3))</f>
        <v>Ostravské městské lesy</v>
      </c>
      <c r="D93" s="156">
        <f>IF(ISERROR(INDEX(data!$A$12:$AI$213,MATCH(HLOOKUP('II. Sledování projektu'!$L$5,vstupy!$N$2:$BY$180,$B93+1,0),data!$B$12:$B$213,0),35)),"",INDEX(data!$A$12:$AI$213,MATCH(HLOOKUP('II. Sledování projektu'!$L$5,vstupy!$N$2:$BY$180,$B93+1,0),data!$B$12:$B$213,0),35))</f>
        <v>46.401070853925411</v>
      </c>
      <c r="E93" s="49">
        <f>IF(ISERROR(INDEX(data!$A$12:$AI$213,MATCH(HLOOKUP('II. Sledování projektu'!$L$5,vstupy!$N$2:$BY$180,$B93+1,0),data!$B$12:$B$213,0),27)),"",INDEX(data!$A$12:$AI$213,MATCH(HLOOKUP('II. Sledování projektu'!$L$5,vstupy!$N$2:$BY$180,$B93+1,0),data!$B$12:$B$213,0),27))</f>
        <v>38636829</v>
      </c>
      <c r="F93" s="54">
        <f>IF(ISERROR(INDEX(data!$A$12:$AI$213,MATCH(HLOOKUP('II. Sledování projektu'!$L$5,vstupy!$N$2:$BY$180,$B93+1,0),data!$B$12:$B$213,0),28)),"",INDEX(data!$A$12:$AI$213,MATCH(HLOOKUP('II. Sledování projektu'!$L$5,vstupy!$N$2:$BY$180,$B93+1,0),data!$B$12:$B$213,0),28))</f>
        <v>37632044.159999996</v>
      </c>
      <c r="G93" s="53">
        <f t="shared" si="9"/>
        <v>0.97399411737438379</v>
      </c>
      <c r="H93" s="53">
        <f>IF(ISERROR(INDEX(data!$A$12:$AI$213,MATCH(HLOOKUP('II. Sledování projektu'!$L$5,vstupy!$N$2:$BY$180,$B93+1,0),data!$B$12:$B$213,0),29)),"",INDEX(data!$A$12:$AI$213,MATCH(HLOOKUP('II. Sledování projektu'!$L$5,vstupy!$N$2:$BY$180,$B93+1,0),data!$B$12:$B$213,0),29))</f>
        <v>0.03</v>
      </c>
      <c r="I93" s="54">
        <f>IF(ISERROR(INDEX(data!$A$12:$AI$213,MATCH(HLOOKUP('II. Sledování projektu'!$L$5,vstupy!$N$2:$BY$180,$B93+1,0),data!$B$12:$B$213,0),31)),"",INDEX(data!$A$12:$AI$213,MATCH(HLOOKUP('II. Sledování projektu'!$L$5,vstupy!$N$2:$BY$180,$B93+1,0),data!$B$12:$B$213,0),31))</f>
        <v>123658.54000000001</v>
      </c>
      <c r="J93" s="53">
        <f t="shared" si="10"/>
        <v>3.2005354269627048E-3</v>
      </c>
      <c r="K93" s="53">
        <f t="shared" si="12"/>
        <v>0.10668451423209016</v>
      </c>
      <c r="L93" s="54">
        <f>IF(ISERROR(INDEX(data!$A$12:$AI$213,MATCH(HLOOKUP('II. Sledování projektu'!$L$5,vstupy!$N$2:$BY$180,$B93+1,0),data!$B$12:$B$213,0),32)),"",INDEX(data!$A$12:$AI$213,MATCH(HLOOKUP('II. Sledování projektu'!$L$5,vstupy!$N$2:$BY$180,$B93+1,0),data!$B$12:$B$213,0),32))</f>
        <v>154884.12</v>
      </c>
      <c r="M93" s="53">
        <f t="shared" si="8"/>
        <v>0.5560517013803199</v>
      </c>
      <c r="N93" s="54">
        <f>IF(ISERROR(VLOOKUP(C93,data!$C$12:$AD$213,28,0)),0,VLOOKUP(C93,data!$C$12:$AD$213,28,0))</f>
        <v>1159104.8699999999</v>
      </c>
    </row>
    <row r="94" spans="2:14" x14ac:dyDescent="0.2">
      <c r="B94" s="19">
        <f t="shared" si="11"/>
        <v>89</v>
      </c>
      <c r="C94" s="19" t="str">
        <f>IF(ISERROR(INDEX(data!$A$12:$AI$213,MATCH(HLOOKUP('II. Sledování projektu'!$L$5,vstupy!$N$2:$BY$180,$B94+1,0),data!$B$12:$B$213,0),3)),"",INDEX(data!$A$12:$AI$213,MATCH(HLOOKUP('II. Sledování projektu'!$L$5,vstupy!$N$2:$BY$180,$B94+1,0),data!$B$12:$B$213,0),3))</f>
        <v>Ostravské muzeum</v>
      </c>
      <c r="D94" s="156">
        <f>IF(ISERROR(INDEX(data!$A$12:$AI$213,MATCH(HLOOKUP('II. Sledování projektu'!$L$5,vstupy!$N$2:$BY$180,$B94+1,0),data!$B$12:$B$213,0),35)),"",INDEX(data!$A$12:$AI$213,MATCH(HLOOKUP('II. Sledování projektu'!$L$5,vstupy!$N$2:$BY$180,$B94+1,0),data!$B$12:$B$213,0),35))</f>
        <v>95.108989870030584</v>
      </c>
      <c r="E94" s="49">
        <f>IF(ISERROR(INDEX(data!$A$12:$AI$213,MATCH(HLOOKUP('II. Sledování projektu'!$L$5,vstupy!$N$2:$BY$180,$B94+1,0),data!$B$12:$B$213,0),27)),"",INDEX(data!$A$12:$AI$213,MATCH(HLOOKUP('II. Sledování projektu'!$L$5,vstupy!$N$2:$BY$180,$B94+1,0),data!$B$12:$B$213,0),27))</f>
        <v>2616000</v>
      </c>
      <c r="F94" s="54">
        <f>IF(ISERROR(INDEX(data!$A$12:$AI$213,MATCH(HLOOKUP('II. Sledování projektu'!$L$5,vstupy!$N$2:$BY$180,$B94+1,0),data!$B$12:$B$213,0),28)),"",INDEX(data!$A$12:$AI$213,MATCH(HLOOKUP('II. Sledování projektu'!$L$5,vstupy!$N$2:$BY$180,$B94+1,0),data!$B$12:$B$213,0),28))</f>
        <v>1836902.35</v>
      </c>
      <c r="G94" s="53">
        <f t="shared" si="9"/>
        <v>0.70217979740061165</v>
      </c>
      <c r="H94" s="53">
        <f>IF(ISERROR(INDEX(data!$A$12:$AI$213,MATCH(HLOOKUP('II. Sledování projektu'!$L$5,vstupy!$N$2:$BY$180,$B94+1,0),data!$B$12:$B$213,0),29)),"",INDEX(data!$A$12:$AI$213,MATCH(HLOOKUP('II. Sledování projektu'!$L$5,vstupy!$N$2:$BY$180,$B94+1,0),data!$B$12:$B$213,0),29))</f>
        <v>0.14015691912963066</v>
      </c>
      <c r="I94" s="54">
        <f>IF(ISERROR(INDEX(data!$A$12:$AI$213,MATCH(HLOOKUP('II. Sledování projektu'!$L$5,vstupy!$N$2:$BY$180,$B94+1,0),data!$B$12:$B$213,0),31)),"",INDEX(data!$A$12:$AI$213,MATCH(HLOOKUP('II. Sledování projektu'!$L$5,vstupy!$N$2:$BY$180,$B94+1,0),data!$B$12:$B$213,0),31))</f>
        <v>412854.46</v>
      </c>
      <c r="J94" s="53">
        <f t="shared" si="10"/>
        <v>0.15781898318042814</v>
      </c>
      <c r="K94" s="53">
        <f t="shared" si="12"/>
        <v>1.1260163548148623</v>
      </c>
      <c r="L94" s="54">
        <f>IF(ISERROR(INDEX(data!$A$12:$AI$213,MATCH(HLOOKUP('II. Sledování projektu'!$L$5,vstupy!$N$2:$BY$180,$B94+1,0),data!$B$12:$B$213,0),32)),"",INDEX(data!$A$12:$AI$213,MATCH(HLOOKUP('II. Sledování projektu'!$L$5,vstupy!$N$2:$BY$180,$B94+1,0),data!$B$12:$B$213,0),32))</f>
        <v>313986.63</v>
      </c>
      <c r="M94" s="53">
        <f t="shared" si="8"/>
        <v>0.4319880016689755</v>
      </c>
      <c r="N94" s="54">
        <f>IF(ISERROR(VLOOKUP(C94,data!$C$12:$AD$213,28,0)),0,VLOOKUP(C94,data!$C$12:$AD$213,28,0))</f>
        <v>366650.50044311379</v>
      </c>
    </row>
    <row r="95" spans="2:14" x14ac:dyDescent="0.2">
      <c r="B95" s="19">
        <f t="shared" si="11"/>
        <v>90</v>
      </c>
      <c r="C95" s="19" t="str">
        <f>IF(ISERROR(INDEX(data!$A$12:$AI$213,MATCH(HLOOKUP('II. Sledování projektu'!$L$5,vstupy!$N$2:$BY$180,$B95+1,0),data!$B$12:$B$213,0),3)),"",INDEX(data!$A$12:$AI$213,MATCH(HLOOKUP('II. Sledování projektu'!$L$5,vstupy!$N$2:$BY$180,$B95+1,0),data!$B$12:$B$213,0),3))</f>
        <v>Ostravské výstavy, a.s.</v>
      </c>
      <c r="D95" s="156">
        <f>IF(ISERROR(INDEX(data!$A$12:$AI$213,MATCH(HLOOKUP('II. Sledování projektu'!$L$5,vstupy!$N$2:$BY$180,$B95+1,0),data!$B$12:$B$213,0),35)),"",INDEX(data!$A$12:$AI$213,MATCH(HLOOKUP('II. Sledování projektu'!$L$5,vstupy!$N$2:$BY$180,$B95+1,0),data!$B$12:$B$213,0),35))</f>
        <v>63.150548015545724</v>
      </c>
      <c r="E95" s="49">
        <f>IF(ISERROR(INDEX(data!$A$12:$AI$213,MATCH(HLOOKUP('II. Sledování projektu'!$L$5,vstupy!$N$2:$BY$180,$B95+1,0),data!$B$12:$B$213,0),27)),"",INDEX(data!$A$12:$AI$213,MATCH(HLOOKUP('II. Sledování projektu'!$L$5,vstupy!$N$2:$BY$180,$B95+1,0),data!$B$12:$B$213,0),27))</f>
        <v>17976750</v>
      </c>
      <c r="F95" s="54">
        <f>IF(ISERROR(INDEX(data!$A$12:$AI$213,MATCH(HLOOKUP('II. Sledování projektu'!$L$5,vstupy!$N$2:$BY$180,$B95+1,0),data!$B$12:$B$213,0),28)),"",INDEX(data!$A$12:$AI$213,MATCH(HLOOKUP('II. Sledování projektu'!$L$5,vstupy!$N$2:$BY$180,$B95+1,0),data!$B$12:$B$213,0),28))</f>
        <v>3571345.05</v>
      </c>
      <c r="G95" s="53">
        <f t="shared" si="9"/>
        <v>0.19866466686136258</v>
      </c>
      <c r="H95" s="53">
        <f>IF(ISERROR(INDEX(data!$A$12:$AI$213,MATCH(HLOOKUP('II. Sledování projektu'!$L$5,vstupy!$N$2:$BY$180,$B95+1,0),data!$B$12:$B$213,0),29)),"",INDEX(data!$A$12:$AI$213,MATCH(HLOOKUP('II. Sledování projektu'!$L$5,vstupy!$N$2:$BY$180,$B95+1,0),data!$B$12:$B$213,0),29))</f>
        <v>0.13</v>
      </c>
      <c r="I95" s="54">
        <f>IF(ISERROR(INDEX(data!$A$12:$AI$213,MATCH(HLOOKUP('II. Sledování projektu'!$L$5,vstupy!$N$2:$BY$180,$B95+1,0),data!$B$12:$B$213,0),31)),"",INDEX(data!$A$12:$AI$213,MATCH(HLOOKUP('II. Sledování projektu'!$L$5,vstupy!$N$2:$BY$180,$B95+1,0),data!$B$12:$B$213,0),31))</f>
        <v>2072794.45</v>
      </c>
      <c r="J95" s="53">
        <f t="shared" si="10"/>
        <v>0.11530418179036811</v>
      </c>
      <c r="K95" s="53">
        <f t="shared" si="12"/>
        <v>0.88695524454129315</v>
      </c>
      <c r="L95" s="54">
        <f>IF(ISERROR(INDEX(data!$A$12:$AI$213,MATCH(HLOOKUP('II. Sledování projektu'!$L$5,vstupy!$N$2:$BY$180,$B95+1,0),data!$B$12:$B$213,0),32)),"",INDEX(data!$A$12:$AI$213,MATCH(HLOOKUP('II. Sledování projektu'!$L$5,vstupy!$N$2:$BY$180,$B95+1,0),data!$B$12:$B$213,0),32))</f>
        <v>1131353.5</v>
      </c>
      <c r="M95" s="53">
        <f t="shared" si="8"/>
        <v>0.35309028099030193</v>
      </c>
      <c r="N95" s="54">
        <f>IF(ISERROR(VLOOKUP(C95,data!$C$12:$AD$213,28,0)),0,VLOOKUP(C95,data!$C$12:$AD$213,28,0))</f>
        <v>2336977.5</v>
      </c>
    </row>
    <row r="96" spans="2:14" x14ac:dyDescent="0.2">
      <c r="B96" s="19">
        <f t="shared" si="11"/>
        <v>91</v>
      </c>
      <c r="C96" s="19" t="str">
        <f>IF(ISERROR(INDEX(data!$A$12:$AI$213,MATCH(HLOOKUP('II. Sledování projektu'!$L$5,vstupy!$N$2:$BY$180,$B96+1,0),data!$B$12:$B$213,0),3)),"",INDEX(data!$A$12:$AI$213,MATCH(HLOOKUP('II. Sledování projektu'!$L$5,vstupy!$N$2:$BY$180,$B96+1,0),data!$B$12:$B$213,0),3))</f>
        <v>Ostravský informační servis</v>
      </c>
      <c r="D96" s="156">
        <f>IF(ISERROR(INDEX(data!$A$12:$AI$213,MATCH(HLOOKUP('II. Sledování projektu'!$L$5,vstupy!$N$2:$BY$180,$B96+1,0),data!$B$12:$B$213,0),35)),"",INDEX(data!$A$12:$AI$213,MATCH(HLOOKUP('II. Sledování projektu'!$L$5,vstupy!$N$2:$BY$180,$B96+1,0),data!$B$12:$B$213,0),35))</f>
        <v>39.885669594932587</v>
      </c>
      <c r="E96" s="49">
        <f>IF(ISERROR(INDEX(data!$A$12:$AI$213,MATCH(HLOOKUP('II. Sledování projektu'!$L$5,vstupy!$N$2:$BY$180,$B96+1,0),data!$B$12:$B$213,0),27)),"",INDEX(data!$A$12:$AI$213,MATCH(HLOOKUP('II. Sledování projektu'!$L$5,vstupy!$N$2:$BY$180,$B96+1,0),data!$B$12:$B$213,0),27))</f>
        <v>4448025</v>
      </c>
      <c r="F96" s="54">
        <f>IF(ISERROR(INDEX(data!$A$12:$AI$213,MATCH(HLOOKUP('II. Sledování projektu'!$L$5,vstupy!$N$2:$BY$180,$B96+1,0),data!$B$12:$B$213,0),28)),"",INDEX(data!$A$12:$AI$213,MATCH(HLOOKUP('II. Sledování projektu'!$L$5,vstupy!$N$2:$BY$180,$B96+1,0),data!$B$12:$B$213,0),28))</f>
        <v>3076131.91</v>
      </c>
      <c r="G96" s="53">
        <f t="shared" si="9"/>
        <v>0.69157253162920629</v>
      </c>
      <c r="H96" s="53">
        <f>IF(ISERROR(INDEX(data!$A$12:$AI$213,MATCH(HLOOKUP('II. Sledování projektu'!$L$5,vstupy!$N$2:$BY$180,$B96+1,0),data!$B$12:$B$213,0),29)),"",INDEX(data!$A$12:$AI$213,MATCH(HLOOKUP('II. Sledování projektu'!$L$5,vstupy!$N$2:$BY$180,$B96+1,0),data!$B$12:$B$213,0),29))</f>
        <v>0.13</v>
      </c>
      <c r="I96" s="54">
        <f>IF(ISERROR(INDEX(data!$A$12:$AI$213,MATCH(HLOOKUP('II. Sledování projektu'!$L$5,vstupy!$N$2:$BY$180,$B96+1,0),data!$B$12:$B$213,0),31)),"",INDEX(data!$A$12:$AI$213,MATCH(HLOOKUP('II. Sledování projektu'!$L$5,vstupy!$N$2:$BY$180,$B96+1,0),data!$B$12:$B$213,0),31))</f>
        <v>51146.03</v>
      </c>
      <c r="J96" s="53">
        <f t="shared" si="10"/>
        <v>1.1498593195856588E-2</v>
      </c>
      <c r="K96" s="53">
        <f t="shared" si="12"/>
        <v>8.8450716891204526E-2</v>
      </c>
      <c r="L96" s="54">
        <f>IF(ISERROR(INDEX(data!$A$12:$AI$213,MATCH(HLOOKUP('II. Sledování projektu'!$L$5,vstupy!$N$2:$BY$180,$B96+1,0),data!$B$12:$B$213,0),32)),"",INDEX(data!$A$12:$AI$213,MATCH(HLOOKUP('II. Sledování projektu'!$L$5,vstupy!$N$2:$BY$180,$B96+1,0),data!$B$12:$B$213,0),32))</f>
        <v>76209.009999999995</v>
      </c>
      <c r="M96" s="53">
        <f t="shared" si="8"/>
        <v>0.59839806889464286</v>
      </c>
      <c r="N96" s="54">
        <f>IF(ISERROR(VLOOKUP(C96,data!$C$12:$AD$213,28,0)),0,VLOOKUP(C96,data!$C$12:$AD$213,28,0))</f>
        <v>578243.25</v>
      </c>
    </row>
    <row r="97" spans="2:14" x14ac:dyDescent="0.2">
      <c r="B97" s="19">
        <f t="shared" si="11"/>
        <v>92</v>
      </c>
      <c r="C97" s="19" t="str">
        <f>IF(ISERROR(INDEX(data!$A$12:$AI$213,MATCH(HLOOKUP('II. Sledování projektu'!$L$5,vstupy!$N$2:$BY$180,$B97+1,0),data!$B$12:$B$213,0),3)),"",INDEX(data!$A$12:$AI$213,MATCH(HLOOKUP('II. Sledování projektu'!$L$5,vstupy!$N$2:$BY$180,$B97+1,0),data!$B$12:$B$213,0),3))</f>
        <v>OVANET a.s.</v>
      </c>
      <c r="D97" s="156">
        <f>IF(ISERROR(INDEX(data!$A$12:$AI$213,MATCH(HLOOKUP('II. Sledování projektu'!$L$5,vstupy!$N$2:$BY$180,$B97+1,0),data!$B$12:$B$213,0),35)),"",INDEX(data!$A$12:$AI$213,MATCH(HLOOKUP('II. Sledování projektu'!$L$5,vstupy!$N$2:$BY$180,$B97+1,0),data!$B$12:$B$213,0),35))</f>
        <v>49.564392667998611</v>
      </c>
      <c r="E97" s="49">
        <f>IF(ISERROR(INDEX(data!$A$12:$AI$213,MATCH(HLOOKUP('II. Sledování projektu'!$L$5,vstupy!$N$2:$BY$180,$B97+1,0),data!$B$12:$B$213,0),27)),"",INDEX(data!$A$12:$AI$213,MATCH(HLOOKUP('II. Sledování projektu'!$L$5,vstupy!$N$2:$BY$180,$B97+1,0),data!$B$12:$B$213,0),27))</f>
        <v>23649750</v>
      </c>
      <c r="F97" s="54">
        <f>IF(ISERROR(INDEX(data!$A$12:$AI$213,MATCH(HLOOKUP('II. Sledování projektu'!$L$5,vstupy!$N$2:$BY$180,$B97+1,0),data!$B$12:$B$213,0),28)),"",INDEX(data!$A$12:$AI$213,MATCH(HLOOKUP('II. Sledování projektu'!$L$5,vstupy!$N$2:$BY$180,$B97+1,0),data!$B$12:$B$213,0),28))</f>
        <v>26635.11</v>
      </c>
      <c r="G97" s="53">
        <f t="shared" si="9"/>
        <v>1.1262322011860591E-3</v>
      </c>
      <c r="H97" s="53">
        <f>IF(ISERROR(INDEX(data!$A$12:$AI$213,MATCH(HLOOKUP('II. Sledování projektu'!$L$5,vstupy!$N$2:$BY$180,$B97+1,0),data!$B$12:$B$213,0),29)),"",INDEX(data!$A$12:$AI$213,MATCH(HLOOKUP('II. Sledování projektu'!$L$5,vstupy!$N$2:$BY$180,$B97+1,0),data!$B$12:$B$213,0),29))</f>
        <v>0.02</v>
      </c>
      <c r="I97" s="54">
        <f>IF(ISERROR(INDEX(data!$A$12:$AI$213,MATCH(HLOOKUP('II. Sledování projektu'!$L$5,vstupy!$N$2:$BY$180,$B97+1,0),data!$B$12:$B$213,0),31)),"",INDEX(data!$A$12:$AI$213,MATCH(HLOOKUP('II. Sledování projektu'!$L$5,vstupy!$N$2:$BY$180,$B97+1,0),data!$B$12:$B$213,0),31))</f>
        <v>390284.58</v>
      </c>
      <c r="J97" s="53">
        <f t="shared" si="10"/>
        <v>1.6502693685979768E-2</v>
      </c>
      <c r="K97" s="53">
        <f t="shared" si="12"/>
        <v>0.8251346842989884</v>
      </c>
      <c r="L97" s="54">
        <f>IF(ISERROR(INDEX(data!$A$12:$AI$213,MATCH(HLOOKUP('II. Sledování projektu'!$L$5,vstupy!$N$2:$BY$180,$B97+1,0),data!$B$12:$B$213,0),32)),"",INDEX(data!$A$12:$AI$213,MATCH(HLOOKUP('II. Sledování projektu'!$L$5,vstupy!$N$2:$BY$180,$B97+1,0),data!$B$12:$B$213,0),32))</f>
        <v>249376.1</v>
      </c>
      <c r="M97" s="53">
        <f t="shared" si="8"/>
        <v>0.38985685348050469</v>
      </c>
      <c r="N97" s="54">
        <f>IF(ISERROR(VLOOKUP(C97,data!$C$12:$AD$213,28,0)),0,VLOOKUP(C97,data!$C$12:$AD$213,28,0))</f>
        <v>472995</v>
      </c>
    </row>
    <row r="98" spans="2:14" x14ac:dyDescent="0.2">
      <c r="B98" s="19">
        <f t="shared" si="11"/>
        <v>93</v>
      </c>
      <c r="C98" s="19" t="str">
        <f>IF(ISERROR(INDEX(data!$A$12:$AI$213,MATCH(HLOOKUP('II. Sledování projektu'!$L$5,vstupy!$N$2:$BY$180,$B98+1,0),data!$B$12:$B$213,0),3)),"",INDEX(data!$A$12:$AI$213,MATCH(HLOOKUP('II. Sledování projektu'!$L$5,vstupy!$N$2:$BY$180,$B98+1,0),data!$B$12:$B$213,0),3))</f>
        <v>Středisko volného času Korunka</v>
      </c>
      <c r="D98" s="156">
        <f>IF(ISERROR(INDEX(data!$A$12:$AI$213,MATCH(HLOOKUP('II. Sledování projektu'!$L$5,vstupy!$N$2:$BY$180,$B98+1,0),data!$B$12:$B$213,0),35)),"",INDEX(data!$A$12:$AI$213,MATCH(HLOOKUP('II. Sledování projektu'!$L$5,vstupy!$N$2:$BY$180,$B98+1,0),data!$B$12:$B$213,0),35))</f>
        <v>100</v>
      </c>
      <c r="E98" s="49">
        <f>IF(ISERROR(INDEX(data!$A$12:$AI$213,MATCH(HLOOKUP('II. Sledování projektu'!$L$5,vstupy!$N$2:$BY$180,$B98+1,0),data!$B$12:$B$213,0),27)),"",INDEX(data!$A$12:$AI$213,MATCH(HLOOKUP('II. Sledování projektu'!$L$5,vstupy!$N$2:$BY$180,$B98+1,0),data!$B$12:$B$213,0),27))</f>
        <v>2686500</v>
      </c>
      <c r="F98" s="54">
        <f>IF(ISERROR(INDEX(data!$A$12:$AI$213,MATCH(HLOOKUP('II. Sledování projektu'!$L$5,vstupy!$N$2:$BY$180,$B98+1,0),data!$B$12:$B$213,0),28)),"",INDEX(data!$A$12:$AI$213,MATCH(HLOOKUP('II. Sledování projektu'!$L$5,vstupy!$N$2:$BY$180,$B98+1,0),data!$B$12:$B$213,0),28))</f>
        <v>3169364.1100000003</v>
      </c>
      <c r="G98" s="53">
        <f t="shared" si="9"/>
        <v>1.1797372454866928</v>
      </c>
      <c r="H98" s="53">
        <f>IF(ISERROR(INDEX(data!$A$12:$AI$213,MATCH(HLOOKUP('II. Sledování projektu'!$L$5,vstupy!$N$2:$BY$180,$B98+1,0),data!$B$12:$B$213,0),29)),"",INDEX(data!$A$12:$AI$213,MATCH(HLOOKUP('II. Sledování projektu'!$L$5,vstupy!$N$2:$BY$180,$B98+1,0),data!$B$12:$B$213,0),29))</f>
        <v>0.06</v>
      </c>
      <c r="I98" s="54">
        <f>IF(ISERROR(INDEX(data!$A$12:$AI$213,MATCH(HLOOKUP('II. Sledování projektu'!$L$5,vstupy!$N$2:$BY$180,$B98+1,0),data!$B$12:$B$213,0),31)),"",INDEX(data!$A$12:$AI$213,MATCH(HLOOKUP('II. Sledování projektu'!$L$5,vstupy!$N$2:$BY$180,$B98+1,0),data!$B$12:$B$213,0),31))</f>
        <v>249444.34000000003</v>
      </c>
      <c r="J98" s="53">
        <f t="shared" si="10"/>
        <v>9.2851047831751354E-2</v>
      </c>
      <c r="K98" s="53">
        <f t="shared" si="12"/>
        <v>1.5475174638625226</v>
      </c>
      <c r="L98" s="54">
        <f>IF(ISERROR(INDEX(data!$A$12:$AI$213,MATCH(HLOOKUP('II. Sledování projektu'!$L$5,vstupy!$N$2:$BY$180,$B98+1,0),data!$B$12:$B$213,0),32)),"",INDEX(data!$A$12:$AI$213,MATCH(HLOOKUP('II. Sledování projektu'!$L$5,vstupy!$N$2:$BY$180,$B98+1,0),data!$B$12:$B$213,0),32))</f>
        <v>121399.31</v>
      </c>
      <c r="M98" s="53">
        <f t="shared" si="8"/>
        <v>0.32735981861897862</v>
      </c>
      <c r="N98" s="54">
        <f>IF(ISERROR(VLOOKUP(C98,data!$C$12:$AD$213,28,0)),0,VLOOKUP(C98,data!$C$12:$AD$213,28,0))</f>
        <v>161190</v>
      </c>
    </row>
    <row r="99" spans="2:14" x14ac:dyDescent="0.2">
      <c r="B99" s="19">
        <f t="shared" si="11"/>
        <v>94</v>
      </c>
      <c r="C99" s="19" t="str">
        <f>IF(ISERROR(INDEX(data!$A$12:$AI$213,MATCH(HLOOKUP('II. Sledování projektu'!$L$5,vstupy!$N$2:$BY$180,$B99+1,0),data!$B$12:$B$213,0),3)),"",INDEX(data!$A$12:$AI$213,MATCH(HLOOKUP('II. Sledování projektu'!$L$5,vstupy!$N$2:$BY$180,$B99+1,0),data!$B$12:$B$213,0),3))</f>
        <v>Středisko volného času O-Zábřeh</v>
      </c>
      <c r="D99" s="156">
        <f>IF(ISERROR(INDEX(data!$A$12:$AI$213,MATCH(HLOOKUP('II. Sledování projektu'!$L$5,vstupy!$N$2:$BY$180,$B99+1,0),data!$B$12:$B$213,0),35)),"",INDEX(data!$A$12:$AI$213,MATCH(HLOOKUP('II. Sledování projektu'!$L$5,vstupy!$N$2:$BY$180,$B99+1,0),data!$B$12:$B$213,0),35))</f>
        <v>100</v>
      </c>
      <c r="E99" s="49">
        <f>IF(ISERROR(INDEX(data!$A$12:$AI$213,MATCH(HLOOKUP('II. Sledování projektu'!$L$5,vstupy!$N$2:$BY$180,$B99+1,0),data!$B$12:$B$213,0),27)),"",INDEX(data!$A$12:$AI$213,MATCH(HLOOKUP('II. Sledování projektu'!$L$5,vstupy!$N$2:$BY$180,$B99+1,0),data!$B$12:$B$213,0),27))</f>
        <v>4118250</v>
      </c>
      <c r="F99" s="54">
        <f>IF(ISERROR(INDEX(data!$A$12:$AI$213,MATCH(HLOOKUP('II. Sledování projektu'!$L$5,vstupy!$N$2:$BY$180,$B99+1,0),data!$B$12:$B$213,0),28)),"",INDEX(data!$A$12:$AI$213,MATCH(HLOOKUP('II. Sledování projektu'!$L$5,vstupy!$N$2:$BY$180,$B99+1,0),data!$B$12:$B$213,0),28))</f>
        <v>3834374.7399999998</v>
      </c>
      <c r="G99" s="53">
        <f t="shared" si="9"/>
        <v>0.93106895890244634</v>
      </c>
      <c r="H99" s="53">
        <f>IF(ISERROR(INDEX(data!$A$12:$AI$213,MATCH(HLOOKUP('II. Sledování projektu'!$L$5,vstupy!$N$2:$BY$180,$B99+1,0),data!$B$12:$B$213,0),29)),"",INDEX(data!$A$12:$AI$213,MATCH(HLOOKUP('II. Sledování projektu'!$L$5,vstupy!$N$2:$BY$180,$B99+1,0),data!$B$12:$B$213,0),29))</f>
        <v>0.15</v>
      </c>
      <c r="I99" s="54">
        <f>IF(ISERROR(INDEX(data!$A$12:$AI$213,MATCH(HLOOKUP('II. Sledování projektu'!$L$5,vstupy!$N$2:$BY$180,$B99+1,0),data!$B$12:$B$213,0),31)),"",INDEX(data!$A$12:$AI$213,MATCH(HLOOKUP('II. Sledování projektu'!$L$5,vstupy!$N$2:$BY$180,$B99+1,0),data!$B$12:$B$213,0),31))</f>
        <v>748251.53</v>
      </c>
      <c r="J99" s="53">
        <f t="shared" si="10"/>
        <v>0.181691623869362</v>
      </c>
      <c r="K99" s="53">
        <f t="shared" si="12"/>
        <v>1.2112774924624132</v>
      </c>
      <c r="L99" s="54">
        <f>IF(ISERROR(INDEX(data!$A$12:$AI$213,MATCH(HLOOKUP('II. Sledování projektu'!$L$5,vstupy!$N$2:$BY$180,$B99+1,0),data!$B$12:$B$213,0),32)),"",INDEX(data!$A$12:$AI$213,MATCH(HLOOKUP('II. Sledování projektu'!$L$5,vstupy!$N$2:$BY$180,$B99+1,0),data!$B$12:$B$213,0),32))</f>
        <v>304366.12</v>
      </c>
      <c r="M99" s="53">
        <f t="shared" si="8"/>
        <v>0.28915164019907896</v>
      </c>
      <c r="N99" s="54">
        <f>IF(ISERROR(VLOOKUP(C99,data!$C$12:$AD$213,28,0)),0,VLOOKUP(C99,data!$C$12:$AD$213,28,0))</f>
        <v>617737.5</v>
      </c>
    </row>
    <row r="100" spans="2:14" x14ac:dyDescent="0.2">
      <c r="B100" s="19">
        <f t="shared" si="11"/>
        <v>95</v>
      </c>
      <c r="C100" s="19" t="str">
        <f>IF(ISERROR(INDEX(data!$A$12:$AI$213,MATCH(HLOOKUP('II. Sledování projektu'!$L$5,vstupy!$N$2:$BY$180,$B100+1,0),data!$B$12:$B$213,0),3)),"",INDEX(data!$A$12:$AI$213,MATCH(HLOOKUP('II. Sledování projektu'!$L$5,vstupy!$N$2:$BY$180,$B100+1,0),data!$B$12:$B$213,0),3))</f>
        <v>Středisko volného času Ostrava</v>
      </c>
      <c r="D100" s="156">
        <f>IF(ISERROR(INDEX(data!$A$12:$AI$213,MATCH(HLOOKUP('II. Sledování projektu'!$L$5,vstupy!$N$2:$BY$180,$B100+1,0),data!$B$12:$B$213,0),35)),"",INDEX(data!$A$12:$AI$213,MATCH(HLOOKUP('II. Sledování projektu'!$L$5,vstupy!$N$2:$BY$180,$B100+1,0),data!$B$12:$B$213,0),35))</f>
        <v>84.996199672385544</v>
      </c>
      <c r="E100" s="49">
        <f>IF(ISERROR(INDEX(data!$A$12:$AI$213,MATCH(HLOOKUP('II. Sledování projektu'!$L$5,vstupy!$N$2:$BY$180,$B100+1,0),data!$B$12:$B$213,0),27)),"",INDEX(data!$A$12:$AI$213,MATCH(HLOOKUP('II. Sledování projektu'!$L$5,vstupy!$N$2:$BY$180,$B100+1,0),data!$B$12:$B$213,0),27))</f>
        <v>2485500</v>
      </c>
      <c r="F100" s="54">
        <f>IF(ISERROR(INDEX(data!$A$12:$AI$213,MATCH(HLOOKUP('II. Sledování projektu'!$L$5,vstupy!$N$2:$BY$180,$B100+1,0),data!$B$12:$B$213,0),28)),"",INDEX(data!$A$12:$AI$213,MATCH(HLOOKUP('II. Sledování projektu'!$L$5,vstupy!$N$2:$BY$180,$B100+1,0),data!$B$12:$B$213,0),28))</f>
        <v>2703588.77</v>
      </c>
      <c r="G100" s="53">
        <f t="shared" si="9"/>
        <v>1.0877444256688795</v>
      </c>
      <c r="H100" s="53">
        <f>IF(ISERROR(INDEX(data!$A$12:$AI$213,MATCH(HLOOKUP('II. Sledování projektu'!$L$5,vstupy!$N$2:$BY$180,$B100+1,0),data!$B$12:$B$213,0),29)),"",INDEX(data!$A$12:$AI$213,MATCH(HLOOKUP('II. Sledování projektu'!$L$5,vstupy!$N$2:$BY$180,$B100+1,0),data!$B$12:$B$213,0),29))</f>
        <v>0.14000000000000001</v>
      </c>
      <c r="I100" s="54">
        <f>IF(ISERROR(INDEX(data!$A$12:$AI$213,MATCH(HLOOKUP('II. Sledování projektu'!$L$5,vstupy!$N$2:$BY$180,$B100+1,0),data!$B$12:$B$213,0),31)),"",INDEX(data!$A$12:$AI$213,MATCH(HLOOKUP('II. Sledování projektu'!$L$5,vstupy!$N$2:$BY$180,$B100+1,0),data!$B$12:$B$213,0),31))</f>
        <v>260955.46000000002</v>
      </c>
      <c r="J100" s="53">
        <f t="shared" si="10"/>
        <v>0.10499113256889962</v>
      </c>
      <c r="K100" s="53">
        <f t="shared" si="12"/>
        <v>0.74993666120642577</v>
      </c>
      <c r="L100" s="54">
        <f>IF(ISERROR(INDEX(data!$A$12:$AI$213,MATCH(HLOOKUP('II. Sledování projektu'!$L$5,vstupy!$N$2:$BY$180,$B100+1,0),data!$B$12:$B$213,0),32)),"",INDEX(data!$A$12:$AI$213,MATCH(HLOOKUP('II. Sledování projektu'!$L$5,vstupy!$N$2:$BY$180,$B100+1,0),data!$B$12:$B$213,0),32))</f>
        <v>83080.350000000006</v>
      </c>
      <c r="M100" s="53">
        <f t="shared" si="8"/>
        <v>0.2414875067801808</v>
      </c>
      <c r="N100" s="54">
        <f>IF(ISERROR(VLOOKUP(C100,data!$C$12:$AD$213,28,0)),0,VLOOKUP(C100,data!$C$12:$AD$213,28,0))</f>
        <v>347970.00000000006</v>
      </c>
    </row>
    <row r="101" spans="2:14" x14ac:dyDescent="0.2">
      <c r="B101" s="19">
        <f t="shared" si="11"/>
        <v>96</v>
      </c>
      <c r="C101" s="19" t="str">
        <f>IF(ISERROR(INDEX(data!$A$12:$AI$213,MATCH(HLOOKUP('II. Sledování projektu'!$L$5,vstupy!$N$2:$BY$180,$B101+1,0),data!$B$12:$B$213,0),3)),"",INDEX(data!$A$12:$AI$213,MATCH(HLOOKUP('II. Sledování projektu'!$L$5,vstupy!$N$2:$BY$180,$B101+1,0),data!$B$12:$B$213,0),3))</f>
        <v>Technické služby Moravská Ostrava a Přívoz</v>
      </c>
      <c r="D101" s="156">
        <f>IF(ISERROR(INDEX(data!$A$12:$AI$213,MATCH(HLOOKUP('II. Sledování projektu'!$L$5,vstupy!$N$2:$BY$180,$B101+1,0),data!$B$12:$B$213,0),35)),"",INDEX(data!$A$12:$AI$213,MATCH(HLOOKUP('II. Sledování projektu'!$L$5,vstupy!$N$2:$BY$180,$B101+1,0),data!$B$12:$B$213,0),35))</f>
        <v>92.335601649028092</v>
      </c>
      <c r="E101" s="49">
        <f>IF(ISERROR(INDEX(data!$A$12:$AI$213,MATCH(HLOOKUP('II. Sledování projektu'!$L$5,vstupy!$N$2:$BY$180,$B101+1,0),data!$B$12:$B$213,0),27)),"",INDEX(data!$A$12:$AI$213,MATCH(HLOOKUP('II. Sledování projektu'!$L$5,vstupy!$N$2:$BY$180,$B101+1,0),data!$B$12:$B$213,0),27))</f>
        <v>15472575</v>
      </c>
      <c r="F101" s="54">
        <f>IF(ISERROR(INDEX(data!$A$12:$AI$213,MATCH(HLOOKUP('II. Sledování projektu'!$L$5,vstupy!$N$2:$BY$180,$B101+1,0),data!$B$12:$B$213,0),28)),"",INDEX(data!$A$12:$AI$213,MATCH(HLOOKUP('II. Sledování projektu'!$L$5,vstupy!$N$2:$BY$180,$B101+1,0),data!$B$12:$B$213,0),28))</f>
        <v>13069921.57</v>
      </c>
      <c r="G101" s="53">
        <f t="shared" si="9"/>
        <v>0.84471534763929079</v>
      </c>
      <c r="H101" s="53">
        <f>IF(ISERROR(INDEX(data!$A$12:$AI$213,MATCH(HLOOKUP('II. Sledování projektu'!$L$5,vstupy!$N$2:$BY$180,$B101+1,0),data!$B$12:$B$213,0),29)),"",INDEX(data!$A$12:$AI$213,MATCH(HLOOKUP('II. Sledování projektu'!$L$5,vstupy!$N$2:$BY$180,$B101+1,0),data!$B$12:$B$213,0),29))</f>
        <v>0.43912186127453956</v>
      </c>
      <c r="I101" s="54">
        <f>IF(ISERROR(INDEX(data!$A$12:$AI$213,MATCH(HLOOKUP('II. Sledování projektu'!$L$5,vstupy!$N$2:$BY$180,$B101+1,0),data!$B$12:$B$213,0),31)),"",INDEX(data!$A$12:$AI$213,MATCH(HLOOKUP('II. Sledování projektu'!$L$5,vstupy!$N$2:$BY$180,$B101+1,0),data!$B$12:$B$213,0),31))</f>
        <v>5926436.3699999992</v>
      </c>
      <c r="J101" s="53">
        <f t="shared" si="10"/>
        <v>0.38302844678406789</v>
      </c>
      <c r="K101" s="53">
        <f t="shared" si="12"/>
        <v>0.87226002748380138</v>
      </c>
      <c r="L101" s="54">
        <f>IF(ISERROR(INDEX(data!$A$12:$AI$213,MATCH(HLOOKUP('II. Sledování projektu'!$L$5,vstupy!$N$2:$BY$180,$B101+1,0),data!$B$12:$B$213,0),32)),"",INDEX(data!$A$12:$AI$213,MATCH(HLOOKUP('II. Sledování projektu'!$L$5,vstupy!$N$2:$BY$180,$B101+1,0),data!$B$12:$B$213,0),32))</f>
        <v>407761.79</v>
      </c>
      <c r="M101" s="53">
        <f t="shared" si="8"/>
        <v>6.4374650066205075E-2</v>
      </c>
      <c r="N101" s="54">
        <f>IF(ISERROR(VLOOKUP(C101,data!$C$12:$AD$213,28,0)),0,VLOOKUP(C101,data!$C$12:$AD$213,28,0))</f>
        <v>6794345.932709909</v>
      </c>
    </row>
    <row r="102" spans="2:14" x14ac:dyDescent="0.2">
      <c r="B102" s="19">
        <f t="shared" si="11"/>
        <v>97</v>
      </c>
      <c r="C102" s="19" t="str">
        <f>IF(ISERROR(INDEX(data!$A$12:$AI$213,MATCH(HLOOKUP('II. Sledování projektu'!$L$5,vstupy!$N$2:$BY$180,$B102+1,0),data!$B$12:$B$213,0),3)),"",INDEX(data!$A$12:$AI$213,MATCH(HLOOKUP('II. Sledování projektu'!$L$5,vstupy!$N$2:$BY$180,$B102+1,0),data!$B$12:$B$213,0),3))</f>
        <v>Technické služby O-Jih</v>
      </c>
      <c r="D102" s="156">
        <f>IF(ISERROR(INDEX(data!$A$12:$AI$213,MATCH(HLOOKUP('II. Sledování projektu'!$L$5,vstupy!$N$2:$BY$180,$B102+1,0),data!$B$12:$B$213,0),35)),"",INDEX(data!$A$12:$AI$213,MATCH(HLOOKUP('II. Sledování projektu'!$L$5,vstupy!$N$2:$BY$180,$B102+1,0),data!$B$12:$B$213,0),35))</f>
        <v>36.985645725508796</v>
      </c>
      <c r="E102" s="49">
        <f>IF(ISERROR(INDEX(data!$A$12:$AI$213,MATCH(HLOOKUP('II. Sledování projektu'!$L$5,vstupy!$N$2:$BY$180,$B102+1,0),data!$B$12:$B$213,0),27)),"",INDEX(data!$A$12:$AI$213,MATCH(HLOOKUP('II. Sledování projektu'!$L$5,vstupy!$N$2:$BY$180,$B102+1,0),data!$B$12:$B$213,0),27))</f>
        <v>2673750</v>
      </c>
      <c r="F102" s="54">
        <f>IF(ISERROR(INDEX(data!$A$12:$AI$213,MATCH(HLOOKUP('II. Sledování projektu'!$L$5,vstupy!$N$2:$BY$180,$B102+1,0),data!$B$12:$B$213,0),28)),"",INDEX(data!$A$12:$AI$213,MATCH(HLOOKUP('II. Sledování projektu'!$L$5,vstupy!$N$2:$BY$180,$B102+1,0),data!$B$12:$B$213,0),28))</f>
        <v>85795.93</v>
      </c>
      <c r="G102" s="53">
        <f t="shared" si="9"/>
        <v>3.2088239364188871E-2</v>
      </c>
      <c r="H102" s="53">
        <f>IF(ISERROR(INDEX(data!$A$12:$AI$213,MATCH(HLOOKUP('II. Sledování projektu'!$L$5,vstupy!$N$2:$BY$180,$B102+1,0),data!$B$12:$B$213,0),29)),"",INDEX(data!$A$12:$AI$213,MATCH(HLOOKUP('II. Sledování projektu'!$L$5,vstupy!$N$2:$BY$180,$B102+1,0),data!$B$12:$B$213,0),29))</f>
        <v>7.8393831087387525E-2</v>
      </c>
      <c r="I102" s="54">
        <f>IF(ISERROR(INDEX(data!$A$12:$AI$213,MATCH(HLOOKUP('II. Sledování projektu'!$L$5,vstupy!$N$2:$BY$180,$B102+1,0),data!$B$12:$B$213,0),31)),"",INDEX(data!$A$12:$AI$213,MATCH(HLOOKUP('II. Sledování projektu'!$L$5,vstupy!$N$2:$BY$180,$B102+1,0),data!$B$12:$B$213,0),31))</f>
        <v>123601.69</v>
      </c>
      <c r="J102" s="53">
        <f t="shared" si="10"/>
        <v>4.6227841047218325E-2</v>
      </c>
      <c r="K102" s="53">
        <f t="shared" si="12"/>
        <v>0.58968722928832262</v>
      </c>
      <c r="L102" s="54">
        <f>IF(ISERROR(INDEX(data!$A$12:$AI$213,MATCH(HLOOKUP('II. Sledování projektu'!$L$5,vstupy!$N$2:$BY$180,$B102+1,0),data!$B$12:$B$213,0),32)),"",INDEX(data!$A$12:$AI$213,MATCH(HLOOKUP('II. Sledování projektu'!$L$5,vstupy!$N$2:$BY$180,$B102+1,0),data!$B$12:$B$213,0),32))</f>
        <v>10222.84</v>
      </c>
      <c r="M102" s="53">
        <f t="shared" ref="M102:M133" si="13">IF(ISERROR(L102/I102),0,IF(uspora="A",L102/I102,L102/(I102+L102)))</f>
        <v>7.6389881585984282E-2</v>
      </c>
      <c r="N102" s="54">
        <f>IF(ISERROR(VLOOKUP(C102,data!$C$12:$AD$213,28,0)),0,VLOOKUP(C102,data!$C$12:$AD$213,28,0))</f>
        <v>209605.50586990241</v>
      </c>
    </row>
    <row r="103" spans="2:14" x14ac:dyDescent="0.2">
      <c r="B103" s="19">
        <f t="shared" si="11"/>
        <v>98</v>
      </c>
      <c r="C103" s="19" t="str">
        <f>IF(ISERROR(INDEX(data!$A$12:$AI$213,MATCH(HLOOKUP('II. Sledování projektu'!$L$5,vstupy!$N$2:$BY$180,$B103+1,0),data!$B$12:$B$213,0),3)),"",INDEX(data!$A$12:$AI$213,MATCH(HLOOKUP('II. Sledování projektu'!$L$5,vstupy!$N$2:$BY$180,$B103+1,0),data!$B$12:$B$213,0),3))</f>
        <v>Technické služby Slezská Ostrava</v>
      </c>
      <c r="D103" s="156">
        <f>IF(ISERROR(INDEX(data!$A$12:$AI$213,MATCH(HLOOKUP('II. Sledování projektu'!$L$5,vstupy!$N$2:$BY$180,$B103+1,0),data!$B$12:$B$213,0),35)),"",INDEX(data!$A$12:$AI$213,MATCH(HLOOKUP('II. Sledování projektu'!$L$5,vstupy!$N$2:$BY$180,$B103+1,0),data!$B$12:$B$213,0),35))</f>
        <v>67.034857945937972</v>
      </c>
      <c r="E103" s="49">
        <f>IF(ISERROR(INDEX(data!$A$12:$AI$213,MATCH(HLOOKUP('II. Sledování projektu'!$L$5,vstupy!$N$2:$BY$180,$B103+1,0),data!$B$12:$B$213,0),27)),"",INDEX(data!$A$12:$AI$213,MATCH(HLOOKUP('II. Sledování projektu'!$L$5,vstupy!$N$2:$BY$180,$B103+1,0),data!$B$12:$B$213,0),27))</f>
        <v>17492700</v>
      </c>
      <c r="F103" s="54">
        <f>IF(ISERROR(INDEX(data!$A$12:$AI$213,MATCH(HLOOKUP('II. Sledování projektu'!$L$5,vstupy!$N$2:$BY$180,$B103+1,0),data!$B$12:$B$213,0),28)),"",INDEX(data!$A$12:$AI$213,MATCH(HLOOKUP('II. Sledování projektu'!$L$5,vstupy!$N$2:$BY$180,$B103+1,0),data!$B$12:$B$213,0),28))</f>
        <v>6848549.21</v>
      </c>
      <c r="G103" s="53">
        <f t="shared" si="9"/>
        <v>0.39150898431917314</v>
      </c>
      <c r="H103" s="53">
        <f>IF(ISERROR(INDEX(data!$A$12:$AI$213,MATCH(HLOOKUP('II. Sledování projektu'!$L$5,vstupy!$N$2:$BY$180,$B103+1,0),data!$B$12:$B$213,0),29)),"",INDEX(data!$A$12:$AI$213,MATCH(HLOOKUP('II. Sledování projektu'!$L$5,vstupy!$N$2:$BY$180,$B103+1,0),data!$B$12:$B$213,0),29))</f>
        <v>0.44</v>
      </c>
      <c r="I103" s="54">
        <f>IF(ISERROR(INDEX(data!$A$12:$AI$213,MATCH(HLOOKUP('II. Sledování projektu'!$L$5,vstupy!$N$2:$BY$180,$B103+1,0),data!$B$12:$B$213,0),31)),"",INDEX(data!$A$12:$AI$213,MATCH(HLOOKUP('II. Sledování projektu'!$L$5,vstupy!$N$2:$BY$180,$B103+1,0),data!$B$12:$B$213,0),31))</f>
        <v>6088083.46</v>
      </c>
      <c r="J103" s="53">
        <f t="shared" si="10"/>
        <v>0.34803566401984826</v>
      </c>
      <c r="K103" s="53">
        <f t="shared" si="12"/>
        <v>0.79099014549965518</v>
      </c>
      <c r="L103" s="54">
        <f>IF(ISERROR(INDEX(data!$A$12:$AI$213,MATCH(HLOOKUP('II. Sledování projektu'!$L$5,vstupy!$N$2:$BY$180,$B103+1,0),data!$B$12:$B$213,0),32)),"",INDEX(data!$A$12:$AI$213,MATCH(HLOOKUP('II. Sledování projektu'!$L$5,vstupy!$N$2:$BY$180,$B103+1,0),data!$B$12:$B$213,0),32))</f>
        <v>372914.45999999996</v>
      </c>
      <c r="M103" s="53">
        <f t="shared" si="13"/>
        <v>5.7717780537530336E-2</v>
      </c>
      <c r="N103" s="54">
        <f>IF(ISERROR(VLOOKUP(C103,data!$C$12:$AD$213,28,0)),0,VLOOKUP(C103,data!$C$12:$AD$213,28,0))</f>
        <v>7696788</v>
      </c>
    </row>
    <row r="104" spans="2:14" x14ac:dyDescent="0.2">
      <c r="B104" s="19">
        <f t="shared" si="11"/>
        <v>99</v>
      </c>
      <c r="C104" s="19" t="str">
        <f>IF(ISERROR(INDEX(data!$A$12:$AI$213,MATCH(HLOOKUP('II. Sledování projektu'!$L$5,vstupy!$N$2:$BY$180,$B104+1,0),data!$B$12:$B$213,0),3)),"",INDEX(data!$A$12:$AI$213,MATCH(HLOOKUP('II. Sledování projektu'!$L$5,vstupy!$N$2:$BY$180,$B104+1,0),data!$B$12:$B$213,0),3))</f>
        <v>Technický dvůr O-Svinov</v>
      </c>
      <c r="D104" s="156">
        <f>IF(ISERROR(INDEX(data!$A$12:$AI$213,MATCH(HLOOKUP('II. Sledování projektu'!$L$5,vstupy!$N$2:$BY$180,$B104+1,0),data!$B$12:$B$213,0),35)),"",INDEX(data!$A$12:$AI$213,MATCH(HLOOKUP('II. Sledování projektu'!$L$5,vstupy!$N$2:$BY$180,$B104+1,0),data!$B$12:$B$213,0),35))</f>
        <v>29.160551521645615</v>
      </c>
      <c r="E104" s="49">
        <f>IF(ISERROR(INDEX(data!$A$12:$AI$213,MATCH(HLOOKUP('II. Sledování projektu'!$L$5,vstupy!$N$2:$BY$180,$B104+1,0),data!$B$12:$B$213,0),27)),"",INDEX(data!$A$12:$AI$213,MATCH(HLOOKUP('II. Sledování projektu'!$L$5,vstupy!$N$2:$BY$180,$B104+1,0),data!$B$12:$B$213,0),27))</f>
        <v>3033045</v>
      </c>
      <c r="F104" s="54">
        <f>IF(ISERROR(INDEX(data!$A$12:$AI$213,MATCH(HLOOKUP('II. Sledování projektu'!$L$5,vstupy!$N$2:$BY$180,$B104+1,0),data!$B$12:$B$213,0),28)),"",INDEX(data!$A$12:$AI$213,MATCH(HLOOKUP('II. Sledování projektu'!$L$5,vstupy!$N$2:$BY$180,$B104+1,0),data!$B$12:$B$213,0),28))</f>
        <v>532122.78</v>
      </c>
      <c r="G104" s="53">
        <f t="shared" si="9"/>
        <v>0.17544176891539692</v>
      </c>
      <c r="H104" s="53">
        <f>IF(ISERROR(INDEX(data!$A$12:$AI$213,MATCH(HLOOKUP('II. Sledování projektu'!$L$5,vstupy!$N$2:$BY$180,$B104+1,0),data!$B$12:$B$213,0),29)),"",INDEX(data!$A$12:$AI$213,MATCH(HLOOKUP('II. Sledování projektu'!$L$5,vstupy!$N$2:$BY$180,$B104+1,0),data!$B$12:$B$213,0),29))</f>
        <v>0.11452894727439659</v>
      </c>
      <c r="I104" s="54">
        <f>IF(ISERROR(INDEX(data!$A$12:$AI$213,MATCH(HLOOKUP('II. Sledování projektu'!$L$5,vstupy!$N$2:$BY$180,$B104+1,0),data!$B$12:$B$213,0),31)),"",INDEX(data!$A$12:$AI$213,MATCH(HLOOKUP('II. Sledování projektu'!$L$5,vstupy!$N$2:$BY$180,$B104+1,0),data!$B$12:$B$213,0),31))</f>
        <v>118039.5</v>
      </c>
      <c r="J104" s="53">
        <f t="shared" si="10"/>
        <v>3.8917820210382634E-2</v>
      </c>
      <c r="K104" s="53">
        <f t="shared" si="12"/>
        <v>0.33980771793126285</v>
      </c>
      <c r="L104" s="54">
        <f>IF(ISERROR(INDEX(data!$A$12:$AI$213,MATCH(HLOOKUP('II. Sledování projektu'!$L$5,vstupy!$N$2:$BY$180,$B104+1,0),data!$B$12:$B$213,0),32)),"",INDEX(data!$A$12:$AI$213,MATCH(HLOOKUP('II. Sledování projektu'!$L$5,vstupy!$N$2:$BY$180,$B104+1,0),data!$B$12:$B$213,0),32))</f>
        <v>98091.81</v>
      </c>
      <c r="M104" s="53">
        <f t="shared" si="13"/>
        <v>0.4538528452911334</v>
      </c>
      <c r="N104" s="54">
        <f>IF(ISERROR(VLOOKUP(C104,data!$C$12:$AD$213,28,0)),0,VLOOKUP(C104,data!$C$12:$AD$213,28,0))</f>
        <v>347371.45088587224</v>
      </c>
    </row>
    <row r="105" spans="2:14" x14ac:dyDescent="0.2">
      <c r="B105" s="19">
        <f t="shared" si="11"/>
        <v>100</v>
      </c>
      <c r="C105" s="19" t="str">
        <f>IF(ISERROR(INDEX(data!$A$12:$AI$213,MATCH(HLOOKUP('II. Sledování projektu'!$L$5,vstupy!$N$2:$BY$180,$B105+1,0),data!$B$12:$B$213,0),3)),"",INDEX(data!$A$12:$AI$213,MATCH(HLOOKUP('II. Sledování projektu'!$L$5,vstupy!$N$2:$BY$180,$B105+1,0),data!$B$12:$B$213,0),3))</f>
        <v>ÚMOb Hošťálkovice</v>
      </c>
      <c r="D105" s="156">
        <f>IF(ISERROR(INDEX(data!$A$12:$AI$213,MATCH(HLOOKUP('II. Sledování projektu'!$L$5,vstupy!$N$2:$BY$180,$B105+1,0),data!$B$12:$B$213,0),35)),"",INDEX(data!$A$12:$AI$213,MATCH(HLOOKUP('II. Sledování projektu'!$L$5,vstupy!$N$2:$BY$180,$B105+1,0),data!$B$12:$B$213,0),35))</f>
        <v>51.946022139584002</v>
      </c>
      <c r="E105" s="49">
        <f>IF(ISERROR(INDEX(data!$A$12:$AI$213,MATCH(HLOOKUP('II. Sledování projektu'!$L$5,vstupy!$N$2:$BY$180,$B105+1,0),data!$B$12:$B$213,0),27)),"",INDEX(data!$A$12:$AI$213,MATCH(HLOOKUP('II. Sledování projektu'!$L$5,vstupy!$N$2:$BY$180,$B105+1,0),data!$B$12:$B$213,0),27))</f>
        <v>2634000</v>
      </c>
      <c r="F105" s="54">
        <f>IF(ISERROR(INDEX(data!$A$12:$AI$213,MATCH(HLOOKUP('II. Sledování projektu'!$L$5,vstupy!$N$2:$BY$180,$B105+1,0),data!$B$12:$B$213,0),28)),"",INDEX(data!$A$12:$AI$213,MATCH(HLOOKUP('II. Sledování projektu'!$L$5,vstupy!$N$2:$BY$180,$B105+1,0),data!$B$12:$B$213,0),28))</f>
        <v>1871528.37</v>
      </c>
      <c r="G105" s="53">
        <f t="shared" si="9"/>
        <v>0.7105270956719818</v>
      </c>
      <c r="H105" s="53">
        <f>IF(ISERROR(INDEX(data!$A$12:$AI$213,MATCH(HLOOKUP('II. Sledování projektu'!$L$5,vstupy!$N$2:$BY$180,$B105+1,0),data!$B$12:$B$213,0),29)),"",INDEX(data!$A$12:$AI$213,MATCH(HLOOKUP('II. Sledování projektu'!$L$5,vstupy!$N$2:$BY$180,$B105+1,0),data!$B$12:$B$213,0),29))</f>
        <v>0.11961456907126954</v>
      </c>
      <c r="I105" s="54">
        <f>IF(ISERROR(INDEX(data!$A$12:$AI$213,MATCH(HLOOKUP('II. Sledování projektu'!$L$5,vstupy!$N$2:$BY$180,$B105+1,0),data!$B$12:$B$213,0),31)),"",INDEX(data!$A$12:$AI$213,MATCH(HLOOKUP('II. Sledování projektu'!$L$5,vstupy!$N$2:$BY$180,$B105+1,0),data!$B$12:$B$213,0),31))</f>
        <v>86220.98</v>
      </c>
      <c r="J105" s="53">
        <f t="shared" si="10"/>
        <v>3.2733857251328775E-2</v>
      </c>
      <c r="K105" s="53">
        <f t="shared" si="12"/>
        <v>0.27366112259974851</v>
      </c>
      <c r="L105" s="54">
        <f>IF(ISERROR(INDEX(data!$A$12:$AI$213,MATCH(HLOOKUP('II. Sledování projektu'!$L$5,vstupy!$N$2:$BY$180,$B105+1,0),data!$B$12:$B$213,0),32)),"",INDEX(data!$A$12:$AI$213,MATCH(HLOOKUP('II. Sledování projektu'!$L$5,vstupy!$N$2:$BY$180,$B105+1,0),data!$B$12:$B$213,0),32))</f>
        <v>52602.020000000004</v>
      </c>
      <c r="M105" s="53">
        <f t="shared" si="13"/>
        <v>0.37891430094436801</v>
      </c>
      <c r="N105" s="54">
        <f>IF(ISERROR(VLOOKUP(C105,data!$C$12:$AD$213,28,0)),0,VLOOKUP(C105,data!$C$12:$AD$213,28,0))</f>
        <v>315064.77493372397</v>
      </c>
    </row>
    <row r="106" spans="2:14" x14ac:dyDescent="0.2">
      <c r="B106" s="19">
        <f t="shared" si="11"/>
        <v>101</v>
      </c>
      <c r="C106" s="19" t="str">
        <f>IF(ISERROR(INDEX(data!$A$12:$AI$213,MATCH(HLOOKUP('II. Sledování projektu'!$L$5,vstupy!$N$2:$BY$180,$B106+1,0),data!$B$12:$B$213,0),3)),"",INDEX(data!$A$12:$AI$213,MATCH(HLOOKUP('II. Sledování projektu'!$L$5,vstupy!$N$2:$BY$180,$B106+1,0),data!$B$12:$B$213,0),3))</f>
        <v>ÚMOb Hrabová</v>
      </c>
      <c r="D106" s="156">
        <f>IF(ISERROR(INDEX(data!$A$12:$AI$213,MATCH(HLOOKUP('II. Sledování projektu'!$L$5,vstupy!$N$2:$BY$180,$B106+1,0),data!$B$12:$B$213,0),35)),"",INDEX(data!$A$12:$AI$213,MATCH(HLOOKUP('II. Sledování projektu'!$L$5,vstupy!$N$2:$BY$180,$B106+1,0),data!$B$12:$B$213,0),35))</f>
        <v>9.5215624291432999</v>
      </c>
      <c r="E106" s="49">
        <f>IF(ISERROR(INDEX(data!$A$12:$AI$213,MATCH(HLOOKUP('II. Sledování projektu'!$L$5,vstupy!$N$2:$BY$180,$B106+1,0),data!$B$12:$B$213,0),27)),"",INDEX(data!$A$12:$AI$213,MATCH(HLOOKUP('II. Sledování projektu'!$L$5,vstupy!$N$2:$BY$180,$B106+1,0),data!$B$12:$B$213,0),27))</f>
        <v>9206250</v>
      </c>
      <c r="F106" s="54">
        <f>IF(ISERROR(INDEX(data!$A$12:$AI$213,MATCH(HLOOKUP('II. Sledování projektu'!$L$5,vstupy!$N$2:$BY$180,$B106+1,0),data!$B$12:$B$213,0),28)),"",INDEX(data!$A$12:$AI$213,MATCH(HLOOKUP('II. Sledování projektu'!$L$5,vstupy!$N$2:$BY$180,$B106+1,0),data!$B$12:$B$213,0),28))</f>
        <v>11476.5</v>
      </c>
      <c r="G106" s="53">
        <f t="shared" si="9"/>
        <v>1.2465987780040733E-3</v>
      </c>
      <c r="H106" s="53">
        <f>IF(ISERROR(INDEX(data!$A$12:$AI$213,MATCH(HLOOKUP('II. Sledování projektu'!$L$5,vstupy!$N$2:$BY$180,$B106+1,0),data!$B$12:$B$213,0),29)),"",INDEX(data!$A$12:$AI$213,MATCH(HLOOKUP('II. Sledování projektu'!$L$5,vstupy!$N$2:$BY$180,$B106+1,0),data!$B$12:$B$213,0),29))</f>
        <v>0.24360000000000001</v>
      </c>
      <c r="I106" s="54">
        <f>IF(ISERROR(INDEX(data!$A$12:$AI$213,MATCH(HLOOKUP('II. Sledování projektu'!$L$5,vstupy!$N$2:$BY$180,$B106+1,0),data!$B$12:$B$213,0),31)),"",INDEX(data!$A$12:$AI$213,MATCH(HLOOKUP('II. Sledování projektu'!$L$5,vstupy!$N$2:$BY$180,$B106+1,0),data!$B$12:$B$213,0),31))</f>
        <v>353561.28</v>
      </c>
      <c r="J106" s="53">
        <f t="shared" si="10"/>
        <v>3.840448391038697E-2</v>
      </c>
      <c r="K106" s="53">
        <f t="shared" si="12"/>
        <v>0.15765387483738494</v>
      </c>
      <c r="L106" s="54">
        <f>IF(ISERROR(INDEX(data!$A$12:$AI$213,MATCH(HLOOKUP('II. Sledování projektu'!$L$5,vstupy!$N$2:$BY$180,$B106+1,0),data!$B$12:$B$213,0),32)),"",INDEX(data!$A$12:$AI$213,MATCH(HLOOKUP('II. Sledování projektu'!$L$5,vstupy!$N$2:$BY$180,$B106+1,0),data!$B$12:$B$213,0),32))</f>
        <v>284982.59999999998</v>
      </c>
      <c r="M106" s="53">
        <f t="shared" si="13"/>
        <v>0.44630073034291706</v>
      </c>
      <c r="N106" s="54">
        <f>IF(ISERROR(VLOOKUP(C106,data!$C$12:$AD$213,28,0)),0,VLOOKUP(C106,data!$C$12:$AD$213,28,0))</f>
        <v>2242642.5</v>
      </c>
    </row>
    <row r="107" spans="2:14" x14ac:dyDescent="0.2">
      <c r="B107" s="19">
        <f t="shared" si="11"/>
        <v>102</v>
      </c>
      <c r="C107" s="19" t="str">
        <f>IF(ISERROR(INDEX(data!$A$12:$AI$213,MATCH(HLOOKUP('II. Sledování projektu'!$L$5,vstupy!$N$2:$BY$180,$B107+1,0),data!$B$12:$B$213,0),3)),"",INDEX(data!$A$12:$AI$213,MATCH(HLOOKUP('II. Sledování projektu'!$L$5,vstupy!$N$2:$BY$180,$B107+1,0),data!$B$12:$B$213,0),3))</f>
        <v>ÚMOb Krásné Pole</v>
      </c>
      <c r="D107" s="156">
        <f>IF(ISERROR(INDEX(data!$A$12:$AI$213,MATCH(HLOOKUP('II. Sledování projektu'!$L$5,vstupy!$N$2:$BY$180,$B107+1,0),data!$B$12:$B$213,0),35)),"",INDEX(data!$A$12:$AI$213,MATCH(HLOOKUP('II. Sledování projektu'!$L$5,vstupy!$N$2:$BY$180,$B107+1,0),data!$B$12:$B$213,0),35))</f>
        <v>70.427853643883708</v>
      </c>
      <c r="E107" s="49">
        <f>IF(ISERROR(INDEX(data!$A$12:$AI$213,MATCH(HLOOKUP('II. Sledování projektu'!$L$5,vstupy!$N$2:$BY$180,$B107+1,0),data!$B$12:$B$213,0),27)),"",INDEX(data!$A$12:$AI$213,MATCH(HLOOKUP('II. Sledování projektu'!$L$5,vstupy!$N$2:$BY$180,$B107+1,0),data!$B$12:$B$213,0),27))</f>
        <v>2566500</v>
      </c>
      <c r="F107" s="54">
        <f>IF(ISERROR(INDEX(data!$A$12:$AI$213,MATCH(HLOOKUP('II. Sledování projektu'!$L$5,vstupy!$N$2:$BY$180,$B107+1,0),data!$B$12:$B$213,0),28)),"",INDEX(data!$A$12:$AI$213,MATCH(HLOOKUP('II. Sledování projektu'!$L$5,vstupy!$N$2:$BY$180,$B107+1,0),data!$B$12:$B$213,0),28))</f>
        <v>2283287.42</v>
      </c>
      <c r="G107" s="53">
        <f t="shared" si="9"/>
        <v>0.88965027079680492</v>
      </c>
      <c r="H107" s="53">
        <f>IF(ISERROR(INDEX(data!$A$12:$AI$213,MATCH(HLOOKUP('II. Sledování projektu'!$L$5,vstupy!$N$2:$BY$180,$B107+1,0),data!$B$12:$B$213,0),29)),"",INDEX(data!$A$12:$AI$213,MATCH(HLOOKUP('II. Sledování projektu'!$L$5,vstupy!$N$2:$BY$180,$B107+1,0),data!$B$12:$B$213,0),29))</f>
        <v>0.1634802309946293</v>
      </c>
      <c r="I107" s="54">
        <f>IF(ISERROR(INDEX(data!$A$12:$AI$213,MATCH(HLOOKUP('II. Sledování projektu'!$L$5,vstupy!$N$2:$BY$180,$B107+1,0),data!$B$12:$B$213,0),31)),"",INDEX(data!$A$12:$AI$213,MATCH(HLOOKUP('II. Sledování projektu'!$L$5,vstupy!$N$2:$BY$180,$B107+1,0),data!$B$12:$B$213,0),31))</f>
        <v>212777.93000000002</v>
      </c>
      <c r="J107" s="53">
        <f t="shared" si="10"/>
        <v>8.2905875706214702E-2</v>
      </c>
      <c r="K107" s="53">
        <f t="shared" si="12"/>
        <v>0.50713089406472855</v>
      </c>
      <c r="L107" s="54">
        <f>IF(ISERROR(INDEX(data!$A$12:$AI$213,MATCH(HLOOKUP('II. Sledování projektu'!$L$5,vstupy!$N$2:$BY$180,$B107+1,0),data!$B$12:$B$213,0),32)),"",INDEX(data!$A$12:$AI$213,MATCH(HLOOKUP('II. Sledování projektu'!$L$5,vstupy!$N$2:$BY$180,$B107+1,0),data!$B$12:$B$213,0),32))</f>
        <v>173903.17</v>
      </c>
      <c r="M107" s="53">
        <f t="shared" si="13"/>
        <v>0.44973279014671264</v>
      </c>
      <c r="N107" s="54">
        <f>IF(ISERROR(VLOOKUP(C107,data!$C$12:$AD$213,28,0)),0,VLOOKUP(C107,data!$C$12:$AD$213,28,0))</f>
        <v>419572.01284771611</v>
      </c>
    </row>
    <row r="108" spans="2:14" x14ac:dyDescent="0.2">
      <c r="B108" s="19">
        <f t="shared" si="11"/>
        <v>103</v>
      </c>
      <c r="C108" s="19" t="str">
        <f>IF(ISERROR(INDEX(data!$A$12:$AI$213,MATCH(HLOOKUP('II. Sledování projektu'!$L$5,vstupy!$N$2:$BY$180,$B108+1,0),data!$B$12:$B$213,0),3)),"",INDEX(data!$A$12:$AI$213,MATCH(HLOOKUP('II. Sledování projektu'!$L$5,vstupy!$N$2:$BY$180,$B108+1,0),data!$B$12:$B$213,0),3))</f>
        <v>ÚMOb Lhotka</v>
      </c>
      <c r="D108" s="156">
        <f>IF(ISERROR(INDEX(data!$A$12:$AI$213,MATCH(HLOOKUP('II. Sledování projektu'!$L$5,vstupy!$N$2:$BY$180,$B108+1,0),data!$B$12:$B$213,0),35)),"",INDEX(data!$A$12:$AI$213,MATCH(HLOOKUP('II. Sledování projektu'!$L$5,vstupy!$N$2:$BY$180,$B108+1,0),data!$B$12:$B$213,0),35))</f>
        <v>36.235518367960466</v>
      </c>
      <c r="E108" s="49">
        <f>IF(ISERROR(INDEX(data!$A$12:$AI$213,MATCH(HLOOKUP('II. Sledování projektu'!$L$5,vstupy!$N$2:$BY$180,$B108+1,0),data!$B$12:$B$213,0),27)),"",INDEX(data!$A$12:$AI$213,MATCH(HLOOKUP('II. Sledování projektu'!$L$5,vstupy!$N$2:$BY$180,$B108+1,0),data!$B$12:$B$213,0),27))</f>
        <v>1380750</v>
      </c>
      <c r="F108" s="54">
        <f>IF(ISERROR(INDEX(data!$A$12:$AI$213,MATCH(HLOOKUP('II. Sledování projektu'!$L$5,vstupy!$N$2:$BY$180,$B108+1,0),data!$B$12:$B$213,0),28)),"",INDEX(data!$A$12:$AI$213,MATCH(HLOOKUP('II. Sledování projektu'!$L$5,vstupy!$N$2:$BY$180,$B108+1,0),data!$B$12:$B$213,0),28))</f>
        <v>0</v>
      </c>
      <c r="G108" s="53">
        <f t="shared" si="9"/>
        <v>0</v>
      </c>
      <c r="H108" s="53">
        <f>IF(ISERROR(INDEX(data!$A$12:$AI$213,MATCH(HLOOKUP('II. Sledování projektu'!$L$5,vstupy!$N$2:$BY$180,$B108+1,0),data!$B$12:$B$213,0),29)),"",INDEX(data!$A$12:$AI$213,MATCH(HLOOKUP('II. Sledování projektu'!$L$5,vstupy!$N$2:$BY$180,$B108+1,0),data!$B$12:$B$213,0),29))</f>
        <v>0.18939041492615671</v>
      </c>
      <c r="I108" s="54">
        <f>IF(ISERROR(INDEX(data!$A$12:$AI$213,MATCH(HLOOKUP('II. Sledování projektu'!$L$5,vstupy!$N$2:$BY$180,$B108+1,0),data!$B$12:$B$213,0),31)),"",INDEX(data!$A$12:$AI$213,MATCH(HLOOKUP('II. Sledování projektu'!$L$5,vstupy!$N$2:$BY$180,$B108+1,0),data!$B$12:$B$213,0),31))</f>
        <v>157926.96</v>
      </c>
      <c r="J108" s="53">
        <f t="shared" si="10"/>
        <v>0.11437766431287344</v>
      </c>
      <c r="K108" s="53">
        <f t="shared" si="12"/>
        <v>0.60392530613267448</v>
      </c>
      <c r="L108" s="54">
        <f>IF(ISERROR(INDEX(data!$A$12:$AI$213,MATCH(HLOOKUP('II. Sledování projektu'!$L$5,vstupy!$N$2:$BY$180,$B108+1,0),data!$B$12:$B$213,0),32)),"",INDEX(data!$A$12:$AI$213,MATCH(HLOOKUP('II. Sledování projektu'!$L$5,vstupy!$N$2:$BY$180,$B108+1,0),data!$B$12:$B$213,0),32))</f>
        <v>126192.6</v>
      </c>
      <c r="M108" s="53">
        <f t="shared" si="13"/>
        <v>0.44415315862096932</v>
      </c>
      <c r="N108" s="54">
        <f>IF(ISERROR(VLOOKUP(C108,data!$C$12:$AD$213,28,0)),0,VLOOKUP(C108,data!$C$12:$AD$213,28,0))</f>
        <v>261500.8154092909</v>
      </c>
    </row>
    <row r="109" spans="2:14" x14ac:dyDescent="0.2">
      <c r="B109" s="19">
        <f t="shared" si="11"/>
        <v>104</v>
      </c>
      <c r="C109" s="19" t="str">
        <f>IF(ISERROR(INDEX(data!$A$12:$AI$213,MATCH(HLOOKUP('II. Sledování projektu'!$L$5,vstupy!$N$2:$BY$180,$B109+1,0),data!$B$12:$B$213,0),3)),"",INDEX(data!$A$12:$AI$213,MATCH(HLOOKUP('II. Sledování projektu'!$L$5,vstupy!$N$2:$BY$180,$B109+1,0),data!$B$12:$B$213,0),3))</f>
        <v>ÚMOb Mariánské Hory a Hulváky</v>
      </c>
      <c r="D109" s="156">
        <f>IF(ISERROR(INDEX(data!$A$12:$AI$213,MATCH(HLOOKUP('II. Sledování projektu'!$L$5,vstupy!$N$2:$BY$180,$B109+1,0),data!$B$12:$B$213,0),35)),"",INDEX(data!$A$12:$AI$213,MATCH(HLOOKUP('II. Sledování projektu'!$L$5,vstupy!$N$2:$BY$180,$B109+1,0),data!$B$12:$B$213,0),35))</f>
        <v>37.344994310493171</v>
      </c>
      <c r="E109" s="49">
        <f>IF(ISERROR(INDEX(data!$A$12:$AI$213,MATCH(HLOOKUP('II. Sledování projektu'!$L$5,vstupy!$N$2:$BY$180,$B109+1,0),data!$B$12:$B$213,0),27)),"",INDEX(data!$A$12:$AI$213,MATCH(HLOOKUP('II. Sledování projektu'!$L$5,vstupy!$N$2:$BY$180,$B109+1,0),data!$B$12:$B$213,0),27))</f>
        <v>53414250</v>
      </c>
      <c r="F109" s="54">
        <f>IF(ISERROR(INDEX(data!$A$12:$AI$213,MATCH(HLOOKUP('II. Sledování projektu'!$L$5,vstupy!$N$2:$BY$180,$B109+1,0),data!$B$12:$B$213,0),28)),"",INDEX(data!$A$12:$AI$213,MATCH(HLOOKUP('II. Sledování projektu'!$L$5,vstupy!$N$2:$BY$180,$B109+1,0),data!$B$12:$B$213,0),28))</f>
        <v>36462224.850000001</v>
      </c>
      <c r="G109" s="53">
        <f t="shared" si="9"/>
        <v>0.6826310366615651</v>
      </c>
      <c r="H109" s="53">
        <f>IF(ISERROR(INDEX(data!$A$12:$AI$213,MATCH(HLOOKUP('II. Sledování projektu'!$L$5,vstupy!$N$2:$BY$180,$B109+1,0),data!$B$12:$B$213,0),29)),"",INDEX(data!$A$12:$AI$213,MATCH(HLOOKUP('II. Sledování projektu'!$L$5,vstupy!$N$2:$BY$180,$B109+1,0),data!$B$12:$B$213,0),29))</f>
        <v>0.18018404777970171</v>
      </c>
      <c r="I109" s="54">
        <f>IF(ISERROR(INDEX(data!$A$12:$AI$213,MATCH(HLOOKUP('II. Sledování projektu'!$L$5,vstupy!$N$2:$BY$180,$B109+1,0),data!$B$12:$B$213,0),31)),"",INDEX(data!$A$12:$AI$213,MATCH(HLOOKUP('II. Sledování projektu'!$L$5,vstupy!$N$2:$BY$180,$B109+1,0),data!$B$12:$B$213,0),31))</f>
        <v>515457.37</v>
      </c>
      <c r="J109" s="53">
        <f t="shared" si="10"/>
        <v>9.6501845481308818E-3</v>
      </c>
      <c r="K109" s="53">
        <f t="shared" si="12"/>
        <v>5.3557374623582003E-2</v>
      </c>
      <c r="L109" s="54">
        <f>IF(ISERROR(INDEX(data!$A$12:$AI$213,MATCH(HLOOKUP('II. Sledování projektu'!$L$5,vstupy!$N$2:$BY$180,$B109+1,0),data!$B$12:$B$213,0),32)),"",INDEX(data!$A$12:$AI$213,MATCH(HLOOKUP('II. Sledování projektu'!$L$5,vstupy!$N$2:$BY$180,$B109+1,0),data!$B$12:$B$213,0),32))</f>
        <v>677826.56000000006</v>
      </c>
      <c r="M109" s="53">
        <f t="shared" si="13"/>
        <v>0.56803460011398965</v>
      </c>
      <c r="N109" s="54">
        <f>IF(ISERROR(VLOOKUP(C109,data!$C$12:$AD$213,28,0)),0,VLOOKUP(C109,data!$C$12:$AD$213,28,0))</f>
        <v>9624395.7741169315</v>
      </c>
    </row>
    <row r="110" spans="2:14" x14ac:dyDescent="0.2">
      <c r="B110" s="19">
        <f t="shared" si="11"/>
        <v>105</v>
      </c>
      <c r="C110" s="19" t="str">
        <f>IF(ISERROR(INDEX(data!$A$12:$AI$213,MATCH(HLOOKUP('II. Sledování projektu'!$L$5,vstupy!$N$2:$BY$180,$B110+1,0),data!$B$12:$B$213,0),3)),"",INDEX(data!$A$12:$AI$213,MATCH(HLOOKUP('II. Sledování projektu'!$L$5,vstupy!$N$2:$BY$180,$B110+1,0),data!$B$12:$B$213,0),3))</f>
        <v>ÚMOb Martinov</v>
      </c>
      <c r="D110" s="156">
        <f>IF(ISERROR(INDEX(data!$A$12:$AI$213,MATCH(HLOOKUP('II. Sledování projektu'!$L$5,vstupy!$N$2:$BY$180,$B110+1,0),data!$B$12:$B$213,0),35)),"",INDEX(data!$A$12:$AI$213,MATCH(HLOOKUP('II. Sledování projektu'!$L$5,vstupy!$N$2:$BY$180,$B110+1,0),data!$B$12:$B$213,0),35))</f>
        <v>25.161744079145432</v>
      </c>
      <c r="E110" s="49">
        <f>IF(ISERROR(INDEX(data!$A$12:$AI$213,MATCH(HLOOKUP('II. Sledování projektu'!$L$5,vstupy!$N$2:$BY$180,$B110+1,0),data!$B$12:$B$213,0),27)),"",INDEX(data!$A$12:$AI$213,MATCH(HLOOKUP('II. Sledování projektu'!$L$5,vstupy!$N$2:$BY$180,$B110+1,0),data!$B$12:$B$213,0),27))</f>
        <v>2117250</v>
      </c>
      <c r="F110" s="54">
        <f>IF(ISERROR(INDEX(data!$A$12:$AI$213,MATCH(HLOOKUP('II. Sledování projektu'!$L$5,vstupy!$N$2:$BY$180,$B110+1,0),data!$B$12:$B$213,0),28)),"",INDEX(data!$A$12:$AI$213,MATCH(HLOOKUP('II. Sledování projektu'!$L$5,vstupy!$N$2:$BY$180,$B110+1,0),data!$B$12:$B$213,0),28))</f>
        <v>24975.68</v>
      </c>
      <c r="G110" s="53">
        <f t="shared" si="9"/>
        <v>1.1796282914157515E-2</v>
      </c>
      <c r="H110" s="53">
        <f>IF(ISERROR(INDEX(data!$A$12:$AI$213,MATCH(HLOOKUP('II. Sledování projektu'!$L$5,vstupy!$N$2:$BY$180,$B110+1,0),data!$B$12:$B$213,0),29)),"",INDEX(data!$A$12:$AI$213,MATCH(HLOOKUP('II. Sledování projektu'!$L$5,vstupy!$N$2:$BY$180,$B110+1,0),data!$B$12:$B$213,0),29))</f>
        <v>0.19170750206831685</v>
      </c>
      <c r="I110" s="54">
        <f>IF(ISERROR(INDEX(data!$A$12:$AI$213,MATCH(HLOOKUP('II. Sledování projektu'!$L$5,vstupy!$N$2:$BY$180,$B110+1,0),data!$B$12:$B$213,0),31)),"",INDEX(data!$A$12:$AI$213,MATCH(HLOOKUP('II. Sledování projektu'!$L$5,vstupy!$N$2:$BY$180,$B110+1,0),data!$B$12:$B$213,0),31))</f>
        <v>166226.12</v>
      </c>
      <c r="J110" s="53">
        <f t="shared" si="10"/>
        <v>7.8510388475616949E-2</v>
      </c>
      <c r="K110" s="53">
        <f t="shared" si="12"/>
        <v>0.4095321655572926</v>
      </c>
      <c r="L110" s="54">
        <f>IF(ISERROR(INDEX(data!$A$12:$AI$213,MATCH(HLOOKUP('II. Sledování projektu'!$L$5,vstupy!$N$2:$BY$180,$B110+1,0),data!$B$12:$B$213,0),32)),"",INDEX(data!$A$12:$AI$213,MATCH(HLOOKUP('II. Sledování projektu'!$L$5,vstupy!$N$2:$BY$180,$B110+1,0),data!$B$12:$B$213,0),32))</f>
        <v>120006.54</v>
      </c>
      <c r="M110" s="53">
        <f t="shared" si="13"/>
        <v>0.41926221836459893</v>
      </c>
      <c r="N110" s="54">
        <f>IF(ISERROR(VLOOKUP(C110,data!$C$12:$AD$213,28,0)),0,VLOOKUP(C110,data!$C$12:$AD$213,28,0))</f>
        <v>405892.70875414385</v>
      </c>
    </row>
    <row r="111" spans="2:14" x14ac:dyDescent="0.2">
      <c r="B111" s="19">
        <f t="shared" si="11"/>
        <v>106</v>
      </c>
      <c r="C111" s="19" t="str">
        <f>IF(ISERROR(INDEX(data!$A$12:$AI$213,MATCH(HLOOKUP('II. Sledování projektu'!$L$5,vstupy!$N$2:$BY$180,$B111+1,0),data!$B$12:$B$213,0),3)),"",INDEX(data!$A$12:$AI$213,MATCH(HLOOKUP('II. Sledování projektu'!$L$5,vstupy!$N$2:$BY$180,$B111+1,0),data!$B$12:$B$213,0),3))</f>
        <v>ÚMOb Michálkovice</v>
      </c>
      <c r="D111" s="156">
        <f>IF(ISERROR(INDEX(data!$A$12:$AI$213,MATCH(HLOOKUP('II. Sledování projektu'!$L$5,vstupy!$N$2:$BY$180,$B111+1,0),data!$B$12:$B$213,0),35)),"",INDEX(data!$A$12:$AI$213,MATCH(HLOOKUP('II. Sledování projektu'!$L$5,vstupy!$N$2:$BY$180,$B111+1,0),data!$B$12:$B$213,0),35))</f>
        <v>24.871883310430331</v>
      </c>
      <c r="E111" s="49">
        <f>IF(ISERROR(INDEX(data!$A$12:$AI$213,MATCH(HLOOKUP('II. Sledování projektu'!$L$5,vstupy!$N$2:$BY$180,$B111+1,0),data!$B$12:$B$213,0),27)),"",INDEX(data!$A$12:$AI$213,MATCH(HLOOKUP('II. Sledování projektu'!$L$5,vstupy!$N$2:$BY$180,$B111+1,0),data!$B$12:$B$213,0),27))</f>
        <v>4279500</v>
      </c>
      <c r="F111" s="54">
        <f>IF(ISERROR(INDEX(data!$A$12:$AI$213,MATCH(HLOOKUP('II. Sledování projektu'!$L$5,vstupy!$N$2:$BY$180,$B111+1,0),data!$B$12:$B$213,0),28)),"",INDEX(data!$A$12:$AI$213,MATCH(HLOOKUP('II. Sledování projektu'!$L$5,vstupy!$N$2:$BY$180,$B111+1,0),data!$B$12:$B$213,0),28))</f>
        <v>53204.88</v>
      </c>
      <c r="G111" s="53">
        <f t="shared" si="9"/>
        <v>1.2432499123729407E-2</v>
      </c>
      <c r="H111" s="53">
        <f>IF(ISERROR(INDEX(data!$A$12:$AI$213,MATCH(HLOOKUP('II. Sledování projektu'!$L$5,vstupy!$N$2:$BY$180,$B111+1,0),data!$B$12:$B$213,0),29)),"",INDEX(data!$A$12:$AI$213,MATCH(HLOOKUP('II. Sledování projektu'!$L$5,vstupy!$N$2:$BY$180,$B111+1,0),data!$B$12:$B$213,0),29))</f>
        <v>0.25526070732199285</v>
      </c>
      <c r="I111" s="54">
        <f>IF(ISERROR(INDEX(data!$A$12:$AI$213,MATCH(HLOOKUP('II. Sledování projektu'!$L$5,vstupy!$N$2:$BY$180,$B111+1,0),data!$B$12:$B$213,0),31)),"",INDEX(data!$A$12:$AI$213,MATCH(HLOOKUP('II. Sledování projektu'!$L$5,vstupy!$N$2:$BY$180,$B111+1,0),data!$B$12:$B$213,0),31))</f>
        <v>441511.6</v>
      </c>
      <c r="J111" s="53">
        <f t="shared" si="10"/>
        <v>0.10316896833742259</v>
      </c>
      <c r="K111" s="53">
        <f t="shared" si="12"/>
        <v>0.40417097257073104</v>
      </c>
      <c r="L111" s="54">
        <f>IF(ISERROR(INDEX(data!$A$12:$AI$213,MATCH(HLOOKUP('II. Sledování projektu'!$L$5,vstupy!$N$2:$BY$180,$B111+1,0),data!$B$12:$B$213,0),32)),"",INDEX(data!$A$12:$AI$213,MATCH(HLOOKUP('II. Sledování projektu'!$L$5,vstupy!$N$2:$BY$180,$B111+1,0),data!$B$12:$B$213,0),32))</f>
        <v>354107.37</v>
      </c>
      <c r="M111" s="53">
        <f t="shared" si="13"/>
        <v>0.44507155227834749</v>
      </c>
      <c r="N111" s="54">
        <f>IF(ISERROR(VLOOKUP(C111,data!$C$12:$AD$213,28,0)),0,VLOOKUP(C111,data!$C$12:$AD$213,28,0))</f>
        <v>1092388.1969844685</v>
      </c>
    </row>
    <row r="112" spans="2:14" x14ac:dyDescent="0.2">
      <c r="B112" s="19">
        <f t="shared" si="11"/>
        <v>107</v>
      </c>
      <c r="C112" s="19" t="str">
        <f>IF(ISERROR(INDEX(data!$A$12:$AI$213,MATCH(HLOOKUP('II. Sledování projektu'!$L$5,vstupy!$N$2:$BY$180,$B112+1,0),data!$B$12:$B$213,0),3)),"",INDEX(data!$A$12:$AI$213,MATCH(HLOOKUP('II. Sledování projektu'!$L$5,vstupy!$N$2:$BY$180,$B112+1,0),data!$B$12:$B$213,0),3))</f>
        <v>ÚMOb Moravská Ostrava a Přívoz</v>
      </c>
      <c r="D112" s="156">
        <f>IF(ISERROR(INDEX(data!$A$12:$AI$213,MATCH(HLOOKUP('II. Sledování projektu'!$L$5,vstupy!$N$2:$BY$180,$B112+1,0),data!$B$12:$B$213,0),35)),"",INDEX(data!$A$12:$AI$213,MATCH(HLOOKUP('II. Sledování projektu'!$L$5,vstupy!$N$2:$BY$180,$B112+1,0),data!$B$12:$B$213,0),35))</f>
        <v>48.229147206247077</v>
      </c>
      <c r="E112" s="49">
        <f>IF(ISERROR(INDEX(data!$A$12:$AI$213,MATCH(HLOOKUP('II. Sledování projektu'!$L$5,vstupy!$N$2:$BY$180,$B112+1,0),data!$B$12:$B$213,0),27)),"",INDEX(data!$A$12:$AI$213,MATCH(HLOOKUP('II. Sledování projektu'!$L$5,vstupy!$N$2:$BY$180,$B112+1,0),data!$B$12:$B$213,0),27))</f>
        <v>48529500</v>
      </c>
      <c r="F112" s="54">
        <f>IF(ISERROR(INDEX(data!$A$12:$AI$213,MATCH(HLOOKUP('II. Sledování projektu'!$L$5,vstupy!$N$2:$BY$180,$B112+1,0),data!$B$12:$B$213,0),28)),"",INDEX(data!$A$12:$AI$213,MATCH(HLOOKUP('II. Sledování projektu'!$L$5,vstupy!$N$2:$BY$180,$B112+1,0),data!$B$12:$B$213,0),28))</f>
        <v>16310119.01</v>
      </c>
      <c r="G112" s="53">
        <f t="shared" si="9"/>
        <v>0.33608668974541256</v>
      </c>
      <c r="H112" s="53">
        <f>IF(ISERROR(INDEX(data!$A$12:$AI$213,MATCH(HLOOKUP('II. Sledování projektu'!$L$5,vstupy!$N$2:$BY$180,$B112+1,0),data!$B$12:$B$213,0),29)),"",INDEX(data!$A$12:$AI$213,MATCH(HLOOKUP('II. Sledování projektu'!$L$5,vstupy!$N$2:$BY$180,$B112+1,0),data!$B$12:$B$213,0),29))</f>
        <v>0.13648221985178036</v>
      </c>
      <c r="I112" s="54">
        <f>IF(ISERROR(INDEX(data!$A$12:$AI$213,MATCH(HLOOKUP('II. Sledování projektu'!$L$5,vstupy!$N$2:$BY$180,$B112+1,0),data!$B$12:$B$213,0),31)),"",INDEX(data!$A$12:$AI$213,MATCH(HLOOKUP('II. Sledování projektu'!$L$5,vstupy!$N$2:$BY$180,$B112+1,0),data!$B$12:$B$213,0),31))</f>
        <v>3468992.35</v>
      </c>
      <c r="J112" s="53">
        <f t="shared" si="10"/>
        <v>7.1482136638539445E-2</v>
      </c>
      <c r="K112" s="53">
        <f t="shared" si="12"/>
        <v>0.52374687864960745</v>
      </c>
      <c r="L112" s="54">
        <f>IF(ISERROR(INDEX(data!$A$12:$AI$213,MATCH(HLOOKUP('II. Sledování projektu'!$L$5,vstupy!$N$2:$BY$180,$B112+1,0),data!$B$12:$B$213,0),32)),"",INDEX(data!$A$12:$AI$213,MATCH(HLOOKUP('II. Sledování projektu'!$L$5,vstupy!$N$2:$BY$180,$B112+1,0),data!$B$12:$B$213,0),32))</f>
        <v>1714301.9100000001</v>
      </c>
      <c r="M112" s="53">
        <f t="shared" si="13"/>
        <v>0.33073598063483284</v>
      </c>
      <c r="N112" s="54">
        <f>IF(ISERROR(VLOOKUP(C112,data!$C$12:$AD$213,28,0)),0,VLOOKUP(C112,data!$C$12:$AD$213,28,0))</f>
        <v>6623413.8882969748</v>
      </c>
    </row>
    <row r="113" spans="2:14" x14ac:dyDescent="0.2">
      <c r="B113" s="19">
        <f t="shared" si="11"/>
        <v>108</v>
      </c>
      <c r="C113" s="19" t="str">
        <f>IF(ISERROR(INDEX(data!$A$12:$AI$213,MATCH(HLOOKUP('II. Sledování projektu'!$L$5,vstupy!$N$2:$BY$180,$B113+1,0),data!$B$12:$B$213,0),3)),"",INDEX(data!$A$12:$AI$213,MATCH(HLOOKUP('II. Sledování projektu'!$L$5,vstupy!$N$2:$BY$180,$B113+1,0),data!$B$12:$B$213,0),3))</f>
        <v>ÚMOb Nová Bělá</v>
      </c>
      <c r="D113" s="156">
        <f>IF(ISERROR(INDEX(data!$A$12:$AI$213,MATCH(HLOOKUP('II. Sledování projektu'!$L$5,vstupy!$N$2:$BY$180,$B113+1,0),data!$B$12:$B$213,0),35)),"",INDEX(data!$A$12:$AI$213,MATCH(HLOOKUP('II. Sledování projektu'!$L$5,vstupy!$N$2:$BY$180,$B113+1,0),data!$B$12:$B$213,0),35))</f>
        <v>49.482177135214926</v>
      </c>
      <c r="E113" s="49">
        <f>IF(ISERROR(INDEX(data!$A$12:$AI$213,MATCH(HLOOKUP('II. Sledování projektu'!$L$5,vstupy!$N$2:$BY$180,$B113+1,0),data!$B$12:$B$213,0),27)),"",INDEX(data!$A$12:$AI$213,MATCH(HLOOKUP('II. Sledování projektu'!$L$5,vstupy!$N$2:$BY$180,$B113+1,0),data!$B$12:$B$213,0),27))</f>
        <v>1770750</v>
      </c>
      <c r="F113" s="54">
        <f>IF(ISERROR(INDEX(data!$A$12:$AI$213,MATCH(HLOOKUP('II. Sledování projektu'!$L$5,vstupy!$N$2:$BY$180,$B113+1,0),data!$B$12:$B$213,0),28)),"",INDEX(data!$A$12:$AI$213,MATCH(HLOOKUP('II. Sledování projektu'!$L$5,vstupy!$N$2:$BY$180,$B113+1,0),data!$B$12:$B$213,0),28))</f>
        <v>755269.79</v>
      </c>
      <c r="G113" s="53">
        <f t="shared" si="9"/>
        <v>0.42652536495835103</v>
      </c>
      <c r="H113" s="53">
        <f>IF(ISERROR(INDEX(data!$A$12:$AI$213,MATCH(HLOOKUP('II. Sledování projektu'!$L$5,vstupy!$N$2:$BY$180,$B113+1,0),data!$B$12:$B$213,0),29)),"",INDEX(data!$A$12:$AI$213,MATCH(HLOOKUP('II. Sledování projektu'!$L$5,vstupy!$N$2:$BY$180,$B113+1,0),data!$B$12:$B$213,0),29))</f>
        <v>0.25188134348452557</v>
      </c>
      <c r="I113" s="54">
        <f>IF(ISERROR(INDEX(data!$A$12:$AI$213,MATCH(HLOOKUP('II. Sledování projektu'!$L$5,vstupy!$N$2:$BY$180,$B113+1,0),data!$B$12:$B$213,0),31)),"",INDEX(data!$A$12:$AI$213,MATCH(HLOOKUP('II. Sledování projektu'!$L$5,vstupy!$N$2:$BY$180,$B113+1,0),data!$B$12:$B$213,0),31))</f>
        <v>209301.12</v>
      </c>
      <c r="J113" s="53">
        <f t="shared" si="10"/>
        <v>0.11819913595933926</v>
      </c>
      <c r="K113" s="53">
        <f t="shared" si="12"/>
        <v>0.4692651481216229</v>
      </c>
      <c r="L113" s="54">
        <f>IF(ISERROR(INDEX(data!$A$12:$AI$213,MATCH(HLOOKUP('II. Sledování projektu'!$L$5,vstupy!$N$2:$BY$180,$B113+1,0),data!$B$12:$B$213,0),32)),"",INDEX(data!$A$12:$AI$213,MATCH(HLOOKUP('II. Sledování projektu'!$L$5,vstupy!$N$2:$BY$180,$B113+1,0),data!$B$12:$B$213,0),32))</f>
        <v>151125.16</v>
      </c>
      <c r="M113" s="53">
        <f t="shared" si="13"/>
        <v>0.41929561851039271</v>
      </c>
      <c r="N113" s="54">
        <f>IF(ISERROR(VLOOKUP(C113,data!$C$12:$AD$213,28,0)),0,VLOOKUP(C113,data!$C$12:$AD$213,28,0))</f>
        <v>446018.88897522364</v>
      </c>
    </row>
    <row r="114" spans="2:14" x14ac:dyDescent="0.2">
      <c r="B114" s="19">
        <f t="shared" si="11"/>
        <v>109</v>
      </c>
      <c r="C114" s="19" t="str">
        <f>IF(ISERROR(INDEX(data!$A$12:$AI$213,MATCH(HLOOKUP('II. Sledování projektu'!$L$5,vstupy!$N$2:$BY$180,$B114+1,0),data!$B$12:$B$213,0),3)),"",INDEX(data!$A$12:$AI$213,MATCH(HLOOKUP('II. Sledování projektu'!$L$5,vstupy!$N$2:$BY$180,$B114+1,0),data!$B$12:$B$213,0),3))</f>
        <v>ÚMOb Nová Ves</v>
      </c>
      <c r="D114" s="156">
        <f>IF(ISERROR(INDEX(data!$A$12:$AI$213,MATCH(HLOOKUP('II. Sledování projektu'!$L$5,vstupy!$N$2:$BY$180,$B114+1,0),data!$B$12:$B$213,0),35)),"",INDEX(data!$A$12:$AI$213,MATCH(HLOOKUP('II. Sledování projektu'!$L$5,vstupy!$N$2:$BY$180,$B114+1,0),data!$B$12:$B$213,0),35))</f>
        <v>20.360331809699456</v>
      </c>
      <c r="E114" s="49">
        <f>IF(ISERROR(INDEX(data!$A$12:$AI$213,MATCH(HLOOKUP('II. Sledování projektu'!$L$5,vstupy!$N$2:$BY$180,$B114+1,0),data!$B$12:$B$213,0),27)),"",INDEX(data!$A$12:$AI$213,MATCH(HLOOKUP('II. Sledování projektu'!$L$5,vstupy!$N$2:$BY$180,$B114+1,0),data!$B$12:$B$213,0),27))</f>
        <v>2148000</v>
      </c>
      <c r="F114" s="54">
        <f>IF(ISERROR(INDEX(data!$A$12:$AI$213,MATCH(HLOOKUP('II. Sledování projektu'!$L$5,vstupy!$N$2:$BY$180,$B114+1,0),data!$B$12:$B$213,0),28)),"",INDEX(data!$A$12:$AI$213,MATCH(HLOOKUP('II. Sledování projektu'!$L$5,vstupy!$N$2:$BY$180,$B114+1,0),data!$B$12:$B$213,0),28))</f>
        <v>1804.59</v>
      </c>
      <c r="G114" s="53">
        <f t="shared" si="9"/>
        <v>8.4012569832402236E-4</v>
      </c>
      <c r="H114" s="53">
        <f>IF(ISERROR(INDEX(data!$A$12:$AI$213,MATCH(HLOOKUP('II. Sledování projektu'!$L$5,vstupy!$N$2:$BY$180,$B114+1,0),data!$B$12:$B$213,0),29)),"",INDEX(data!$A$12:$AI$213,MATCH(HLOOKUP('II. Sledování projektu'!$L$5,vstupy!$N$2:$BY$180,$B114+1,0),data!$B$12:$B$213,0),29))</f>
        <v>0.24458492601616141</v>
      </c>
      <c r="I114" s="54">
        <f>IF(ISERROR(INDEX(data!$A$12:$AI$213,MATCH(HLOOKUP('II. Sledování projektu'!$L$5,vstupy!$N$2:$BY$180,$B114+1,0),data!$B$12:$B$213,0),31)),"",INDEX(data!$A$12:$AI$213,MATCH(HLOOKUP('II. Sledování projektu'!$L$5,vstupy!$N$2:$BY$180,$B114+1,0),data!$B$12:$B$213,0),31))</f>
        <v>177910.11</v>
      </c>
      <c r="J114" s="53">
        <f t="shared" si="10"/>
        <v>8.2825935754189936E-2</v>
      </c>
      <c r="K114" s="53">
        <f t="shared" si="12"/>
        <v>0.3386387587463876</v>
      </c>
      <c r="L114" s="54">
        <f>IF(ISERROR(INDEX(data!$A$12:$AI$213,MATCH(HLOOKUP('II. Sledování projektu'!$L$5,vstupy!$N$2:$BY$180,$B114+1,0),data!$B$12:$B$213,0),32)),"",INDEX(data!$A$12:$AI$213,MATCH(HLOOKUP('II. Sledování projektu'!$L$5,vstupy!$N$2:$BY$180,$B114+1,0),data!$B$12:$B$213,0),32))</f>
        <v>157924.04999999999</v>
      </c>
      <c r="M114" s="53">
        <f t="shared" si="13"/>
        <v>0.47024415264962921</v>
      </c>
      <c r="N114" s="54">
        <f>IF(ISERROR(VLOOKUP(C114,data!$C$12:$AD$213,28,0)),0,VLOOKUP(C114,data!$C$12:$AD$213,28,0))</f>
        <v>525368.42108271469</v>
      </c>
    </row>
    <row r="115" spans="2:14" x14ac:dyDescent="0.2">
      <c r="B115" s="19">
        <f t="shared" si="11"/>
        <v>110</v>
      </c>
      <c r="C115" s="19" t="str">
        <f>IF(ISERROR(INDEX(data!$A$12:$AI$213,MATCH(HLOOKUP('II. Sledování projektu'!$L$5,vstupy!$N$2:$BY$180,$B115+1,0),data!$B$12:$B$213,0),3)),"",INDEX(data!$A$12:$AI$213,MATCH(HLOOKUP('II. Sledování projektu'!$L$5,vstupy!$N$2:$BY$180,$B115+1,0),data!$B$12:$B$213,0),3))</f>
        <v>ÚMOb Ostrava-Jih</v>
      </c>
      <c r="D115" s="156">
        <f>IF(ISERROR(INDEX(data!$A$12:$AI$213,MATCH(HLOOKUP('II. Sledování projektu'!$L$5,vstupy!$N$2:$BY$180,$B115+1,0),data!$B$12:$B$213,0),35)),"",INDEX(data!$A$12:$AI$213,MATCH(HLOOKUP('II. Sledování projektu'!$L$5,vstupy!$N$2:$BY$180,$B115+1,0),data!$B$12:$B$213,0),35))</f>
        <v>50.84937091364872</v>
      </c>
      <c r="E115" s="49">
        <f>IF(ISERROR(INDEX(data!$A$12:$AI$213,MATCH(HLOOKUP('II. Sledování projektu'!$L$5,vstupy!$N$2:$BY$180,$B115+1,0),data!$B$12:$B$213,0),27)),"",INDEX(data!$A$12:$AI$213,MATCH(HLOOKUP('II. Sledování projektu'!$L$5,vstupy!$N$2:$BY$180,$B115+1,0),data!$B$12:$B$213,0),27))</f>
        <v>182180250</v>
      </c>
      <c r="F115" s="54">
        <f>IF(ISERROR(INDEX(data!$A$12:$AI$213,MATCH(HLOOKUP('II. Sledování projektu'!$L$5,vstupy!$N$2:$BY$180,$B115+1,0),data!$B$12:$B$213,0),28)),"",INDEX(data!$A$12:$AI$213,MATCH(HLOOKUP('II. Sledování projektu'!$L$5,vstupy!$N$2:$BY$180,$B115+1,0),data!$B$12:$B$213,0),28))</f>
        <v>1918758.69</v>
      </c>
      <c r="G115" s="53">
        <f t="shared" si="9"/>
        <v>1.0532199236744927E-2</v>
      </c>
      <c r="H115" s="53">
        <f>IF(ISERROR(INDEX(data!$A$12:$AI$213,MATCH(HLOOKUP('II. Sledování projektu'!$L$5,vstupy!$N$2:$BY$180,$B115+1,0),data!$B$12:$B$213,0),29)),"",INDEX(data!$A$12:$AI$213,MATCH(HLOOKUP('II. Sledování projektu'!$L$5,vstupy!$N$2:$BY$180,$B115+1,0),data!$B$12:$B$213,0),29))</f>
        <v>0.24460000000000001</v>
      </c>
      <c r="I115" s="54">
        <f>IF(ISERROR(INDEX(data!$A$12:$AI$213,MATCH(HLOOKUP('II. Sledování projektu'!$L$5,vstupy!$N$2:$BY$180,$B115+1,0),data!$B$12:$B$213,0),31)),"",INDEX(data!$A$12:$AI$213,MATCH(HLOOKUP('II. Sledování projektu'!$L$5,vstupy!$N$2:$BY$180,$B115+1,0),data!$B$12:$B$213,0),31))</f>
        <v>37374118.360000007</v>
      </c>
      <c r="J115" s="53">
        <f t="shared" si="10"/>
        <v>0.20514912214688477</v>
      </c>
      <c r="K115" s="53">
        <f t="shared" si="12"/>
        <v>0.83871268253019127</v>
      </c>
      <c r="L115" s="54">
        <f>IF(ISERROR(INDEX(data!$A$12:$AI$213,MATCH(HLOOKUP('II. Sledování projektu'!$L$5,vstupy!$N$2:$BY$180,$B115+1,0),data!$B$12:$B$213,0),32)),"",INDEX(data!$A$12:$AI$213,MATCH(HLOOKUP('II. Sledování projektu'!$L$5,vstupy!$N$2:$BY$180,$B115+1,0),data!$B$12:$B$213,0),32))</f>
        <v>8105218.8399999999</v>
      </c>
      <c r="M115" s="53">
        <f t="shared" si="13"/>
        <v>0.17821761131558442</v>
      </c>
      <c r="N115" s="54">
        <f>IF(ISERROR(VLOOKUP(C115,data!$C$12:$AD$213,28,0)),0,VLOOKUP(C115,data!$C$12:$AD$213,28,0))</f>
        <v>44561289.149999999</v>
      </c>
    </row>
    <row r="116" spans="2:14" x14ac:dyDescent="0.2">
      <c r="B116" s="19">
        <f t="shared" si="11"/>
        <v>111</v>
      </c>
      <c r="C116" s="19" t="str">
        <f>IF(ISERROR(INDEX(data!$A$12:$AI$213,MATCH(HLOOKUP('II. Sledování projektu'!$L$5,vstupy!$N$2:$BY$180,$B116+1,0),data!$B$12:$B$213,0),3)),"",INDEX(data!$A$12:$AI$213,MATCH(HLOOKUP('II. Sledování projektu'!$L$5,vstupy!$N$2:$BY$180,$B116+1,0),data!$B$12:$B$213,0),3))</f>
        <v>ÚMOb Petřkovice</v>
      </c>
      <c r="D116" s="156">
        <f>IF(ISERROR(INDEX(data!$A$12:$AI$213,MATCH(HLOOKUP('II. Sledování projektu'!$L$5,vstupy!$N$2:$BY$180,$B116+1,0),data!$B$12:$B$213,0),35)),"",INDEX(data!$A$12:$AI$213,MATCH(HLOOKUP('II. Sledování projektu'!$L$5,vstupy!$N$2:$BY$180,$B116+1,0),data!$B$12:$B$213,0),35))</f>
        <v>31.011775573424881</v>
      </c>
      <c r="E116" s="49">
        <f>IF(ISERROR(INDEX(data!$A$12:$AI$213,MATCH(HLOOKUP('II. Sledování projektu'!$L$5,vstupy!$N$2:$BY$180,$B116+1,0),data!$B$12:$B$213,0),27)),"",INDEX(data!$A$12:$AI$213,MATCH(HLOOKUP('II. Sledování projektu'!$L$5,vstupy!$N$2:$BY$180,$B116+1,0),data!$B$12:$B$213,0),27))</f>
        <v>2806500</v>
      </c>
      <c r="F116" s="54">
        <f>IF(ISERROR(INDEX(data!$A$12:$AI$213,MATCH(HLOOKUP('II. Sledování projektu'!$L$5,vstupy!$N$2:$BY$180,$B116+1,0),data!$B$12:$B$213,0),28)),"",INDEX(data!$A$12:$AI$213,MATCH(HLOOKUP('II. Sledování projektu'!$L$5,vstupy!$N$2:$BY$180,$B116+1,0),data!$B$12:$B$213,0),28))</f>
        <v>14069.52</v>
      </c>
      <c r="G116" s="53">
        <f t="shared" si="9"/>
        <v>5.0131908070550511E-3</v>
      </c>
      <c r="H116" s="53">
        <f>IF(ISERROR(INDEX(data!$A$12:$AI$213,MATCH(HLOOKUP('II. Sledování projektu'!$L$5,vstupy!$N$2:$BY$180,$B116+1,0),data!$B$12:$B$213,0),29)),"",INDEX(data!$A$12:$AI$213,MATCH(HLOOKUP('II. Sledování projektu'!$L$5,vstupy!$N$2:$BY$180,$B116+1,0),data!$B$12:$B$213,0),29))</f>
        <v>0.24720811950192934</v>
      </c>
      <c r="I116" s="54">
        <f>IF(ISERROR(INDEX(data!$A$12:$AI$213,MATCH(HLOOKUP('II. Sledování projektu'!$L$5,vstupy!$N$2:$BY$180,$B116+1,0),data!$B$12:$B$213,0),31)),"",INDEX(data!$A$12:$AI$213,MATCH(HLOOKUP('II. Sledování projektu'!$L$5,vstupy!$N$2:$BY$180,$B116+1,0),data!$B$12:$B$213,0),31))</f>
        <v>355695.7</v>
      </c>
      <c r="J116" s="53">
        <f t="shared" si="10"/>
        <v>0.12673996080527347</v>
      </c>
      <c r="K116" s="53">
        <f t="shared" si="12"/>
        <v>0.51268526721786878</v>
      </c>
      <c r="L116" s="54">
        <f>IF(ISERROR(INDEX(data!$A$12:$AI$213,MATCH(HLOOKUP('II. Sledování projektu'!$L$5,vstupy!$N$2:$BY$180,$B116+1,0),data!$B$12:$B$213,0),32)),"",INDEX(data!$A$12:$AI$213,MATCH(HLOOKUP('II. Sledování projektu'!$L$5,vstupy!$N$2:$BY$180,$B116+1,0),data!$B$12:$B$213,0),32))</f>
        <v>277294.11</v>
      </c>
      <c r="M116" s="53">
        <f t="shared" si="13"/>
        <v>0.43807041696295229</v>
      </c>
      <c r="N116" s="54">
        <f>IF(ISERROR(VLOOKUP(C116,data!$C$12:$AD$213,28,0)),0,VLOOKUP(C116,data!$C$12:$AD$213,28,0))</f>
        <v>693789.58738216467</v>
      </c>
    </row>
    <row r="117" spans="2:14" x14ac:dyDescent="0.2">
      <c r="B117" s="19">
        <f t="shared" si="11"/>
        <v>112</v>
      </c>
      <c r="C117" s="19" t="str">
        <f>IF(ISERROR(INDEX(data!$A$12:$AI$213,MATCH(HLOOKUP('II. Sledování projektu'!$L$5,vstupy!$N$2:$BY$180,$B117+1,0),data!$B$12:$B$213,0),3)),"",INDEX(data!$A$12:$AI$213,MATCH(HLOOKUP('II. Sledování projektu'!$L$5,vstupy!$N$2:$BY$180,$B117+1,0),data!$B$12:$B$213,0),3))</f>
        <v>ÚMOb Plesná</v>
      </c>
      <c r="D117" s="156">
        <f>IF(ISERROR(INDEX(data!$A$12:$AI$213,MATCH(HLOOKUP('II. Sledování projektu'!$L$5,vstupy!$N$2:$BY$180,$B117+1,0),data!$B$12:$B$213,0),35)),"",INDEX(data!$A$12:$AI$213,MATCH(HLOOKUP('II. Sledování projektu'!$L$5,vstupy!$N$2:$BY$180,$B117+1,0),data!$B$12:$B$213,0),35))</f>
        <v>65.772721614999952</v>
      </c>
      <c r="E117" s="49">
        <f>IF(ISERROR(INDEX(data!$A$12:$AI$213,MATCH(HLOOKUP('II. Sledování projektu'!$L$5,vstupy!$N$2:$BY$180,$B117+1,0),data!$B$12:$B$213,0),27)),"",INDEX(data!$A$12:$AI$213,MATCH(HLOOKUP('II. Sledování projektu'!$L$5,vstupy!$N$2:$BY$180,$B117+1,0),data!$B$12:$B$213,0),27))</f>
        <v>1350750</v>
      </c>
      <c r="F117" s="54">
        <f>IF(ISERROR(INDEX(data!$A$12:$AI$213,MATCH(HLOOKUP('II. Sledování projektu'!$L$5,vstupy!$N$2:$BY$180,$B117+1,0),data!$B$12:$B$213,0),28)),"",INDEX(data!$A$12:$AI$213,MATCH(HLOOKUP('II. Sledování projektu'!$L$5,vstupy!$N$2:$BY$180,$B117+1,0),data!$B$12:$B$213,0),28))</f>
        <v>1041227.7</v>
      </c>
      <c r="G117" s="53">
        <f t="shared" si="9"/>
        <v>0.77085152692948355</v>
      </c>
      <c r="H117" s="53">
        <f>IF(ISERROR(INDEX(data!$A$12:$AI$213,MATCH(HLOOKUP('II. Sledování projektu'!$L$5,vstupy!$N$2:$BY$180,$B117+1,0),data!$B$12:$B$213,0),29)),"",INDEX(data!$A$12:$AI$213,MATCH(HLOOKUP('II. Sledování projektu'!$L$5,vstupy!$N$2:$BY$180,$B117+1,0),data!$B$12:$B$213,0),29))</f>
        <v>0.13139999999999999</v>
      </c>
      <c r="I117" s="54">
        <f>IF(ISERROR(INDEX(data!$A$12:$AI$213,MATCH(HLOOKUP('II. Sledování projektu'!$L$5,vstupy!$N$2:$BY$180,$B117+1,0),data!$B$12:$B$213,0),31)),"",INDEX(data!$A$12:$AI$213,MATCH(HLOOKUP('II. Sledování projektu'!$L$5,vstupy!$N$2:$BY$180,$B117+1,0),data!$B$12:$B$213,0),31))</f>
        <v>80550.649999999994</v>
      </c>
      <c r="J117" s="53">
        <f t="shared" si="10"/>
        <v>5.963401813807144E-2</v>
      </c>
      <c r="K117" s="53">
        <f t="shared" si="12"/>
        <v>0.45383575447542956</v>
      </c>
      <c r="L117" s="54">
        <f>IF(ISERROR(INDEX(data!$A$12:$AI$213,MATCH(HLOOKUP('II. Sledování projektu'!$L$5,vstupy!$N$2:$BY$180,$B117+1,0),data!$B$12:$B$213,0),32)),"",INDEX(data!$A$12:$AI$213,MATCH(HLOOKUP('II. Sledování projektu'!$L$5,vstupy!$N$2:$BY$180,$B117+1,0),data!$B$12:$B$213,0),32))</f>
        <v>81289.78</v>
      </c>
      <c r="M117" s="53">
        <f t="shared" si="13"/>
        <v>0.5022835146940724</v>
      </c>
      <c r="N117" s="54">
        <f>IF(ISERROR(VLOOKUP(C117,data!$C$12:$AD$213,28,0)),0,VLOOKUP(C117,data!$C$12:$AD$213,28,0))</f>
        <v>177488.55</v>
      </c>
    </row>
    <row r="118" spans="2:14" x14ac:dyDescent="0.2">
      <c r="B118" s="19">
        <f t="shared" si="11"/>
        <v>113</v>
      </c>
      <c r="C118" s="19" t="str">
        <f>IF(ISERROR(INDEX(data!$A$12:$AI$213,MATCH(HLOOKUP('II. Sledování projektu'!$L$5,vstupy!$N$2:$BY$180,$B118+1,0),data!$B$12:$B$213,0),3)),"",INDEX(data!$A$12:$AI$213,MATCH(HLOOKUP('II. Sledování projektu'!$L$5,vstupy!$N$2:$BY$180,$B118+1,0),data!$B$12:$B$213,0),3))</f>
        <v>ÚMOb Polanka n/O</v>
      </c>
      <c r="D118" s="156">
        <f>IF(ISERROR(INDEX(data!$A$12:$AI$213,MATCH(HLOOKUP('II. Sledování projektu'!$L$5,vstupy!$N$2:$BY$180,$B118+1,0),data!$B$12:$B$213,0),35)),"",INDEX(data!$A$12:$AI$213,MATCH(HLOOKUP('II. Sledování projektu'!$L$5,vstupy!$N$2:$BY$180,$B118+1,0),data!$B$12:$B$213,0),35))</f>
        <v>52.739010098517852</v>
      </c>
      <c r="E118" s="49">
        <f>IF(ISERROR(INDEX(data!$A$12:$AI$213,MATCH(HLOOKUP('II. Sledování projektu'!$L$5,vstupy!$N$2:$BY$180,$B118+1,0),data!$B$12:$B$213,0),27)),"",INDEX(data!$A$12:$AI$213,MATCH(HLOOKUP('II. Sledování projektu'!$L$5,vstupy!$N$2:$BY$180,$B118+1,0),data!$B$12:$B$213,0),27))</f>
        <v>4490250</v>
      </c>
      <c r="F118" s="54">
        <f>IF(ISERROR(INDEX(data!$A$12:$AI$213,MATCH(HLOOKUP('II. Sledování projektu'!$L$5,vstupy!$N$2:$BY$180,$B118+1,0),data!$B$12:$B$213,0),28)),"",INDEX(data!$A$12:$AI$213,MATCH(HLOOKUP('II. Sledování projektu'!$L$5,vstupy!$N$2:$BY$180,$B118+1,0),data!$B$12:$B$213,0),28))</f>
        <v>3412246.09</v>
      </c>
      <c r="G118" s="53">
        <f t="shared" si="9"/>
        <v>0.75992340960970994</v>
      </c>
      <c r="H118" s="53">
        <f>IF(ISERROR(INDEX(data!$A$12:$AI$213,MATCH(HLOOKUP('II. Sledování projektu'!$L$5,vstupy!$N$2:$BY$180,$B118+1,0),data!$B$12:$B$213,0),29)),"",INDEX(data!$A$12:$AI$213,MATCH(HLOOKUP('II. Sledování projektu'!$L$5,vstupy!$N$2:$BY$180,$B118+1,0),data!$B$12:$B$213,0),29))</f>
        <v>0.12054742985739865</v>
      </c>
      <c r="I118" s="54">
        <f>IF(ISERROR(INDEX(data!$A$12:$AI$213,MATCH(HLOOKUP('II. Sledování projektu'!$L$5,vstupy!$N$2:$BY$180,$B118+1,0),data!$B$12:$B$213,0),31)),"",INDEX(data!$A$12:$AI$213,MATCH(HLOOKUP('II. Sledování projektu'!$L$5,vstupy!$N$2:$BY$180,$B118+1,0),data!$B$12:$B$213,0),31))</f>
        <v>133002.06</v>
      </c>
      <c r="J118" s="53">
        <f t="shared" si="10"/>
        <v>2.9620190412560546E-2</v>
      </c>
      <c r="K118" s="53">
        <f t="shared" si="12"/>
        <v>0.24571399363387253</v>
      </c>
      <c r="L118" s="54">
        <f>IF(ISERROR(INDEX(data!$A$12:$AI$213,MATCH(HLOOKUP('II. Sledování projektu'!$L$5,vstupy!$N$2:$BY$180,$B118+1,0),data!$B$12:$B$213,0),32)),"",INDEX(data!$A$12:$AI$213,MATCH(HLOOKUP('II. Sledování projektu'!$L$5,vstupy!$N$2:$BY$180,$B118+1,0),data!$B$12:$B$213,0),32))</f>
        <v>116717.22</v>
      </c>
      <c r="M118" s="53">
        <f t="shared" si="13"/>
        <v>0.46739370704576755</v>
      </c>
      <c r="N118" s="54">
        <f>IF(ISERROR(VLOOKUP(C118,data!$C$12:$AD$213,28,0)),0,VLOOKUP(C118,data!$C$12:$AD$213,28,0))</f>
        <v>541288.0969171843</v>
      </c>
    </row>
    <row r="119" spans="2:14" x14ac:dyDescent="0.2">
      <c r="B119" s="19">
        <f t="shared" si="11"/>
        <v>114</v>
      </c>
      <c r="C119" s="19" t="str">
        <f>IF(ISERROR(INDEX(data!$A$12:$AI$213,MATCH(HLOOKUP('II. Sledování projektu'!$L$5,vstupy!$N$2:$BY$180,$B119+1,0),data!$B$12:$B$213,0),3)),"",INDEX(data!$A$12:$AI$213,MATCH(HLOOKUP('II. Sledování projektu'!$L$5,vstupy!$N$2:$BY$180,$B119+1,0),data!$B$12:$B$213,0),3))</f>
        <v>ÚMOb Poruba</v>
      </c>
      <c r="D119" s="156">
        <f>IF(ISERROR(INDEX(data!$A$12:$AI$213,MATCH(HLOOKUP('II. Sledování projektu'!$L$5,vstupy!$N$2:$BY$180,$B119+1,0),data!$B$12:$B$213,0),35)),"",INDEX(data!$A$12:$AI$213,MATCH(HLOOKUP('II. Sledování projektu'!$L$5,vstupy!$N$2:$BY$180,$B119+1,0),data!$B$12:$B$213,0),35))</f>
        <v>76.14231742301088</v>
      </c>
      <c r="E119" s="49">
        <f>IF(ISERROR(INDEX(data!$A$12:$AI$213,MATCH(HLOOKUP('II. Sledování projektu'!$L$5,vstupy!$N$2:$BY$180,$B119+1,0),data!$B$12:$B$213,0),27)),"",INDEX(data!$A$12:$AI$213,MATCH(HLOOKUP('II. Sledování projektu'!$L$5,vstupy!$N$2:$BY$180,$B119+1,0),data!$B$12:$B$213,0),27))</f>
        <v>76585500</v>
      </c>
      <c r="F119" s="54">
        <f>IF(ISERROR(INDEX(data!$A$12:$AI$213,MATCH(HLOOKUP('II. Sledování projektu'!$L$5,vstupy!$N$2:$BY$180,$B119+1,0),data!$B$12:$B$213,0),28)),"",INDEX(data!$A$12:$AI$213,MATCH(HLOOKUP('II. Sledování projektu'!$L$5,vstupy!$N$2:$BY$180,$B119+1,0),data!$B$12:$B$213,0),28))</f>
        <v>24725349.02</v>
      </c>
      <c r="G119" s="53">
        <f t="shared" si="9"/>
        <v>0.32284634846021765</v>
      </c>
      <c r="H119" s="53">
        <f>IF(ISERROR(INDEX(data!$A$12:$AI$213,MATCH(HLOOKUP('II. Sledování projektu'!$L$5,vstupy!$N$2:$BY$180,$B119+1,0),data!$B$12:$B$213,0),29)),"",INDEX(data!$A$12:$AI$213,MATCH(HLOOKUP('II. Sledování projektu'!$L$5,vstupy!$N$2:$BY$180,$B119+1,0),data!$B$12:$B$213,0),29))</f>
        <v>0.1867</v>
      </c>
      <c r="I119" s="54">
        <f>IF(ISERROR(INDEX(data!$A$12:$AI$213,MATCH(HLOOKUP('II. Sledování projektu'!$L$5,vstupy!$N$2:$BY$180,$B119+1,0),data!$B$12:$B$213,0),31)),"",INDEX(data!$A$12:$AI$213,MATCH(HLOOKUP('II. Sledování projektu'!$L$5,vstupy!$N$2:$BY$180,$B119+1,0),data!$B$12:$B$213,0),31))</f>
        <v>33073656.049999997</v>
      </c>
      <c r="J119" s="53">
        <f t="shared" si="10"/>
        <v>0.4318527142866469</v>
      </c>
      <c r="K119" s="53">
        <f t="shared" si="12"/>
        <v>2.3130836330297102</v>
      </c>
      <c r="L119" s="54">
        <f>IF(ISERROR(INDEX(data!$A$12:$AI$213,MATCH(HLOOKUP('II. Sledování projektu'!$L$5,vstupy!$N$2:$BY$180,$B119+1,0),data!$B$12:$B$213,0),32)),"",INDEX(data!$A$12:$AI$213,MATCH(HLOOKUP('II. Sledování projektu'!$L$5,vstupy!$N$2:$BY$180,$B119+1,0),data!$B$12:$B$213,0),32))</f>
        <v>6204993.2199999997</v>
      </c>
      <c r="M119" s="53">
        <f t="shared" si="13"/>
        <v>0.15797369144104481</v>
      </c>
      <c r="N119" s="54">
        <f>IF(ISERROR(VLOOKUP(C119,data!$C$12:$AD$213,28,0)),0,VLOOKUP(C119,data!$C$12:$AD$213,28,0))</f>
        <v>14298512.85</v>
      </c>
    </row>
    <row r="120" spans="2:14" x14ac:dyDescent="0.2">
      <c r="B120" s="19">
        <f t="shared" si="11"/>
        <v>115</v>
      </c>
      <c r="C120" s="19" t="str">
        <f>IF(ISERROR(INDEX(data!$A$12:$AI$213,MATCH(HLOOKUP('II. Sledování projektu'!$L$5,vstupy!$N$2:$BY$180,$B120+1,0),data!$B$12:$B$213,0),3)),"",INDEX(data!$A$12:$AI$213,MATCH(HLOOKUP('II. Sledování projektu'!$L$5,vstupy!$N$2:$BY$180,$B120+1,0),data!$B$12:$B$213,0),3))</f>
        <v>ÚMOb Proskovice</v>
      </c>
      <c r="D120" s="156">
        <f>IF(ISERROR(INDEX(data!$A$12:$AI$213,MATCH(HLOOKUP('II. Sledování projektu'!$L$5,vstupy!$N$2:$BY$180,$B120+1,0),data!$B$12:$B$213,0),35)),"",INDEX(data!$A$12:$AI$213,MATCH(HLOOKUP('II. Sledování projektu'!$L$5,vstupy!$N$2:$BY$180,$B120+1,0),data!$B$12:$B$213,0),35))</f>
        <v>36.360535792476952</v>
      </c>
      <c r="E120" s="49">
        <f>IF(ISERROR(INDEX(data!$A$12:$AI$213,MATCH(HLOOKUP('II. Sledování projektu'!$L$5,vstupy!$N$2:$BY$180,$B120+1,0),data!$B$12:$B$213,0),27)),"",INDEX(data!$A$12:$AI$213,MATCH(HLOOKUP('II. Sledování projektu'!$L$5,vstupy!$N$2:$BY$180,$B120+1,0),data!$B$12:$B$213,0),27))</f>
        <v>2559750</v>
      </c>
      <c r="F120" s="54">
        <f>IF(ISERROR(INDEX(data!$A$12:$AI$213,MATCH(HLOOKUP('II. Sledování projektu'!$L$5,vstupy!$N$2:$BY$180,$B120+1,0),data!$B$12:$B$213,0),28)),"",INDEX(data!$A$12:$AI$213,MATCH(HLOOKUP('II. Sledování projektu'!$L$5,vstupy!$N$2:$BY$180,$B120+1,0),data!$B$12:$B$213,0),28))</f>
        <v>1074376.24</v>
      </c>
      <c r="G120" s="53">
        <f t="shared" si="9"/>
        <v>0.4197192069538041</v>
      </c>
      <c r="H120" s="53">
        <f>IF(ISERROR(INDEX(data!$A$12:$AI$213,MATCH(HLOOKUP('II. Sledování projektu'!$L$5,vstupy!$N$2:$BY$180,$B120+1,0),data!$B$12:$B$213,0),29)),"",INDEX(data!$A$12:$AI$213,MATCH(HLOOKUP('II. Sledování projektu'!$L$5,vstupy!$N$2:$BY$180,$B120+1,0),data!$B$12:$B$213,0),29))</f>
        <v>0.27362467245610628</v>
      </c>
      <c r="I120" s="54">
        <f>IF(ISERROR(INDEX(data!$A$12:$AI$213,MATCH(HLOOKUP('II. Sledování projektu'!$L$5,vstupy!$N$2:$BY$180,$B120+1,0),data!$B$12:$B$213,0),31)),"",INDEX(data!$A$12:$AI$213,MATCH(HLOOKUP('II. Sledování projektu'!$L$5,vstupy!$N$2:$BY$180,$B120+1,0),data!$B$12:$B$213,0),31))</f>
        <v>179475.3</v>
      </c>
      <c r="J120" s="53">
        <f t="shared" si="10"/>
        <v>7.0114386170524456E-2</v>
      </c>
      <c r="K120" s="53">
        <f t="shared" si="12"/>
        <v>0.25624292407977911</v>
      </c>
      <c r="L120" s="54">
        <f>IF(ISERROR(INDEX(data!$A$12:$AI$213,MATCH(HLOOKUP('II. Sledování projektu'!$L$5,vstupy!$N$2:$BY$180,$B120+1,0),data!$B$12:$B$213,0),32)),"",INDEX(data!$A$12:$AI$213,MATCH(HLOOKUP('II. Sledování projektu'!$L$5,vstupy!$N$2:$BY$180,$B120+1,0),data!$B$12:$B$213,0),32))</f>
        <v>138862.12</v>
      </c>
      <c r="M120" s="53">
        <f t="shared" si="13"/>
        <v>0.43621048383190392</v>
      </c>
      <c r="N120" s="54">
        <f>IF(ISERROR(VLOOKUP(C120,data!$C$12:$AD$213,28,0)),0,VLOOKUP(C120,data!$C$12:$AD$213,28,0))</f>
        <v>700410.75531951804</v>
      </c>
    </row>
    <row r="121" spans="2:14" x14ac:dyDescent="0.2">
      <c r="B121" s="19">
        <f t="shared" si="11"/>
        <v>116</v>
      </c>
      <c r="C121" s="19" t="str">
        <f>IF(ISERROR(INDEX(data!$A$12:$AI$213,MATCH(HLOOKUP('II. Sledování projektu'!$L$5,vstupy!$N$2:$BY$180,$B121+1,0),data!$B$12:$B$213,0),3)),"",INDEX(data!$A$12:$AI$213,MATCH(HLOOKUP('II. Sledování projektu'!$L$5,vstupy!$N$2:$BY$180,$B121+1,0),data!$B$12:$B$213,0),3))</f>
        <v>ÚMOb Pustkovec</v>
      </c>
      <c r="D121" s="156">
        <f>IF(ISERROR(INDEX(data!$A$12:$AI$213,MATCH(HLOOKUP('II. Sledování projektu'!$L$5,vstupy!$N$2:$BY$180,$B121+1,0),data!$B$12:$B$213,0),35)),"",INDEX(data!$A$12:$AI$213,MATCH(HLOOKUP('II. Sledování projektu'!$L$5,vstupy!$N$2:$BY$180,$B121+1,0),data!$B$12:$B$213,0),35))</f>
        <v>60.133179034630295</v>
      </c>
      <c r="E121" s="49">
        <f>IF(ISERROR(INDEX(data!$A$12:$AI$213,MATCH(HLOOKUP('II. Sledování projektu'!$L$5,vstupy!$N$2:$BY$180,$B121+1,0),data!$B$12:$B$213,0),27)),"",INDEX(data!$A$12:$AI$213,MATCH(HLOOKUP('II. Sledování projektu'!$L$5,vstupy!$N$2:$BY$180,$B121+1,0),data!$B$12:$B$213,0),27))</f>
        <v>1869750</v>
      </c>
      <c r="F121" s="54">
        <f>IF(ISERROR(INDEX(data!$A$12:$AI$213,MATCH(HLOOKUP('II. Sledování projektu'!$L$5,vstupy!$N$2:$BY$180,$B121+1,0),data!$B$12:$B$213,0),28)),"",INDEX(data!$A$12:$AI$213,MATCH(HLOOKUP('II. Sledování projektu'!$L$5,vstupy!$N$2:$BY$180,$B121+1,0),data!$B$12:$B$213,0),28))</f>
        <v>4980.2299999999996</v>
      </c>
      <c r="G121" s="53">
        <f t="shared" si="9"/>
        <v>2.6635806926059631E-3</v>
      </c>
      <c r="H121" s="53">
        <f>IF(ISERROR(INDEX(data!$A$12:$AI$213,MATCH(HLOOKUP('II. Sledování projektu'!$L$5,vstupy!$N$2:$BY$180,$B121+1,0),data!$B$12:$B$213,0),29)),"",INDEX(data!$A$12:$AI$213,MATCH(HLOOKUP('II. Sledování projektu'!$L$5,vstupy!$N$2:$BY$180,$B121+1,0),data!$B$12:$B$213,0),29))</f>
        <v>0.19500000000000001</v>
      </c>
      <c r="I121" s="54">
        <f>IF(ISERROR(INDEX(data!$A$12:$AI$213,MATCH(HLOOKUP('II. Sledování projektu'!$L$5,vstupy!$N$2:$BY$180,$B121+1,0),data!$B$12:$B$213,0),31)),"",INDEX(data!$A$12:$AI$213,MATCH(HLOOKUP('II. Sledování projektu'!$L$5,vstupy!$N$2:$BY$180,$B121+1,0),data!$B$12:$B$213,0),31))</f>
        <v>602064.22000000009</v>
      </c>
      <c r="J121" s="53">
        <f t="shared" si="10"/>
        <v>0.322002524401658</v>
      </c>
      <c r="K121" s="53">
        <f t="shared" si="12"/>
        <v>1.6512949969315796</v>
      </c>
      <c r="L121" s="54">
        <f>IF(ISERROR(INDEX(data!$A$12:$AI$213,MATCH(HLOOKUP('II. Sledování projektu'!$L$5,vstupy!$N$2:$BY$180,$B121+1,0),data!$B$12:$B$213,0),32)),"",INDEX(data!$A$12:$AI$213,MATCH(HLOOKUP('II. Sledování projektu'!$L$5,vstupy!$N$2:$BY$180,$B121+1,0),data!$B$12:$B$213,0),32))</f>
        <v>83026.61</v>
      </c>
      <c r="M121" s="53">
        <f t="shared" si="13"/>
        <v>0.12119066022238247</v>
      </c>
      <c r="N121" s="54">
        <f>IF(ISERROR(VLOOKUP(C121,data!$C$12:$AD$213,28,0)),0,VLOOKUP(C121,data!$C$12:$AD$213,28,0))</f>
        <v>364601.25</v>
      </c>
    </row>
    <row r="122" spans="2:14" x14ac:dyDescent="0.2">
      <c r="B122" s="19">
        <f t="shared" si="11"/>
        <v>117</v>
      </c>
      <c r="C122" s="19" t="str">
        <f>IF(ISERROR(INDEX(data!$A$12:$AI$213,MATCH(HLOOKUP('II. Sledování projektu'!$L$5,vstupy!$N$2:$BY$180,$B122+1,0),data!$B$12:$B$213,0),3)),"",INDEX(data!$A$12:$AI$213,MATCH(HLOOKUP('II. Sledování projektu'!$L$5,vstupy!$N$2:$BY$180,$B122+1,0),data!$B$12:$B$213,0),3))</f>
        <v>ÚMOb Radvanice a Bartovice</v>
      </c>
      <c r="D122" s="156">
        <f>IF(ISERROR(INDEX(data!$A$12:$AI$213,MATCH(HLOOKUP('II. Sledování projektu'!$L$5,vstupy!$N$2:$BY$180,$B122+1,0),data!$B$12:$B$213,0),35)),"",INDEX(data!$A$12:$AI$213,MATCH(HLOOKUP('II. Sledování projektu'!$L$5,vstupy!$N$2:$BY$180,$B122+1,0),data!$B$12:$B$213,0),35))</f>
        <v>15.086912575258046</v>
      </c>
      <c r="E122" s="49">
        <f>IF(ISERROR(INDEX(data!$A$12:$AI$213,MATCH(HLOOKUP('II. Sledování projektu'!$L$5,vstupy!$N$2:$BY$180,$B122+1,0),data!$B$12:$B$213,0),27)),"",INDEX(data!$A$12:$AI$213,MATCH(HLOOKUP('II. Sledování projektu'!$L$5,vstupy!$N$2:$BY$180,$B122+1,0),data!$B$12:$B$213,0),27))</f>
        <v>8347500</v>
      </c>
      <c r="F122" s="54">
        <f>IF(ISERROR(INDEX(data!$A$12:$AI$213,MATCH(HLOOKUP('II. Sledování projektu'!$L$5,vstupy!$N$2:$BY$180,$B122+1,0),data!$B$12:$B$213,0),28)),"",INDEX(data!$A$12:$AI$213,MATCH(HLOOKUP('II. Sledování projektu'!$L$5,vstupy!$N$2:$BY$180,$B122+1,0),data!$B$12:$B$213,0),28))</f>
        <v>1199.56</v>
      </c>
      <c r="G122" s="53">
        <f t="shared" si="9"/>
        <v>1.4370290506139562E-4</v>
      </c>
      <c r="H122" s="53">
        <f>IF(ISERROR(INDEX(data!$A$12:$AI$213,MATCH(HLOOKUP('II. Sledování projektu'!$L$5,vstupy!$N$2:$BY$180,$B122+1,0),data!$B$12:$B$213,0),29)),"",INDEX(data!$A$12:$AI$213,MATCH(HLOOKUP('II. Sledování projektu'!$L$5,vstupy!$N$2:$BY$180,$B122+1,0),data!$B$12:$B$213,0),29))</f>
        <v>0.22950220472405164</v>
      </c>
      <c r="I122" s="54">
        <f>IF(ISERROR(INDEX(data!$A$12:$AI$213,MATCH(HLOOKUP('II. Sledování projektu'!$L$5,vstupy!$N$2:$BY$180,$B122+1,0),data!$B$12:$B$213,0),31)),"",INDEX(data!$A$12:$AI$213,MATCH(HLOOKUP('II. Sledování projektu'!$L$5,vstupy!$N$2:$BY$180,$B122+1,0),data!$B$12:$B$213,0),31))</f>
        <v>481488.07</v>
      </c>
      <c r="J122" s="53">
        <f t="shared" si="10"/>
        <v>5.7680511530398326E-2</v>
      </c>
      <c r="K122" s="53">
        <f t="shared" si="12"/>
        <v>0.25132879050008294</v>
      </c>
      <c r="L122" s="54">
        <f>IF(ISERROR(INDEX(data!$A$12:$AI$213,MATCH(HLOOKUP('II. Sledování projektu'!$L$5,vstupy!$N$2:$BY$180,$B122+1,0),data!$B$12:$B$213,0),32)),"",INDEX(data!$A$12:$AI$213,MATCH(HLOOKUP('II. Sledování projektu'!$L$5,vstupy!$N$2:$BY$180,$B122+1,0),data!$B$12:$B$213,0),32))</f>
        <v>450648.22000000003</v>
      </c>
      <c r="M122" s="53">
        <f t="shared" si="13"/>
        <v>0.48345743517828277</v>
      </c>
      <c r="N122" s="54">
        <f>IF(ISERROR(VLOOKUP(C122,data!$C$12:$AD$213,28,0)),0,VLOOKUP(C122,data!$C$12:$AD$213,28,0))</f>
        <v>1915769.653934021</v>
      </c>
    </row>
    <row r="123" spans="2:14" x14ac:dyDescent="0.2">
      <c r="B123" s="19">
        <f t="shared" si="11"/>
        <v>118</v>
      </c>
      <c r="C123" s="19" t="str">
        <f>IF(ISERROR(INDEX(data!$A$12:$AI$213,MATCH(HLOOKUP('II. Sledování projektu'!$L$5,vstupy!$N$2:$BY$180,$B123+1,0),data!$B$12:$B$213,0),3)),"",INDEX(data!$A$12:$AI$213,MATCH(HLOOKUP('II. Sledování projektu'!$L$5,vstupy!$N$2:$BY$180,$B123+1,0),data!$B$12:$B$213,0),3))</f>
        <v>ÚMOb Slezská Ostrava</v>
      </c>
      <c r="D123" s="156">
        <f>IF(ISERROR(INDEX(data!$A$12:$AI$213,MATCH(HLOOKUP('II. Sledování projektu'!$L$5,vstupy!$N$2:$BY$180,$B123+1,0),data!$B$12:$B$213,0),35)),"",INDEX(data!$A$12:$AI$213,MATCH(HLOOKUP('II. Sledování projektu'!$L$5,vstupy!$N$2:$BY$180,$B123+1,0),data!$B$12:$B$213,0),35))</f>
        <v>65.162860020452982</v>
      </c>
      <c r="E123" s="49">
        <f>IF(ISERROR(INDEX(data!$A$12:$AI$213,MATCH(HLOOKUP('II. Sledování projektu'!$L$5,vstupy!$N$2:$BY$180,$B123+1,0),data!$B$12:$B$213,0),27)),"",INDEX(data!$A$12:$AI$213,MATCH(HLOOKUP('II. Sledování projektu'!$L$5,vstupy!$N$2:$BY$180,$B123+1,0),data!$B$12:$B$213,0),27))</f>
        <v>57479250</v>
      </c>
      <c r="F123" s="54">
        <f>IF(ISERROR(INDEX(data!$A$12:$AI$213,MATCH(HLOOKUP('II. Sledování projektu'!$L$5,vstupy!$N$2:$BY$180,$B123+1,0),data!$B$12:$B$213,0),28)),"",INDEX(data!$A$12:$AI$213,MATCH(HLOOKUP('II. Sledování projektu'!$L$5,vstupy!$N$2:$BY$180,$B123+1,0),data!$B$12:$B$213,0),28))</f>
        <v>40495805.829999998</v>
      </c>
      <c r="G123" s="53">
        <f t="shared" si="9"/>
        <v>0.70452912711978666</v>
      </c>
      <c r="H123" s="53">
        <f>IF(ISERROR(INDEX(data!$A$12:$AI$213,MATCH(HLOOKUP('II. Sledování projektu'!$L$5,vstupy!$N$2:$BY$180,$B123+1,0),data!$B$12:$B$213,0),29)),"",INDEX(data!$A$12:$AI$213,MATCH(HLOOKUP('II. Sledování projektu'!$L$5,vstupy!$N$2:$BY$180,$B123+1,0),data!$B$12:$B$213,0),29))</f>
        <v>0.21337085300724309</v>
      </c>
      <c r="I123" s="54">
        <f>IF(ISERROR(INDEX(data!$A$12:$AI$213,MATCH(HLOOKUP('II. Sledování projektu'!$L$5,vstupy!$N$2:$BY$180,$B123+1,0),data!$B$12:$B$213,0),31)),"",INDEX(data!$A$12:$AI$213,MATCH(HLOOKUP('II. Sledování projektu'!$L$5,vstupy!$N$2:$BY$180,$B123+1,0),data!$B$12:$B$213,0),31))</f>
        <v>6119198.79</v>
      </c>
      <c r="J123" s="53">
        <f t="shared" si="10"/>
        <v>0.10645926643092943</v>
      </c>
      <c r="K123" s="53">
        <f t="shared" si="12"/>
        <v>0.49894006107439404</v>
      </c>
      <c r="L123" s="54">
        <f>IF(ISERROR(INDEX(data!$A$12:$AI$213,MATCH(HLOOKUP('II. Sledování projektu'!$L$5,vstupy!$N$2:$BY$180,$B123+1,0),data!$B$12:$B$213,0),32)),"",INDEX(data!$A$12:$AI$213,MATCH(HLOOKUP('II. Sledování projektu'!$L$5,vstupy!$N$2:$BY$180,$B123+1,0),data!$B$12:$B$213,0),32))</f>
        <v>4442394.68</v>
      </c>
      <c r="M123" s="53">
        <f t="shared" si="13"/>
        <v>0.42061784451546402</v>
      </c>
      <c r="N123" s="54">
        <f>IF(ISERROR(VLOOKUP(C123,data!$C$12:$AD$213,28,0)),0,VLOOKUP(C123,data!$C$12:$AD$213,28,0))</f>
        <v>12264396.602716578</v>
      </c>
    </row>
    <row r="124" spans="2:14" x14ac:dyDescent="0.2">
      <c r="B124" s="19">
        <f t="shared" si="11"/>
        <v>119</v>
      </c>
      <c r="C124" s="19" t="str">
        <f>IF(ISERROR(INDEX(data!$A$12:$AI$213,MATCH(HLOOKUP('II. Sledování projektu'!$L$5,vstupy!$N$2:$BY$180,$B124+1,0),data!$B$12:$B$213,0),3)),"",INDEX(data!$A$12:$AI$213,MATCH(HLOOKUP('II. Sledování projektu'!$L$5,vstupy!$N$2:$BY$180,$B124+1,0),data!$B$12:$B$213,0),3))</f>
        <v>ÚMOb Stará Bělá</v>
      </c>
      <c r="D124" s="156">
        <f>IF(ISERROR(INDEX(data!$A$12:$AI$213,MATCH(HLOOKUP('II. Sledování projektu'!$L$5,vstupy!$N$2:$BY$180,$B124+1,0),data!$B$12:$B$213,0),35)),"",INDEX(data!$A$12:$AI$213,MATCH(HLOOKUP('II. Sledování projektu'!$L$5,vstupy!$N$2:$BY$180,$B124+1,0),data!$B$12:$B$213,0),35))</f>
        <v>10.855997860957036</v>
      </c>
      <c r="E124" s="49">
        <f>IF(ISERROR(INDEX(data!$A$12:$AI$213,MATCH(HLOOKUP('II. Sledování projektu'!$L$5,vstupy!$N$2:$BY$180,$B124+1,0),data!$B$12:$B$213,0),27)),"",INDEX(data!$A$12:$AI$213,MATCH(HLOOKUP('II. Sledování projektu'!$L$5,vstupy!$N$2:$BY$180,$B124+1,0),data!$B$12:$B$213,0),27))</f>
        <v>2709750</v>
      </c>
      <c r="F124" s="54">
        <f>IF(ISERROR(INDEX(data!$A$12:$AI$213,MATCH(HLOOKUP('II. Sledování projektu'!$L$5,vstupy!$N$2:$BY$180,$B124+1,0),data!$B$12:$B$213,0),28)),"",INDEX(data!$A$12:$AI$213,MATCH(HLOOKUP('II. Sledování projektu'!$L$5,vstupy!$N$2:$BY$180,$B124+1,0),data!$B$12:$B$213,0),28))</f>
        <v>185733.3</v>
      </c>
      <c r="G124" s="53">
        <f t="shared" si="9"/>
        <v>6.854259618045945E-2</v>
      </c>
      <c r="H124" s="53">
        <f>IF(ISERROR(INDEX(data!$A$12:$AI$213,MATCH(HLOOKUP('II. Sledování projektu'!$L$5,vstupy!$N$2:$BY$180,$B124+1,0),data!$B$12:$B$213,0),29)),"",INDEX(data!$A$12:$AI$213,MATCH(HLOOKUP('II. Sledování projektu'!$L$5,vstupy!$N$2:$BY$180,$B124+1,0),data!$B$12:$B$213,0),29))</f>
        <v>0.25922545144779635</v>
      </c>
      <c r="I124" s="54">
        <f>IF(ISERROR(INDEX(data!$A$12:$AI$213,MATCH(HLOOKUP('II. Sledování projektu'!$L$5,vstupy!$N$2:$BY$180,$B124+1,0),data!$B$12:$B$213,0),31)),"",INDEX(data!$A$12:$AI$213,MATCH(HLOOKUP('II. Sledování projektu'!$L$5,vstupy!$N$2:$BY$180,$B124+1,0),data!$B$12:$B$213,0),31))</f>
        <v>86971.760000000009</v>
      </c>
      <c r="J124" s="53">
        <f t="shared" si="10"/>
        <v>3.2095861241811977E-2</v>
      </c>
      <c r="K124" s="53">
        <f t="shared" si="12"/>
        <v>0.12381446753223438</v>
      </c>
      <c r="L124" s="54">
        <f>IF(ISERROR(INDEX(data!$A$12:$AI$213,MATCH(HLOOKUP('II. Sledování projektu'!$L$5,vstupy!$N$2:$BY$180,$B124+1,0),data!$B$12:$B$213,0),32)),"",INDEX(data!$A$12:$AI$213,MATCH(HLOOKUP('II. Sledování projektu'!$L$5,vstupy!$N$2:$BY$180,$B124+1,0),data!$B$12:$B$213,0),32))</f>
        <v>77999.37</v>
      </c>
      <c r="M124" s="53">
        <f t="shared" si="13"/>
        <v>0.47280618129972191</v>
      </c>
      <c r="N124" s="54">
        <f>IF(ISERROR(VLOOKUP(C124,data!$C$12:$AD$213,28,0)),0,VLOOKUP(C124,data!$C$12:$AD$213,28,0))</f>
        <v>702436.16706066614</v>
      </c>
    </row>
    <row r="125" spans="2:14" x14ac:dyDescent="0.2">
      <c r="B125" s="19">
        <f t="shared" si="11"/>
        <v>120</v>
      </c>
      <c r="C125" s="19" t="str">
        <f>IF(ISERROR(INDEX(data!$A$12:$AI$213,MATCH(HLOOKUP('II. Sledování projektu'!$L$5,vstupy!$N$2:$BY$180,$B125+1,0),data!$B$12:$B$213,0),3)),"",INDEX(data!$A$12:$AI$213,MATCH(HLOOKUP('II. Sledování projektu'!$L$5,vstupy!$N$2:$BY$180,$B125+1,0),data!$B$12:$B$213,0),3))</f>
        <v>ÚMOb Svinov</v>
      </c>
      <c r="D125" s="156">
        <f>IF(ISERROR(INDEX(data!$A$12:$AI$213,MATCH(HLOOKUP('II. Sledování projektu'!$L$5,vstupy!$N$2:$BY$180,$B125+1,0),data!$B$12:$B$213,0),35)),"",INDEX(data!$A$12:$AI$213,MATCH(HLOOKUP('II. Sledování projektu'!$L$5,vstupy!$N$2:$BY$180,$B125+1,0),data!$B$12:$B$213,0),35))</f>
        <v>63.695279650958192</v>
      </c>
      <c r="E125" s="49">
        <f>IF(ISERROR(INDEX(data!$A$12:$AI$213,MATCH(HLOOKUP('II. Sledování projektu'!$L$5,vstupy!$N$2:$BY$180,$B125+1,0),data!$B$12:$B$213,0),27)),"",INDEX(data!$A$12:$AI$213,MATCH(HLOOKUP('II. Sledování projektu'!$L$5,vstupy!$N$2:$BY$180,$B125+1,0),data!$B$12:$B$213,0),27))</f>
        <v>5530500</v>
      </c>
      <c r="F125" s="54">
        <f>IF(ISERROR(INDEX(data!$A$12:$AI$213,MATCH(HLOOKUP('II. Sledování projektu'!$L$5,vstupy!$N$2:$BY$180,$B125+1,0),data!$B$12:$B$213,0),28)),"",INDEX(data!$A$12:$AI$213,MATCH(HLOOKUP('II. Sledování projektu'!$L$5,vstupy!$N$2:$BY$180,$B125+1,0),data!$B$12:$B$213,0),28))</f>
        <v>3812503.67</v>
      </c>
      <c r="G125" s="53">
        <f t="shared" si="9"/>
        <v>0.68935967272398513</v>
      </c>
      <c r="H125" s="53">
        <f>IF(ISERROR(INDEX(data!$A$12:$AI$213,MATCH(HLOOKUP('II. Sledování projektu'!$L$5,vstupy!$N$2:$BY$180,$B125+1,0),data!$B$12:$B$213,0),29)),"",INDEX(data!$A$12:$AI$213,MATCH(HLOOKUP('II. Sledování projektu'!$L$5,vstupy!$N$2:$BY$180,$B125+1,0),data!$B$12:$B$213,0),29))</f>
        <v>0.14752125202248395</v>
      </c>
      <c r="I125" s="54">
        <f>IF(ISERROR(INDEX(data!$A$12:$AI$213,MATCH(HLOOKUP('II. Sledování projektu'!$L$5,vstupy!$N$2:$BY$180,$B125+1,0),data!$B$12:$B$213,0),31)),"",INDEX(data!$A$12:$AI$213,MATCH(HLOOKUP('II. Sledování projektu'!$L$5,vstupy!$N$2:$BY$180,$B125+1,0),data!$B$12:$B$213,0),31))</f>
        <v>397426.08999999997</v>
      </c>
      <c r="J125" s="53">
        <f t="shared" si="10"/>
        <v>7.1860788355483221E-2</v>
      </c>
      <c r="K125" s="53">
        <f t="shared" si="12"/>
        <v>0.48712160024598222</v>
      </c>
      <c r="L125" s="54">
        <f>IF(ISERROR(INDEX(data!$A$12:$AI$213,MATCH(HLOOKUP('II. Sledování projektu'!$L$5,vstupy!$N$2:$BY$180,$B125+1,0),data!$B$12:$B$213,0),32)),"",INDEX(data!$A$12:$AI$213,MATCH(HLOOKUP('II. Sledování projektu'!$L$5,vstupy!$N$2:$BY$180,$B125+1,0),data!$B$12:$B$213,0),32))</f>
        <v>289934.5</v>
      </c>
      <c r="M125" s="53">
        <f t="shared" si="13"/>
        <v>0.42180844263998318</v>
      </c>
      <c r="N125" s="54">
        <f>IF(ISERROR(VLOOKUP(C125,data!$C$12:$AD$213,28,0)),0,VLOOKUP(C125,data!$C$12:$AD$213,28,0))</f>
        <v>815866.28431034752</v>
      </c>
    </row>
    <row r="126" spans="2:14" x14ac:dyDescent="0.2">
      <c r="B126" s="19">
        <f t="shared" si="11"/>
        <v>121</v>
      </c>
      <c r="C126" s="19" t="str">
        <f>IF(ISERROR(INDEX(data!$A$12:$AI$213,MATCH(HLOOKUP('II. Sledování projektu'!$L$5,vstupy!$N$2:$BY$180,$B126+1,0),data!$B$12:$B$213,0),3)),"",INDEX(data!$A$12:$AI$213,MATCH(HLOOKUP('II. Sledování projektu'!$L$5,vstupy!$N$2:$BY$180,$B126+1,0),data!$B$12:$B$213,0),3))</f>
        <v>ÚMOb Třebovice</v>
      </c>
      <c r="D126" s="156">
        <f>IF(ISERROR(INDEX(data!$A$12:$AI$213,MATCH(HLOOKUP('II. Sledování projektu'!$L$5,vstupy!$N$2:$BY$180,$B126+1,0),data!$B$12:$B$213,0),35)),"",INDEX(data!$A$12:$AI$213,MATCH(HLOOKUP('II. Sledování projektu'!$L$5,vstupy!$N$2:$BY$180,$B126+1,0),data!$B$12:$B$213,0),35))</f>
        <v>43.860496141785795</v>
      </c>
      <c r="E126" s="49">
        <f>IF(ISERROR(INDEX(data!$A$12:$AI$213,MATCH(HLOOKUP('II. Sledování projektu'!$L$5,vstupy!$N$2:$BY$180,$B126+1,0),data!$B$12:$B$213,0),27)),"",INDEX(data!$A$12:$AI$213,MATCH(HLOOKUP('II. Sledování projektu'!$L$5,vstupy!$N$2:$BY$180,$B126+1,0),data!$B$12:$B$213,0),27))</f>
        <v>2544000</v>
      </c>
      <c r="F126" s="54">
        <f>IF(ISERROR(INDEX(data!$A$12:$AI$213,MATCH(HLOOKUP('II. Sledování projektu'!$L$5,vstupy!$N$2:$BY$180,$B126+1,0),data!$B$12:$B$213,0),28)),"",INDEX(data!$A$12:$AI$213,MATCH(HLOOKUP('II. Sledování projektu'!$L$5,vstupy!$N$2:$BY$180,$B126+1,0),data!$B$12:$B$213,0),28))</f>
        <v>1573740.9300000002</v>
      </c>
      <c r="G126" s="53">
        <f t="shared" si="9"/>
        <v>0.6186088561320755</v>
      </c>
      <c r="H126" s="53">
        <f>IF(ISERROR(INDEX(data!$A$12:$AI$213,MATCH(HLOOKUP('II. Sledování projektu'!$L$5,vstupy!$N$2:$BY$180,$B126+1,0),data!$B$12:$B$213,0),29)),"",INDEX(data!$A$12:$AI$213,MATCH(HLOOKUP('II. Sledování projektu'!$L$5,vstupy!$N$2:$BY$180,$B126+1,0),data!$B$12:$B$213,0),29))</f>
        <v>0.32468997749544032</v>
      </c>
      <c r="I126" s="54">
        <f>IF(ISERROR(INDEX(data!$A$12:$AI$213,MATCH(HLOOKUP('II. Sledování projektu'!$L$5,vstupy!$N$2:$BY$180,$B126+1,0),data!$B$12:$B$213,0),31)),"",INDEX(data!$A$12:$AI$213,MATCH(HLOOKUP('II. Sledování projektu'!$L$5,vstupy!$N$2:$BY$180,$B126+1,0),data!$B$12:$B$213,0),31))</f>
        <v>178006.16999999998</v>
      </c>
      <c r="J126" s="53">
        <f t="shared" si="10"/>
        <v>6.9970978773584894E-2</v>
      </c>
      <c r="K126" s="53">
        <f t="shared" si="12"/>
        <v>0.21550088891970037</v>
      </c>
      <c r="L126" s="54">
        <f>IF(ISERROR(INDEX(data!$A$12:$AI$213,MATCH(HLOOKUP('II. Sledování projektu'!$L$5,vstupy!$N$2:$BY$180,$B126+1,0),data!$B$12:$B$213,0),32)),"",INDEX(data!$A$12:$AI$213,MATCH(HLOOKUP('II. Sledování projektu'!$L$5,vstupy!$N$2:$BY$180,$B126+1,0),data!$B$12:$B$213,0),32))</f>
        <v>154200.00999999998</v>
      </c>
      <c r="M126" s="53">
        <f t="shared" si="13"/>
        <v>0.46416960093879051</v>
      </c>
      <c r="N126" s="54">
        <f>IF(ISERROR(VLOOKUP(C126,data!$C$12:$AD$213,28,0)),0,VLOOKUP(C126,data!$C$12:$AD$213,28,0))</f>
        <v>826011.30274840014</v>
      </c>
    </row>
    <row r="127" spans="2:14" x14ac:dyDescent="0.2">
      <c r="B127" s="19">
        <f t="shared" si="11"/>
        <v>122</v>
      </c>
      <c r="C127" s="19" t="str">
        <f>IF(ISERROR(INDEX(data!$A$12:$AI$213,MATCH(HLOOKUP('II. Sledování projektu'!$L$5,vstupy!$N$2:$BY$180,$B127+1,0),data!$B$12:$B$213,0),3)),"",INDEX(data!$A$12:$AI$213,MATCH(HLOOKUP('II. Sledování projektu'!$L$5,vstupy!$N$2:$BY$180,$B127+1,0),data!$B$12:$B$213,0),3))</f>
        <v>ÚMOb Vítkovice</v>
      </c>
      <c r="D127" s="156">
        <f>IF(ISERROR(INDEX(data!$A$12:$AI$213,MATCH(HLOOKUP('II. Sledování projektu'!$L$5,vstupy!$N$2:$BY$180,$B127+1,0),data!$B$12:$B$213,0),35)),"",INDEX(data!$A$12:$AI$213,MATCH(HLOOKUP('II. Sledování projektu'!$L$5,vstupy!$N$2:$BY$180,$B127+1,0),data!$B$12:$B$213,0),35))</f>
        <v>69.759282115671397</v>
      </c>
      <c r="E127" s="49">
        <f>IF(ISERROR(INDEX(data!$A$12:$AI$213,MATCH(HLOOKUP('II. Sledování projektu'!$L$5,vstupy!$N$2:$BY$180,$B127+1,0),data!$B$12:$B$213,0),27)),"",INDEX(data!$A$12:$AI$213,MATCH(HLOOKUP('II. Sledování projektu'!$L$5,vstupy!$N$2:$BY$180,$B127+1,0),data!$B$12:$B$213,0),27))</f>
        <v>23940000</v>
      </c>
      <c r="F127" s="54">
        <f>IF(ISERROR(INDEX(data!$A$12:$AI$213,MATCH(HLOOKUP('II. Sledování projektu'!$L$5,vstupy!$N$2:$BY$180,$B127+1,0),data!$B$12:$B$213,0),28)),"",INDEX(data!$A$12:$AI$213,MATCH(HLOOKUP('II. Sledování projektu'!$L$5,vstupy!$N$2:$BY$180,$B127+1,0),data!$B$12:$B$213,0),28))</f>
        <v>14893471.379999999</v>
      </c>
      <c r="G127" s="53">
        <f t="shared" si="9"/>
        <v>0.62211659899749372</v>
      </c>
      <c r="H127" s="53">
        <f>IF(ISERROR(INDEX(data!$A$12:$AI$213,MATCH(HLOOKUP('II. Sledování projektu'!$L$5,vstupy!$N$2:$BY$180,$B127+1,0),data!$B$12:$B$213,0),29)),"",INDEX(data!$A$12:$AI$213,MATCH(HLOOKUP('II. Sledování projektu'!$L$5,vstupy!$N$2:$BY$180,$B127+1,0),data!$B$12:$B$213,0),29))</f>
        <v>0.16601831318436977</v>
      </c>
      <c r="I127" s="54">
        <f>IF(ISERROR(INDEX(data!$A$12:$AI$213,MATCH(HLOOKUP('II. Sledování projektu'!$L$5,vstupy!$N$2:$BY$180,$B127+1,0),data!$B$12:$B$213,0),31)),"",INDEX(data!$A$12:$AI$213,MATCH(HLOOKUP('II. Sledování projektu'!$L$5,vstupy!$N$2:$BY$180,$B127+1,0),data!$B$12:$B$213,0),31))</f>
        <v>2560455.19</v>
      </c>
      <c r="J127" s="53">
        <f t="shared" si="10"/>
        <v>0.10695301545530493</v>
      </c>
      <c r="K127" s="53">
        <f t="shared" si="12"/>
        <v>0.64422420276327863</v>
      </c>
      <c r="L127" s="54">
        <f>IF(ISERROR(INDEX(data!$A$12:$AI$213,MATCH(HLOOKUP('II. Sledování projektu'!$L$5,vstupy!$N$2:$BY$180,$B127+1,0),data!$B$12:$B$213,0),32)),"",INDEX(data!$A$12:$AI$213,MATCH(HLOOKUP('II. Sledování projektu'!$L$5,vstupy!$N$2:$BY$180,$B127+1,0),data!$B$12:$B$213,0),32))</f>
        <v>1995075.85</v>
      </c>
      <c r="M127" s="53">
        <f t="shared" si="13"/>
        <v>0.43794583605778703</v>
      </c>
      <c r="N127" s="54">
        <f>IF(ISERROR(VLOOKUP(C127,data!$C$12:$AD$213,28,0)),0,VLOOKUP(C127,data!$C$12:$AD$213,28,0))</f>
        <v>3974478.4176338124</v>
      </c>
    </row>
    <row r="128" spans="2:14" x14ac:dyDescent="0.2">
      <c r="B128" s="19">
        <f t="shared" si="11"/>
        <v>123</v>
      </c>
      <c r="C128" s="19" t="str">
        <f>IF(ISERROR(INDEX(data!$A$12:$AI$213,MATCH(HLOOKUP('II. Sledování projektu'!$L$5,vstupy!$N$2:$BY$180,$B128+1,0),data!$B$12:$B$213,0),3)),"",INDEX(data!$A$12:$AI$213,MATCH(HLOOKUP('II. Sledování projektu'!$L$5,vstupy!$N$2:$BY$180,$B128+1,0),data!$B$12:$B$213,0),3))</f>
        <v>Waldorfská ZŠ a MŠ MO a Přívoz</v>
      </c>
      <c r="D128" s="156">
        <f>IF(ISERROR(INDEX(data!$A$12:$AI$213,MATCH(HLOOKUP('II. Sledování projektu'!$L$5,vstupy!$N$2:$BY$180,$B128+1,0),data!$B$12:$B$213,0),35)),"",INDEX(data!$A$12:$AI$213,MATCH(HLOOKUP('II. Sledování projektu'!$L$5,vstupy!$N$2:$BY$180,$B128+1,0),data!$B$12:$B$213,0),35))</f>
        <v>10.97357905987853</v>
      </c>
      <c r="E128" s="49">
        <f>IF(ISERROR(INDEX(data!$A$12:$AI$213,MATCH(HLOOKUP('II. Sledování projektu'!$L$5,vstupy!$N$2:$BY$180,$B128+1,0),data!$B$12:$B$213,0),27)),"",INDEX(data!$A$12:$AI$213,MATCH(HLOOKUP('II. Sledování projektu'!$L$5,vstupy!$N$2:$BY$180,$B128+1,0),data!$B$12:$B$213,0),27))</f>
        <v>1378500</v>
      </c>
      <c r="F128" s="54">
        <f>IF(ISERROR(INDEX(data!$A$12:$AI$213,MATCH(HLOOKUP('II. Sledování projektu'!$L$5,vstupy!$N$2:$BY$180,$B128+1,0),data!$B$12:$B$213,0),28)),"",INDEX(data!$A$12:$AI$213,MATCH(HLOOKUP('II. Sledování projektu'!$L$5,vstupy!$N$2:$BY$180,$B128+1,0),data!$B$12:$B$213,0),28))</f>
        <v>216000.83</v>
      </c>
      <c r="G128" s="53">
        <f t="shared" si="9"/>
        <v>0.1566926586869786</v>
      </c>
      <c r="H128" s="53">
        <f>IF(ISERROR(INDEX(data!$A$12:$AI$213,MATCH(HLOOKUP('II. Sledování projektu'!$L$5,vstupy!$N$2:$BY$180,$B128+1,0),data!$B$12:$B$213,0),29)),"",INDEX(data!$A$12:$AI$213,MATCH(HLOOKUP('II. Sledování projektu'!$L$5,vstupy!$N$2:$BY$180,$B128+1,0),data!$B$12:$B$213,0),29))</f>
        <v>3.7600000000000001E-2</v>
      </c>
      <c r="I128" s="54">
        <f>IF(ISERROR(INDEX(data!$A$12:$AI$213,MATCH(HLOOKUP('II. Sledování projektu'!$L$5,vstupy!$N$2:$BY$180,$B128+1,0),data!$B$12:$B$213,0),31)),"",INDEX(data!$A$12:$AI$213,MATCH(HLOOKUP('II. Sledování projektu'!$L$5,vstupy!$N$2:$BY$180,$B128+1,0),data!$B$12:$B$213,0),31))</f>
        <v>2711.61</v>
      </c>
      <c r="J128" s="53">
        <f t="shared" si="10"/>
        <v>1.9670729053318826E-3</v>
      </c>
      <c r="K128" s="53">
        <f t="shared" si="12"/>
        <v>5.2315768758826667E-2</v>
      </c>
      <c r="L128" s="54">
        <f>IF(ISERROR(INDEX(data!$A$12:$AI$213,MATCH(HLOOKUP('II. Sledování projektu'!$L$5,vstupy!$N$2:$BY$180,$B128+1,0),data!$B$12:$B$213,0),32)),"",INDEX(data!$A$12:$AI$213,MATCH(HLOOKUP('II. Sledování projektu'!$L$5,vstupy!$N$2:$BY$180,$B128+1,0),data!$B$12:$B$213,0),32))</f>
        <v>19168.29</v>
      </c>
      <c r="M128" s="53">
        <f t="shared" si="13"/>
        <v>0.87606844638229608</v>
      </c>
      <c r="N128" s="54">
        <f>IF(ISERROR(VLOOKUP(C128,data!$C$12:$AD$213,28,0)),0,VLOOKUP(C128,data!$C$12:$AD$213,28,0))</f>
        <v>51831.6</v>
      </c>
    </row>
    <row r="129" spans="2:14" x14ac:dyDescent="0.2">
      <c r="B129" s="19">
        <f t="shared" si="11"/>
        <v>124</v>
      </c>
      <c r="C129" s="19" t="str">
        <f>IF(ISERROR(INDEX(data!$A$12:$AI$213,MATCH(HLOOKUP('II. Sledování projektu'!$L$5,vstupy!$N$2:$BY$180,$B129+1,0),data!$B$12:$B$213,0),3)),"",INDEX(data!$A$12:$AI$213,MATCH(HLOOKUP('II. Sledování projektu'!$L$5,vstupy!$N$2:$BY$180,$B129+1,0),data!$B$12:$B$213,0),3))</f>
        <v>ZŠ a MŠ O-Dubina, V.Košaře</v>
      </c>
      <c r="D129" s="156">
        <f>IF(ISERROR(INDEX(data!$A$12:$AI$213,MATCH(HLOOKUP('II. Sledování projektu'!$L$5,vstupy!$N$2:$BY$180,$B129+1,0),data!$B$12:$B$213,0),35)),"",INDEX(data!$A$12:$AI$213,MATCH(HLOOKUP('II. Sledování projektu'!$L$5,vstupy!$N$2:$BY$180,$B129+1,0),data!$B$12:$B$213,0),35))</f>
        <v>33.4228676946653</v>
      </c>
      <c r="E129" s="49">
        <f>IF(ISERROR(INDEX(data!$A$12:$AI$213,MATCH(HLOOKUP('II. Sledování projektu'!$L$5,vstupy!$N$2:$BY$180,$B129+1,0),data!$B$12:$B$213,0),27)),"",INDEX(data!$A$12:$AI$213,MATCH(HLOOKUP('II. Sledování projektu'!$L$5,vstupy!$N$2:$BY$180,$B129+1,0),data!$B$12:$B$213,0),27))</f>
        <v>3524250</v>
      </c>
      <c r="F129" s="54">
        <f>IF(ISERROR(INDEX(data!$A$12:$AI$213,MATCH(HLOOKUP('II. Sledování projektu'!$L$5,vstupy!$N$2:$BY$180,$B129+1,0),data!$B$12:$B$213,0),28)),"",INDEX(data!$A$12:$AI$213,MATCH(HLOOKUP('II. Sledování projektu'!$L$5,vstupy!$N$2:$BY$180,$B129+1,0),data!$B$12:$B$213,0),28))</f>
        <v>1514812.88</v>
      </c>
      <c r="G129" s="53">
        <f t="shared" si="9"/>
        <v>0.42982560261048447</v>
      </c>
      <c r="H129" s="53">
        <f>IF(ISERROR(INDEX(data!$A$12:$AI$213,MATCH(HLOOKUP('II. Sledování projektu'!$L$5,vstupy!$N$2:$BY$180,$B129+1,0),data!$B$12:$B$213,0),29)),"",INDEX(data!$A$12:$AI$213,MATCH(HLOOKUP('II. Sledování projektu'!$L$5,vstupy!$N$2:$BY$180,$B129+1,0),data!$B$12:$B$213,0),29))</f>
        <v>0.13850000000000001</v>
      </c>
      <c r="I129" s="54">
        <f>IF(ISERROR(INDEX(data!$A$12:$AI$213,MATCH(HLOOKUP('II. Sledování projektu'!$L$5,vstupy!$N$2:$BY$180,$B129+1,0),data!$B$12:$B$213,0),31)),"",INDEX(data!$A$12:$AI$213,MATCH(HLOOKUP('II. Sledování projektu'!$L$5,vstupy!$N$2:$BY$180,$B129+1,0),data!$B$12:$B$213,0),31))</f>
        <v>97065.18</v>
      </c>
      <c r="J129" s="53">
        <f t="shared" si="10"/>
        <v>2.7542081293892316E-2</v>
      </c>
      <c r="K129" s="53">
        <f t="shared" si="12"/>
        <v>0.19885979273568458</v>
      </c>
      <c r="L129" s="54">
        <f>IF(ISERROR(INDEX(data!$A$12:$AI$213,MATCH(HLOOKUP('II. Sledování projektu'!$L$5,vstupy!$N$2:$BY$180,$B129+1,0),data!$B$12:$B$213,0),32)),"",INDEX(data!$A$12:$AI$213,MATCH(HLOOKUP('II. Sledování projektu'!$L$5,vstupy!$N$2:$BY$180,$B129+1,0),data!$B$12:$B$213,0),32))</f>
        <v>93781.89</v>
      </c>
      <c r="M129" s="53">
        <f t="shared" si="13"/>
        <v>0.4913981126354206</v>
      </c>
      <c r="N129" s="54">
        <f>IF(ISERROR(VLOOKUP(C129,data!$C$12:$AD$213,28,0)),0,VLOOKUP(C129,data!$C$12:$AD$213,28,0))</f>
        <v>488108.62500000006</v>
      </c>
    </row>
    <row r="130" spans="2:14" x14ac:dyDescent="0.2">
      <c r="B130" s="19">
        <f t="shared" si="11"/>
        <v>125</v>
      </c>
      <c r="C130" s="19" t="str">
        <f>IF(ISERROR(INDEX(data!$A$12:$AI$213,MATCH(HLOOKUP('II. Sledování projektu'!$L$5,vstupy!$N$2:$BY$180,$B130+1,0),data!$B$12:$B$213,0),3)),"",INDEX(data!$A$12:$AI$213,MATCH(HLOOKUP('II. Sledování projektu'!$L$5,vstupy!$N$2:$BY$180,$B130+1,0),data!$B$12:$B$213,0),3))</f>
        <v>ZŠ a MŠ O-Hošťálkovice</v>
      </c>
      <c r="D130" s="156">
        <f>IF(ISERROR(INDEX(data!$A$12:$AI$213,MATCH(HLOOKUP('II. Sledování projektu'!$L$5,vstupy!$N$2:$BY$180,$B130+1,0),data!$B$12:$B$213,0),35)),"",INDEX(data!$A$12:$AI$213,MATCH(HLOOKUP('II. Sledování projektu'!$L$5,vstupy!$N$2:$BY$180,$B130+1,0),data!$B$12:$B$213,0),35))</f>
        <v>5.7031843262460686</v>
      </c>
      <c r="E130" s="49">
        <f>IF(ISERROR(INDEX(data!$A$12:$AI$213,MATCH(HLOOKUP('II. Sledování projektu'!$L$5,vstupy!$N$2:$BY$180,$B130+1,0),data!$B$12:$B$213,0),27)),"",INDEX(data!$A$12:$AI$213,MATCH(HLOOKUP('II. Sledování projektu'!$L$5,vstupy!$N$2:$BY$180,$B130+1,0),data!$B$12:$B$213,0),27))</f>
        <v>2660250</v>
      </c>
      <c r="F130" s="54">
        <f>IF(ISERROR(INDEX(data!$A$12:$AI$213,MATCH(HLOOKUP('II. Sledování projektu'!$L$5,vstupy!$N$2:$BY$180,$B130+1,0),data!$B$12:$B$213,0),28)),"",INDEX(data!$A$12:$AI$213,MATCH(HLOOKUP('II. Sledování projektu'!$L$5,vstupy!$N$2:$BY$180,$B130+1,0),data!$B$12:$B$213,0),28))</f>
        <v>0</v>
      </c>
      <c r="G130" s="53">
        <f t="shared" si="9"/>
        <v>0</v>
      </c>
      <c r="H130" s="53">
        <f>IF(ISERROR(INDEX(data!$A$12:$AI$213,MATCH(HLOOKUP('II. Sledování projektu'!$L$5,vstupy!$N$2:$BY$180,$B130+1,0),data!$B$12:$B$213,0),29)),"",INDEX(data!$A$12:$AI$213,MATCH(HLOOKUP('II. Sledování projektu'!$L$5,vstupy!$N$2:$BY$180,$B130+1,0),data!$B$12:$B$213,0),29))</f>
        <v>0.24640000000000001</v>
      </c>
      <c r="I130" s="54">
        <f>IF(ISERROR(INDEX(data!$A$12:$AI$213,MATCH(HLOOKUP('II. Sledování projektu'!$L$5,vstupy!$N$2:$BY$180,$B130+1,0),data!$B$12:$B$213,0),31)),"",INDEX(data!$A$12:$AI$213,MATCH(HLOOKUP('II. Sledování projektu'!$L$5,vstupy!$N$2:$BY$180,$B130+1,0),data!$B$12:$B$213,0),31))</f>
        <v>62305.919999999998</v>
      </c>
      <c r="J130" s="53">
        <f t="shared" si="10"/>
        <v>2.3421076966450519E-2</v>
      </c>
      <c r="K130" s="53">
        <f t="shared" si="12"/>
        <v>9.5053072104101147E-2</v>
      </c>
      <c r="L130" s="54">
        <f>IF(ISERROR(INDEX(data!$A$12:$AI$213,MATCH(HLOOKUP('II. Sledování projektu'!$L$5,vstupy!$N$2:$BY$180,$B130+1,0),data!$B$12:$B$213,0),32)),"",INDEX(data!$A$12:$AI$213,MATCH(HLOOKUP('II. Sledování projektu'!$L$5,vstupy!$N$2:$BY$180,$B130+1,0),data!$B$12:$B$213,0),32))</f>
        <v>38363.49</v>
      </c>
      <c r="M130" s="53">
        <f t="shared" si="13"/>
        <v>0.38108388635634199</v>
      </c>
      <c r="N130" s="54">
        <f>IF(ISERROR(VLOOKUP(C130,data!$C$12:$AD$213,28,0)),0,VLOOKUP(C130,data!$C$12:$AD$213,28,0))</f>
        <v>655485.6</v>
      </c>
    </row>
    <row r="131" spans="2:14" x14ac:dyDescent="0.2">
      <c r="B131" s="19">
        <f t="shared" si="11"/>
        <v>126</v>
      </c>
      <c r="C131" s="19" t="str">
        <f>IF(ISERROR(INDEX(data!$A$12:$AI$213,MATCH(HLOOKUP('II. Sledování projektu'!$L$5,vstupy!$N$2:$BY$180,$B131+1,0),data!$B$12:$B$213,0),3)),"",INDEX(data!$A$12:$AI$213,MATCH(HLOOKUP('II. Sledování projektu'!$L$5,vstupy!$N$2:$BY$180,$B131+1,0),data!$B$12:$B$213,0),3))</f>
        <v>ZŠ a MŠ O-Hrabůvka, Klegova 29</v>
      </c>
      <c r="D131" s="156">
        <f>IF(ISERROR(INDEX(data!$A$12:$AI$213,MATCH(HLOOKUP('II. Sledování projektu'!$L$5,vstupy!$N$2:$BY$180,$B131+1,0),data!$B$12:$B$213,0),35)),"",INDEX(data!$A$12:$AI$213,MATCH(HLOOKUP('II. Sledování projektu'!$L$5,vstupy!$N$2:$BY$180,$B131+1,0),data!$B$12:$B$213,0),35))</f>
        <v>11.981940689998481</v>
      </c>
      <c r="E131" s="49">
        <f>IF(ISERROR(INDEX(data!$A$12:$AI$213,MATCH(HLOOKUP('II. Sledování projektu'!$L$5,vstupy!$N$2:$BY$180,$B131+1,0),data!$B$12:$B$213,0),27)),"",INDEX(data!$A$12:$AI$213,MATCH(HLOOKUP('II. Sledování projektu'!$L$5,vstupy!$N$2:$BY$180,$B131+1,0),data!$B$12:$B$213,0),27))</f>
        <v>5493000</v>
      </c>
      <c r="F131" s="54">
        <f>IF(ISERROR(INDEX(data!$A$12:$AI$213,MATCH(HLOOKUP('II. Sledování projektu'!$L$5,vstupy!$N$2:$BY$180,$B131+1,0),data!$B$12:$B$213,0),28)),"",INDEX(data!$A$12:$AI$213,MATCH(HLOOKUP('II. Sledování projektu'!$L$5,vstupy!$N$2:$BY$180,$B131+1,0),data!$B$12:$B$213,0),28))</f>
        <v>179512.54</v>
      </c>
      <c r="G131" s="53">
        <f t="shared" si="9"/>
        <v>3.2680236664846173E-2</v>
      </c>
      <c r="H131" s="53">
        <f>IF(ISERROR(INDEX(data!$A$12:$AI$213,MATCH(HLOOKUP('II. Sledování projektu'!$L$5,vstupy!$N$2:$BY$180,$B131+1,0),data!$B$12:$B$213,0),29)),"",INDEX(data!$A$12:$AI$213,MATCH(HLOOKUP('II. Sledování projektu'!$L$5,vstupy!$N$2:$BY$180,$B131+1,0),data!$B$12:$B$213,0),29))</f>
        <v>0.30309999999999998</v>
      </c>
      <c r="I131" s="54">
        <f>IF(ISERROR(INDEX(data!$A$12:$AI$213,MATCH(HLOOKUP('II. Sledování projektu'!$L$5,vstupy!$N$2:$BY$180,$B131+1,0),data!$B$12:$B$213,0),31)),"",INDEX(data!$A$12:$AI$213,MATCH(HLOOKUP('II. Sledování projektu'!$L$5,vstupy!$N$2:$BY$180,$B131+1,0),data!$B$12:$B$213,0),31))</f>
        <v>287142.65999999997</v>
      </c>
      <c r="J131" s="53">
        <f t="shared" si="10"/>
        <v>5.2274287274713269E-2</v>
      </c>
      <c r="K131" s="53">
        <f t="shared" si="12"/>
        <v>0.17246548094593622</v>
      </c>
      <c r="L131" s="54">
        <f>IF(ISERROR(INDEX(data!$A$12:$AI$213,MATCH(HLOOKUP('II. Sledování projektu'!$L$5,vstupy!$N$2:$BY$180,$B131+1,0),data!$B$12:$B$213,0),32)),"",INDEX(data!$A$12:$AI$213,MATCH(HLOOKUP('II. Sledování projektu'!$L$5,vstupy!$N$2:$BY$180,$B131+1,0),data!$B$12:$B$213,0),32))</f>
        <v>135593.65</v>
      </c>
      <c r="M131" s="53">
        <f t="shared" si="13"/>
        <v>0.3207523148413724</v>
      </c>
      <c r="N131" s="54">
        <f>IF(ISERROR(VLOOKUP(C131,data!$C$12:$AD$213,28,0)),0,VLOOKUP(C131,data!$C$12:$AD$213,28,0))</f>
        <v>1664928.2999999998</v>
      </c>
    </row>
    <row r="132" spans="2:14" x14ac:dyDescent="0.2">
      <c r="B132" s="19">
        <f t="shared" si="11"/>
        <v>127</v>
      </c>
      <c r="C132" s="19" t="str">
        <f>IF(ISERROR(INDEX(data!$A$12:$AI$213,MATCH(HLOOKUP('II. Sledování projektu'!$L$5,vstupy!$N$2:$BY$180,$B132+1,0),data!$B$12:$B$213,0),3)),"",INDEX(data!$A$12:$AI$213,MATCH(HLOOKUP('II. Sledování projektu'!$L$5,vstupy!$N$2:$BY$180,$B132+1,0),data!$B$12:$B$213,0),3))</f>
        <v>ZŠ a MŠ O-Hrabůvka, Krestova</v>
      </c>
      <c r="D132" s="156">
        <f>IF(ISERROR(INDEX(data!$A$12:$AI$213,MATCH(HLOOKUP('II. Sledování projektu'!$L$5,vstupy!$N$2:$BY$180,$B132+1,0),data!$B$12:$B$213,0),35)),"",INDEX(data!$A$12:$AI$213,MATCH(HLOOKUP('II. Sledování projektu'!$L$5,vstupy!$N$2:$BY$180,$B132+1,0),data!$B$12:$B$213,0),35))</f>
        <v>82.665693731795045</v>
      </c>
      <c r="E132" s="49">
        <f>IF(ISERROR(INDEX(data!$A$12:$AI$213,MATCH(HLOOKUP('II. Sledování projektu'!$L$5,vstupy!$N$2:$BY$180,$B132+1,0),data!$B$12:$B$213,0),27)),"",INDEX(data!$A$12:$AI$213,MATCH(HLOOKUP('II. Sledování projektu'!$L$5,vstupy!$N$2:$BY$180,$B132+1,0),data!$B$12:$B$213,0),27))</f>
        <v>4823550</v>
      </c>
      <c r="F132" s="54">
        <f>IF(ISERROR(INDEX(data!$A$12:$AI$213,MATCH(HLOOKUP('II. Sledování projektu'!$L$5,vstupy!$N$2:$BY$180,$B132+1,0),data!$B$12:$B$213,0),28)),"",INDEX(data!$A$12:$AI$213,MATCH(HLOOKUP('II. Sledování projektu'!$L$5,vstupy!$N$2:$BY$180,$B132+1,0),data!$B$12:$B$213,0),28))</f>
        <v>2186582.1399999997</v>
      </c>
      <c r="G132" s="53">
        <f t="shared" si="9"/>
        <v>0.45331387463590089</v>
      </c>
      <c r="H132" s="53">
        <f>IF(ISERROR(INDEX(data!$A$12:$AI$213,MATCH(HLOOKUP('II. Sledování projektu'!$L$5,vstupy!$N$2:$BY$180,$B132+1,0),data!$B$12:$B$213,0),29)),"",INDEX(data!$A$12:$AI$213,MATCH(HLOOKUP('II. Sledování projektu'!$L$5,vstupy!$N$2:$BY$180,$B132+1,0),data!$B$12:$B$213,0),29))</f>
        <v>0.23280000000000001</v>
      </c>
      <c r="I132" s="54">
        <f>IF(ISERROR(INDEX(data!$A$12:$AI$213,MATCH(HLOOKUP('II. Sledování projektu'!$L$5,vstupy!$N$2:$BY$180,$B132+1,0),data!$B$12:$B$213,0),31)),"",INDEX(data!$A$12:$AI$213,MATCH(HLOOKUP('II. Sledování projektu'!$L$5,vstupy!$N$2:$BY$180,$B132+1,0),data!$B$12:$B$213,0),31))</f>
        <v>1295705.54</v>
      </c>
      <c r="J132" s="53">
        <f t="shared" si="10"/>
        <v>0.26862073369199035</v>
      </c>
      <c r="K132" s="53">
        <f t="shared" si="12"/>
        <v>1.1538691309793401</v>
      </c>
      <c r="L132" s="54">
        <f>IF(ISERROR(INDEX(data!$A$12:$AI$213,MATCH(HLOOKUP('II. Sledování projektu'!$L$5,vstupy!$N$2:$BY$180,$B132+1,0),data!$B$12:$B$213,0),32)),"",INDEX(data!$A$12:$AI$213,MATCH(HLOOKUP('II. Sledování projektu'!$L$5,vstupy!$N$2:$BY$180,$B132+1,0),data!$B$12:$B$213,0),32))</f>
        <v>224624.46000000002</v>
      </c>
      <c r="M132" s="53">
        <f t="shared" si="13"/>
        <v>0.14774717331105749</v>
      </c>
      <c r="N132" s="54">
        <f>IF(ISERROR(VLOOKUP(C132,data!$C$12:$AD$213,28,0)),0,VLOOKUP(C132,data!$C$12:$AD$213,28,0))</f>
        <v>1122922.44</v>
      </c>
    </row>
    <row r="133" spans="2:14" x14ac:dyDescent="0.2">
      <c r="B133" s="19">
        <f t="shared" si="11"/>
        <v>128</v>
      </c>
      <c r="C133" s="19" t="str">
        <f>IF(ISERROR(INDEX(data!$A$12:$AI$213,MATCH(HLOOKUP('II. Sledování projektu'!$L$5,vstupy!$N$2:$BY$180,$B133+1,0),data!$B$12:$B$213,0),3)),"",INDEX(data!$A$12:$AI$213,MATCH(HLOOKUP('II. Sledování projektu'!$L$5,vstupy!$N$2:$BY$180,$B133+1,0),data!$B$12:$B$213,0),3))</f>
        <v>ZŠ a MŠ O-Hrabůvka, Mitušova 16</v>
      </c>
      <c r="D133" s="156">
        <f>IF(ISERROR(INDEX(data!$A$12:$AI$213,MATCH(HLOOKUP('II. Sledování projektu'!$L$5,vstupy!$N$2:$BY$180,$B133+1,0),data!$B$12:$B$213,0),35)),"",INDEX(data!$A$12:$AI$213,MATCH(HLOOKUP('II. Sledování projektu'!$L$5,vstupy!$N$2:$BY$180,$B133+1,0),data!$B$12:$B$213,0),35))</f>
        <v>30.522779311554487</v>
      </c>
      <c r="E133" s="49">
        <f>IF(ISERROR(INDEX(data!$A$12:$AI$213,MATCH(HLOOKUP('II. Sledování projektu'!$L$5,vstupy!$N$2:$BY$180,$B133+1,0),data!$B$12:$B$213,0),27)),"",INDEX(data!$A$12:$AI$213,MATCH(HLOOKUP('II. Sledování projektu'!$L$5,vstupy!$N$2:$BY$180,$B133+1,0),data!$B$12:$B$213,0),27))</f>
        <v>10031250</v>
      </c>
      <c r="F133" s="54">
        <f>IF(ISERROR(INDEX(data!$A$12:$AI$213,MATCH(HLOOKUP('II. Sledování projektu'!$L$5,vstupy!$N$2:$BY$180,$B133+1,0),data!$B$12:$B$213,0),28)),"",INDEX(data!$A$12:$AI$213,MATCH(HLOOKUP('II. Sledování projektu'!$L$5,vstupy!$N$2:$BY$180,$B133+1,0),data!$B$12:$B$213,0),28))</f>
        <v>990251.98</v>
      </c>
      <c r="G133" s="53">
        <f t="shared" si="9"/>
        <v>9.8716708286604365E-2</v>
      </c>
      <c r="H133" s="53">
        <f>IF(ISERROR(INDEX(data!$A$12:$AI$213,MATCH(HLOOKUP('II. Sledování projektu'!$L$5,vstupy!$N$2:$BY$180,$B133+1,0),data!$B$12:$B$213,0),29)),"",INDEX(data!$A$12:$AI$213,MATCH(HLOOKUP('II. Sledování projektu'!$L$5,vstupy!$N$2:$BY$180,$B133+1,0),data!$B$12:$B$213,0),29))</f>
        <v>0.20019999999999999</v>
      </c>
      <c r="I133" s="54">
        <f>IF(ISERROR(INDEX(data!$A$12:$AI$213,MATCH(HLOOKUP('II. Sledování projektu'!$L$5,vstupy!$N$2:$BY$180,$B133+1,0),data!$B$12:$B$213,0),31)),"",INDEX(data!$A$12:$AI$213,MATCH(HLOOKUP('II. Sledování projektu'!$L$5,vstupy!$N$2:$BY$180,$B133+1,0),data!$B$12:$B$213,0),31))</f>
        <v>856419</v>
      </c>
      <c r="J133" s="53">
        <f t="shared" si="10"/>
        <v>8.537510280373832E-2</v>
      </c>
      <c r="K133" s="53">
        <f t="shared" si="12"/>
        <v>0.42644906495373786</v>
      </c>
      <c r="L133" s="54">
        <f>IF(ISERROR(INDEX(data!$A$12:$AI$213,MATCH(HLOOKUP('II. Sledování projektu'!$L$5,vstupy!$N$2:$BY$180,$B133+1,0),data!$B$12:$B$213,0),32)),"",INDEX(data!$A$12:$AI$213,MATCH(HLOOKUP('II. Sledování projektu'!$L$5,vstupy!$N$2:$BY$180,$B133+1,0),data!$B$12:$B$213,0),32))</f>
        <v>197717.29</v>
      </c>
      <c r="M133" s="53">
        <f t="shared" si="13"/>
        <v>0.18756330834602042</v>
      </c>
      <c r="N133" s="54">
        <f>IF(ISERROR(VLOOKUP(C133,data!$C$12:$AD$213,28,0)),0,VLOOKUP(C133,data!$C$12:$AD$213,28,0))</f>
        <v>2008256.25</v>
      </c>
    </row>
    <row r="134" spans="2:14" x14ac:dyDescent="0.2">
      <c r="B134" s="19">
        <f t="shared" si="11"/>
        <v>129</v>
      </c>
      <c r="C134" s="19" t="str">
        <f>IF(ISERROR(INDEX(data!$A$12:$AI$213,MATCH(HLOOKUP('II. Sledování projektu'!$L$5,vstupy!$N$2:$BY$180,$B134+1,0),data!$B$12:$B$213,0),3)),"",INDEX(data!$A$12:$AI$213,MATCH(HLOOKUP('II. Sledování projektu'!$L$5,vstupy!$N$2:$BY$180,$B134+1,0),data!$B$12:$B$213,0),3))</f>
        <v>ZŠ a MŠ O-Krásné Pole</v>
      </c>
      <c r="D134" s="156">
        <f>IF(ISERROR(INDEX(data!$A$12:$AI$213,MATCH(HLOOKUP('II. Sledování projektu'!$L$5,vstupy!$N$2:$BY$180,$B134+1,0),data!$B$12:$B$213,0),35)),"",INDEX(data!$A$12:$AI$213,MATCH(HLOOKUP('II. Sledování projektu'!$L$5,vstupy!$N$2:$BY$180,$B134+1,0),data!$B$12:$B$213,0),35))</f>
        <v>68.336149417675074</v>
      </c>
      <c r="E134" s="49">
        <f>IF(ISERROR(INDEX(data!$A$12:$AI$213,MATCH(HLOOKUP('II. Sledování projektu'!$L$5,vstupy!$N$2:$BY$180,$B134+1,0),data!$B$12:$B$213,0),27)),"",INDEX(data!$A$12:$AI$213,MATCH(HLOOKUP('II. Sledování projektu'!$L$5,vstupy!$N$2:$BY$180,$B134+1,0),data!$B$12:$B$213,0),27))</f>
        <v>2952000</v>
      </c>
      <c r="F134" s="54">
        <f>IF(ISERROR(INDEX(data!$A$12:$AI$213,MATCH(HLOOKUP('II. Sledování projektu'!$L$5,vstupy!$N$2:$BY$180,$B134+1,0),data!$B$12:$B$213,0),28)),"",INDEX(data!$A$12:$AI$213,MATCH(HLOOKUP('II. Sledování projektu'!$L$5,vstupy!$N$2:$BY$180,$B134+1,0),data!$B$12:$B$213,0),28))</f>
        <v>792198.93</v>
      </c>
      <c r="G134" s="53">
        <f t="shared" si="9"/>
        <v>0.26836007113821142</v>
      </c>
      <c r="H134" s="53">
        <f>IF(ISERROR(INDEX(data!$A$12:$AI$213,MATCH(HLOOKUP('II. Sledování projektu'!$L$5,vstupy!$N$2:$BY$180,$B134+1,0),data!$B$12:$B$213,0),29)),"",INDEX(data!$A$12:$AI$213,MATCH(HLOOKUP('II. Sledování projektu'!$L$5,vstupy!$N$2:$BY$180,$B134+1,0),data!$B$12:$B$213,0),29))</f>
        <v>0.38900000000000001</v>
      </c>
      <c r="I134" s="54">
        <f>IF(ISERROR(INDEX(data!$A$12:$AI$213,MATCH(HLOOKUP('II. Sledování projektu'!$L$5,vstupy!$N$2:$BY$180,$B134+1,0),data!$B$12:$B$213,0),31)),"",INDEX(data!$A$12:$AI$213,MATCH(HLOOKUP('II. Sledování projektu'!$L$5,vstupy!$N$2:$BY$180,$B134+1,0),data!$B$12:$B$213,0),31))</f>
        <v>1051067.4099999999</v>
      </c>
      <c r="J134" s="53">
        <f t="shared" si="10"/>
        <v>0.35605264566395661</v>
      </c>
      <c r="K134" s="53">
        <f t="shared" si="12"/>
        <v>0.91530243101274189</v>
      </c>
      <c r="L134" s="54">
        <f>IF(ISERROR(INDEX(data!$A$12:$AI$213,MATCH(HLOOKUP('II. Sledování projektu'!$L$5,vstupy!$N$2:$BY$180,$B134+1,0),data!$B$12:$B$213,0),32)),"",INDEX(data!$A$12:$AI$213,MATCH(HLOOKUP('II. Sledování projektu'!$L$5,vstupy!$N$2:$BY$180,$B134+1,0),data!$B$12:$B$213,0),32))</f>
        <v>381759.94999999995</v>
      </c>
      <c r="M134" s="53">
        <f t="shared" ref="M134:M165" si="14">IF(ISERROR(L134/I134),0,IF(uspora="A",L134/I134,L134/(I134+L134)))</f>
        <v>0.26643820508843435</v>
      </c>
      <c r="N134" s="54">
        <f>IF(ISERROR(VLOOKUP(C134,data!$C$12:$AD$213,28,0)),0,VLOOKUP(C134,data!$C$12:$AD$213,28,0))</f>
        <v>1148328</v>
      </c>
    </row>
    <row r="135" spans="2:14" x14ac:dyDescent="0.2">
      <c r="B135" s="19">
        <f t="shared" si="11"/>
        <v>130</v>
      </c>
      <c r="C135" s="19" t="str">
        <f>IF(ISERROR(INDEX(data!$A$12:$AI$213,MATCH(HLOOKUP('II. Sledování projektu'!$L$5,vstupy!$N$2:$BY$180,$B135+1,0),data!$B$12:$B$213,0),3)),"",INDEX(data!$A$12:$AI$213,MATCH(HLOOKUP('II. Sledování projektu'!$L$5,vstupy!$N$2:$BY$180,$B135+1,0),data!$B$12:$B$213,0),3))</f>
        <v>ZŠ a MŠ O-Lhotka</v>
      </c>
      <c r="D135" s="156">
        <f>IF(ISERROR(INDEX(data!$A$12:$AI$213,MATCH(HLOOKUP('II. Sledování projektu'!$L$5,vstupy!$N$2:$BY$180,$B135+1,0),data!$B$12:$B$213,0),35)),"",INDEX(data!$A$12:$AI$213,MATCH(HLOOKUP('II. Sledování projektu'!$L$5,vstupy!$N$2:$BY$180,$B135+1,0),data!$B$12:$B$213,0),35))</f>
        <v>31.451694673150211</v>
      </c>
      <c r="E135" s="49">
        <f>IF(ISERROR(INDEX(data!$A$12:$AI$213,MATCH(HLOOKUP('II. Sledování projektu'!$L$5,vstupy!$N$2:$BY$180,$B135+1,0),data!$B$12:$B$213,0),27)),"",INDEX(data!$A$12:$AI$213,MATCH(HLOOKUP('II. Sledování projektu'!$L$5,vstupy!$N$2:$BY$180,$B135+1,0),data!$B$12:$B$213,0),27))</f>
        <v>987750</v>
      </c>
      <c r="F135" s="54">
        <f>IF(ISERROR(INDEX(data!$A$12:$AI$213,MATCH(HLOOKUP('II. Sledování projektu'!$L$5,vstupy!$N$2:$BY$180,$B135+1,0),data!$B$12:$B$213,0),28)),"",INDEX(data!$A$12:$AI$213,MATCH(HLOOKUP('II. Sledování projektu'!$L$5,vstupy!$N$2:$BY$180,$B135+1,0),data!$B$12:$B$213,0),28))</f>
        <v>0</v>
      </c>
      <c r="G135" s="53">
        <f t="shared" ref="G135:G181" si="15">IF(ISERROR(F135/E135),0,F135/E135)</f>
        <v>0</v>
      </c>
      <c r="H135" s="53">
        <f>IF(ISERROR(INDEX(data!$A$12:$AI$213,MATCH(HLOOKUP('II. Sledování projektu'!$L$5,vstupy!$N$2:$BY$180,$B135+1,0),data!$B$12:$B$213,0),29)),"",INDEX(data!$A$12:$AI$213,MATCH(HLOOKUP('II. Sledování projektu'!$L$5,vstupy!$N$2:$BY$180,$B135+1,0),data!$B$12:$B$213,0),29))</f>
        <v>0.1507</v>
      </c>
      <c r="I135" s="54">
        <f>IF(ISERROR(INDEX(data!$A$12:$AI$213,MATCH(HLOOKUP('II. Sledování projektu'!$L$5,vstupy!$N$2:$BY$180,$B135+1,0),data!$B$12:$B$213,0),31)),"",INDEX(data!$A$12:$AI$213,MATCH(HLOOKUP('II. Sledování projektu'!$L$5,vstupy!$N$2:$BY$180,$B135+1,0),data!$B$12:$B$213,0),31))</f>
        <v>78028.47</v>
      </c>
      <c r="J135" s="53">
        <f t="shared" ref="J135:J181" si="16">IF(ISERROR(I135/(E135)),0,I135/(E135))</f>
        <v>7.899617312072893E-2</v>
      </c>
      <c r="K135" s="53">
        <f t="shared" si="12"/>
        <v>0.52419491121917017</v>
      </c>
      <c r="L135" s="54">
        <f>IF(ISERROR(INDEX(data!$A$12:$AI$213,MATCH(HLOOKUP('II. Sledování projektu'!$L$5,vstupy!$N$2:$BY$180,$B135+1,0),data!$B$12:$B$213,0),32)),"",INDEX(data!$A$12:$AI$213,MATCH(HLOOKUP('II. Sledování projektu'!$L$5,vstupy!$N$2:$BY$180,$B135+1,0),data!$B$12:$B$213,0),32))</f>
        <v>79924.23</v>
      </c>
      <c r="M135" s="53">
        <f t="shared" si="14"/>
        <v>0.5060010370193101</v>
      </c>
      <c r="N135" s="54">
        <f>IF(ISERROR(VLOOKUP(C135,data!$C$12:$AD$213,28,0)),0,VLOOKUP(C135,data!$C$12:$AD$213,28,0))</f>
        <v>148853.92499999999</v>
      </c>
    </row>
    <row r="136" spans="2:14" x14ac:dyDescent="0.2">
      <c r="B136" s="19">
        <f t="shared" ref="B136:B181" si="17">B135+1</f>
        <v>131</v>
      </c>
      <c r="C136" s="19" t="str">
        <f>IF(ISERROR(INDEX(data!$A$12:$AI$213,MATCH(HLOOKUP('II. Sledování projektu'!$L$5,vstupy!$N$2:$BY$180,$B136+1,0),data!$B$12:$B$213,0),3)),"",INDEX(data!$A$12:$AI$213,MATCH(HLOOKUP('II. Sledování projektu'!$L$5,vstupy!$N$2:$BY$180,$B136+1,0),data!$B$12:$B$213,0),3))</f>
        <v>ZŠ a MŠ O-Proskovice</v>
      </c>
      <c r="D136" s="156">
        <f>IF(ISERROR(INDEX(data!$A$12:$AI$213,MATCH(HLOOKUP('II. Sledování projektu'!$L$5,vstupy!$N$2:$BY$180,$B136+1,0),data!$B$12:$B$213,0),35)),"",INDEX(data!$A$12:$AI$213,MATCH(HLOOKUP('II. Sledování projektu'!$L$5,vstupy!$N$2:$BY$180,$B136+1,0),data!$B$12:$B$213,0),35))</f>
        <v>20.807438435088816</v>
      </c>
      <c r="E136" s="49">
        <f>IF(ISERROR(INDEX(data!$A$12:$AI$213,MATCH(HLOOKUP('II. Sledování projektu'!$L$5,vstupy!$N$2:$BY$180,$B136+1,0),data!$B$12:$B$213,0),27)),"",INDEX(data!$A$12:$AI$213,MATCH(HLOOKUP('II. Sledování projektu'!$L$5,vstupy!$N$2:$BY$180,$B136+1,0),data!$B$12:$B$213,0),27))</f>
        <v>1708425</v>
      </c>
      <c r="F136" s="54">
        <f>IF(ISERROR(INDEX(data!$A$12:$AI$213,MATCH(HLOOKUP('II. Sledování projektu'!$L$5,vstupy!$N$2:$BY$180,$B136+1,0),data!$B$12:$B$213,0),28)),"",INDEX(data!$A$12:$AI$213,MATCH(HLOOKUP('II. Sledování projektu'!$L$5,vstupy!$N$2:$BY$180,$B136+1,0),data!$B$12:$B$213,0),28))</f>
        <v>13481.82</v>
      </c>
      <c r="G136" s="53">
        <f t="shared" si="15"/>
        <v>7.8913736336099043E-3</v>
      </c>
      <c r="H136" s="53">
        <f>IF(ISERROR(INDEX(data!$A$12:$AI$213,MATCH(HLOOKUP('II. Sledování projektu'!$L$5,vstupy!$N$2:$BY$180,$B136+1,0),data!$B$12:$B$213,0),29)),"",INDEX(data!$A$12:$AI$213,MATCH(HLOOKUP('II. Sledování projektu'!$L$5,vstupy!$N$2:$BY$180,$B136+1,0),data!$B$12:$B$213,0),29))</f>
        <v>0.31890000000000002</v>
      </c>
      <c r="I136" s="54">
        <f>IF(ISERROR(INDEX(data!$A$12:$AI$213,MATCH(HLOOKUP('II. Sledování projektu'!$L$5,vstupy!$N$2:$BY$180,$B136+1,0),data!$B$12:$B$213,0),31)),"",INDEX(data!$A$12:$AI$213,MATCH(HLOOKUP('II. Sledování projektu'!$L$5,vstupy!$N$2:$BY$180,$B136+1,0),data!$B$12:$B$213,0),31))</f>
        <v>185354.55000000002</v>
      </c>
      <c r="J136" s="53">
        <f t="shared" si="16"/>
        <v>0.10849440273936521</v>
      </c>
      <c r="K136" s="53">
        <f t="shared" ref="K136:K181" si="18">IF(ISERROR(I136/(N136)),0,I136/(N136))</f>
        <v>0.34021449589013864</v>
      </c>
      <c r="L136" s="54">
        <f>IF(ISERROR(INDEX(data!$A$12:$AI$213,MATCH(HLOOKUP('II. Sledování projektu'!$L$5,vstupy!$N$2:$BY$180,$B136+1,0),data!$B$12:$B$213,0),32)),"",INDEX(data!$A$12:$AI$213,MATCH(HLOOKUP('II. Sledování projektu'!$L$5,vstupy!$N$2:$BY$180,$B136+1,0),data!$B$12:$B$213,0),32))</f>
        <v>138451.21</v>
      </c>
      <c r="M136" s="53">
        <f t="shared" si="14"/>
        <v>0.4275748831645243</v>
      </c>
      <c r="N136" s="54">
        <f>IF(ISERROR(VLOOKUP(C136,data!$C$12:$AD$213,28,0)),0,VLOOKUP(C136,data!$C$12:$AD$213,28,0))</f>
        <v>544816.73250000004</v>
      </c>
    </row>
    <row r="137" spans="2:14" x14ac:dyDescent="0.2">
      <c r="B137" s="19">
        <f t="shared" si="17"/>
        <v>132</v>
      </c>
      <c r="C137" s="19" t="str">
        <f>IF(ISERROR(INDEX(data!$A$12:$AI$213,MATCH(HLOOKUP('II. Sledování projektu'!$L$5,vstupy!$N$2:$BY$180,$B137+1,0),data!$B$12:$B$213,0),3)),"",INDEX(data!$A$12:$AI$213,MATCH(HLOOKUP('II. Sledování projektu'!$L$5,vstupy!$N$2:$BY$180,$B137+1,0),data!$B$12:$B$213,0),3))</f>
        <v>ZŠ a MŠ O-Svinov</v>
      </c>
      <c r="D137" s="156">
        <f>IF(ISERROR(INDEX(data!$A$12:$AI$213,MATCH(HLOOKUP('II. Sledování projektu'!$L$5,vstupy!$N$2:$BY$180,$B137+1,0),data!$B$12:$B$213,0),35)),"",INDEX(data!$A$12:$AI$213,MATCH(HLOOKUP('II. Sledování projektu'!$L$5,vstupy!$N$2:$BY$180,$B137+1,0),data!$B$12:$B$213,0),35))</f>
        <v>72.90901275560816</v>
      </c>
      <c r="E137" s="49">
        <f>IF(ISERROR(INDEX(data!$A$12:$AI$213,MATCH(HLOOKUP('II. Sledování projektu'!$L$5,vstupy!$N$2:$BY$180,$B137+1,0),data!$B$12:$B$213,0),27)),"",INDEX(data!$A$12:$AI$213,MATCH(HLOOKUP('II. Sledování projektu'!$L$5,vstupy!$N$2:$BY$180,$B137+1,0),data!$B$12:$B$213,0),27))</f>
        <v>6050119.5</v>
      </c>
      <c r="F137" s="54">
        <f>IF(ISERROR(INDEX(data!$A$12:$AI$213,MATCH(HLOOKUP('II. Sledování projektu'!$L$5,vstupy!$N$2:$BY$180,$B137+1,0),data!$B$12:$B$213,0),28)),"",INDEX(data!$A$12:$AI$213,MATCH(HLOOKUP('II. Sledování projektu'!$L$5,vstupy!$N$2:$BY$180,$B137+1,0),data!$B$12:$B$213,0),28))</f>
        <v>3494929.6799999997</v>
      </c>
      <c r="G137" s="53">
        <f t="shared" si="15"/>
        <v>0.57766291723659335</v>
      </c>
      <c r="H137" s="53">
        <f>IF(ISERROR(INDEX(data!$A$12:$AI$213,MATCH(HLOOKUP('II. Sledování projektu'!$L$5,vstupy!$N$2:$BY$180,$B137+1,0),data!$B$12:$B$213,0),29)),"",INDEX(data!$A$12:$AI$213,MATCH(HLOOKUP('II. Sledování projektu'!$L$5,vstupy!$N$2:$BY$180,$B137+1,0),data!$B$12:$B$213,0),29))</f>
        <v>0.37509999999999999</v>
      </c>
      <c r="I137" s="54">
        <f>IF(ISERROR(INDEX(data!$A$12:$AI$213,MATCH(HLOOKUP('II. Sledování projektu'!$L$5,vstupy!$N$2:$BY$180,$B137+1,0),data!$B$12:$B$213,0),31)),"",INDEX(data!$A$12:$AI$213,MATCH(HLOOKUP('II. Sledování projektu'!$L$5,vstupy!$N$2:$BY$180,$B137+1,0),data!$B$12:$B$213,0),31))</f>
        <v>1665204.91</v>
      </c>
      <c r="J137" s="53">
        <f t="shared" si="16"/>
        <v>0.27523504453093861</v>
      </c>
      <c r="K137" s="53">
        <f t="shared" si="18"/>
        <v>0.73376444822964171</v>
      </c>
      <c r="L137" s="54">
        <f>IF(ISERROR(INDEX(data!$A$12:$AI$213,MATCH(HLOOKUP('II. Sledování projektu'!$L$5,vstupy!$N$2:$BY$180,$B137+1,0),data!$B$12:$B$213,0),32)),"",INDEX(data!$A$12:$AI$213,MATCH(HLOOKUP('II. Sledování projektu'!$L$5,vstupy!$N$2:$BY$180,$B137+1,0),data!$B$12:$B$213,0),32))</f>
        <v>738546.21</v>
      </c>
      <c r="M137" s="53">
        <f t="shared" si="14"/>
        <v>0.3072473701021094</v>
      </c>
      <c r="N137" s="54">
        <f>IF(ISERROR(VLOOKUP(C137,data!$C$12:$AD$213,28,0)),0,VLOOKUP(C137,data!$C$12:$AD$213,28,0))</f>
        <v>2269399.8244499997</v>
      </c>
    </row>
    <row r="138" spans="2:14" x14ac:dyDescent="0.2">
      <c r="B138" s="19">
        <f t="shared" si="17"/>
        <v>133</v>
      </c>
      <c r="C138" s="19" t="str">
        <f>IF(ISERROR(INDEX(data!$A$12:$AI$213,MATCH(HLOOKUP('II. Sledování projektu'!$L$5,vstupy!$N$2:$BY$180,$B138+1,0),data!$B$12:$B$213,0),3)),"",INDEX(data!$A$12:$AI$213,MATCH(HLOOKUP('II. Sledování projektu'!$L$5,vstupy!$N$2:$BY$180,$B138+1,0),data!$B$12:$B$213,0),3))</f>
        <v>ZŠ a MŠ O-Výškovice, Šeříková</v>
      </c>
      <c r="D138" s="156">
        <f>IF(ISERROR(INDEX(data!$A$12:$AI$213,MATCH(HLOOKUP('II. Sledování projektu'!$L$5,vstupy!$N$2:$BY$180,$B138+1,0),data!$B$12:$B$213,0),35)),"",INDEX(data!$A$12:$AI$213,MATCH(HLOOKUP('II. Sledování projektu'!$L$5,vstupy!$N$2:$BY$180,$B138+1,0),data!$B$12:$B$213,0),35))</f>
        <v>4.678074932071933</v>
      </c>
      <c r="E138" s="49">
        <f>IF(ISERROR(INDEX(data!$A$12:$AI$213,MATCH(HLOOKUP('II. Sledování projektu'!$L$5,vstupy!$N$2:$BY$180,$B138+1,0),data!$B$12:$B$213,0),27)),"",INDEX(data!$A$12:$AI$213,MATCH(HLOOKUP('II. Sledování projektu'!$L$5,vstupy!$N$2:$BY$180,$B138+1,0),data!$B$12:$B$213,0),27))</f>
        <v>5814150</v>
      </c>
      <c r="F138" s="54">
        <f>IF(ISERROR(INDEX(data!$A$12:$AI$213,MATCH(HLOOKUP('II. Sledování projektu'!$L$5,vstupy!$N$2:$BY$180,$B138+1,0),data!$B$12:$B$213,0),28)),"",INDEX(data!$A$12:$AI$213,MATCH(HLOOKUP('II. Sledování projektu'!$L$5,vstupy!$N$2:$BY$180,$B138+1,0),data!$B$12:$B$213,0),28))</f>
        <v>0</v>
      </c>
      <c r="G138" s="53">
        <f t="shared" si="15"/>
        <v>0</v>
      </c>
      <c r="H138" s="53">
        <f>IF(ISERROR(INDEX(data!$A$12:$AI$213,MATCH(HLOOKUP('II. Sledování projektu'!$L$5,vstupy!$N$2:$BY$180,$B138+1,0),data!$B$12:$B$213,0),29)),"",INDEX(data!$A$12:$AI$213,MATCH(HLOOKUP('II. Sledování projektu'!$L$5,vstupy!$N$2:$BY$180,$B138+1,0),data!$B$12:$B$213,0),29))</f>
        <v>0.19409999999999999</v>
      </c>
      <c r="I138" s="54">
        <f>IF(ISERROR(INDEX(data!$A$12:$AI$213,MATCH(HLOOKUP('II. Sledování projektu'!$L$5,vstupy!$N$2:$BY$180,$B138+1,0),data!$B$12:$B$213,0),31)),"",INDEX(data!$A$12:$AI$213,MATCH(HLOOKUP('II. Sledování projektu'!$L$5,vstupy!$N$2:$BY$180,$B138+1,0),data!$B$12:$B$213,0),31))</f>
        <v>87988.86</v>
      </c>
      <c r="J138" s="53">
        <f t="shared" si="16"/>
        <v>1.5133572405252703E-2</v>
      </c>
      <c r="K138" s="53">
        <f t="shared" si="18"/>
        <v>7.7967915534532223E-2</v>
      </c>
      <c r="L138" s="54">
        <f>IF(ISERROR(INDEX(data!$A$12:$AI$213,MATCH(HLOOKUP('II. Sledování projektu'!$L$5,vstupy!$N$2:$BY$180,$B138+1,0),data!$B$12:$B$213,0),32)),"",INDEX(data!$A$12:$AI$213,MATCH(HLOOKUP('II. Sledování projektu'!$L$5,vstupy!$N$2:$BY$180,$B138+1,0),data!$B$12:$B$213,0),32))</f>
        <v>70694.55</v>
      </c>
      <c r="M138" s="53">
        <f t="shared" si="14"/>
        <v>0.44550687434811237</v>
      </c>
      <c r="N138" s="54">
        <f>IF(ISERROR(VLOOKUP(C138,data!$C$12:$AD$213,28,0)),0,VLOOKUP(C138,data!$C$12:$AD$213,28,0))</f>
        <v>1128526.5149999999</v>
      </c>
    </row>
    <row r="139" spans="2:14" x14ac:dyDescent="0.2">
      <c r="B139" s="19">
        <f t="shared" si="17"/>
        <v>134</v>
      </c>
      <c r="C139" s="19" t="str">
        <f>IF(ISERROR(INDEX(data!$A$12:$AI$213,MATCH(HLOOKUP('II. Sledování projektu'!$L$5,vstupy!$N$2:$BY$180,$B139+1,0),data!$B$12:$B$213,0),3)),"",INDEX(data!$A$12:$AI$213,MATCH(HLOOKUP('II. Sledování projektu'!$L$5,vstupy!$N$2:$BY$180,$B139+1,0),data!$B$12:$B$213,0),3))</f>
        <v>ZŠ a MŠ O-Zábřeh, Březinova</v>
      </c>
      <c r="D139" s="156">
        <f>IF(ISERROR(INDEX(data!$A$12:$AI$213,MATCH(HLOOKUP('II. Sledování projektu'!$L$5,vstupy!$N$2:$BY$180,$B139+1,0),data!$B$12:$B$213,0),35)),"",INDEX(data!$A$12:$AI$213,MATCH(HLOOKUP('II. Sledování projektu'!$L$5,vstupy!$N$2:$BY$180,$B139+1,0),data!$B$12:$B$213,0),35))</f>
        <v>10.49186205642023</v>
      </c>
      <c r="E139" s="49">
        <f>IF(ISERROR(INDEX(data!$A$12:$AI$213,MATCH(HLOOKUP('II. Sledování projektu'!$L$5,vstupy!$N$2:$BY$180,$B139+1,0),data!$B$12:$B$213,0),27)),"",INDEX(data!$A$12:$AI$213,MATCH(HLOOKUP('II. Sledování projektu'!$L$5,vstupy!$N$2:$BY$180,$B139+1,0),data!$B$12:$B$213,0),27))</f>
        <v>2921592</v>
      </c>
      <c r="F139" s="54">
        <f>IF(ISERROR(INDEX(data!$A$12:$AI$213,MATCH(HLOOKUP('II. Sledování projektu'!$L$5,vstupy!$N$2:$BY$180,$B139+1,0),data!$B$12:$B$213,0),28)),"",INDEX(data!$A$12:$AI$213,MATCH(HLOOKUP('II. Sledování projektu'!$L$5,vstupy!$N$2:$BY$180,$B139+1,0),data!$B$12:$B$213,0),28))</f>
        <v>14334.75</v>
      </c>
      <c r="G139" s="53">
        <f t="shared" si="15"/>
        <v>4.9064859158979074E-3</v>
      </c>
      <c r="H139" s="53">
        <f>IF(ISERROR(INDEX(data!$A$12:$AI$213,MATCH(HLOOKUP('II. Sledování projektu'!$L$5,vstupy!$N$2:$BY$180,$B139+1,0),data!$B$12:$B$213,0),29)),"",INDEX(data!$A$12:$AI$213,MATCH(HLOOKUP('II. Sledování projektu'!$L$5,vstupy!$N$2:$BY$180,$B139+1,0),data!$B$12:$B$213,0),29))</f>
        <v>0.17460000000000001</v>
      </c>
      <c r="I139" s="54">
        <f>IF(ISERROR(INDEX(data!$A$12:$AI$213,MATCH(HLOOKUP('II. Sledování projektu'!$L$5,vstupy!$N$2:$BY$180,$B139+1,0),data!$B$12:$B$213,0),31)),"",INDEX(data!$A$12:$AI$213,MATCH(HLOOKUP('II. Sledování projektu'!$L$5,vstupy!$N$2:$BY$180,$B139+1,0),data!$B$12:$B$213,0),31))</f>
        <v>87114.349999999991</v>
      </c>
      <c r="J139" s="53">
        <f t="shared" si="16"/>
        <v>2.9817424883419721E-2</v>
      </c>
      <c r="K139" s="53">
        <f t="shared" si="18"/>
        <v>0.17077562934375556</v>
      </c>
      <c r="L139" s="54">
        <f>IF(ISERROR(INDEX(data!$A$12:$AI$213,MATCH(HLOOKUP('II. Sledování projektu'!$L$5,vstupy!$N$2:$BY$180,$B139+1,0),data!$B$12:$B$213,0),32)),"",INDEX(data!$A$12:$AI$213,MATCH(HLOOKUP('II. Sledování projektu'!$L$5,vstupy!$N$2:$BY$180,$B139+1,0),data!$B$12:$B$213,0),32))</f>
        <v>57894.380000000005</v>
      </c>
      <c r="M139" s="53">
        <f t="shared" si="14"/>
        <v>0.39924754875103047</v>
      </c>
      <c r="N139" s="54">
        <f>IF(ISERROR(VLOOKUP(C139,data!$C$12:$AD$213,28,0)),0,VLOOKUP(C139,data!$C$12:$AD$213,28,0))</f>
        <v>510109.9632</v>
      </c>
    </row>
    <row r="140" spans="2:14" x14ac:dyDescent="0.2">
      <c r="B140" s="19">
        <f t="shared" si="17"/>
        <v>135</v>
      </c>
      <c r="C140" s="19" t="str">
        <f>IF(ISERROR(INDEX(data!$A$12:$AI$213,MATCH(HLOOKUP('II. Sledování projektu'!$L$5,vstupy!$N$2:$BY$180,$B140+1,0),data!$B$12:$B$213,0),3)),"",INDEX(data!$A$12:$AI$213,MATCH(HLOOKUP('II. Sledování projektu'!$L$5,vstupy!$N$2:$BY$180,$B140+1,0),data!$B$12:$B$213,0),3))</f>
        <v>ZŠ a MŠ O-Zábřeh, Horymírova</v>
      </c>
      <c r="D140" s="156">
        <f>IF(ISERROR(INDEX(data!$A$12:$AI$213,MATCH(HLOOKUP('II. Sledování projektu'!$L$5,vstupy!$N$2:$BY$180,$B140+1,0),data!$B$12:$B$213,0),35)),"",INDEX(data!$A$12:$AI$213,MATCH(HLOOKUP('II. Sledování projektu'!$L$5,vstupy!$N$2:$BY$180,$B140+1,0),data!$B$12:$B$213,0),35))</f>
        <v>42.098317014736267</v>
      </c>
      <c r="E140" s="49">
        <f>IF(ISERROR(INDEX(data!$A$12:$AI$213,MATCH(HLOOKUP('II. Sledování projektu'!$L$5,vstupy!$N$2:$BY$180,$B140+1,0),data!$B$12:$B$213,0),27)),"",INDEX(data!$A$12:$AI$213,MATCH(HLOOKUP('II. Sledování projektu'!$L$5,vstupy!$N$2:$BY$180,$B140+1,0),data!$B$12:$B$213,0),27))</f>
        <v>5623725</v>
      </c>
      <c r="F140" s="54">
        <f>IF(ISERROR(INDEX(data!$A$12:$AI$213,MATCH(HLOOKUP('II. Sledování projektu'!$L$5,vstupy!$N$2:$BY$180,$B140+1,0),data!$B$12:$B$213,0),28)),"",INDEX(data!$A$12:$AI$213,MATCH(HLOOKUP('II. Sledování projektu'!$L$5,vstupy!$N$2:$BY$180,$B140+1,0),data!$B$12:$B$213,0),28))</f>
        <v>2114397.35</v>
      </c>
      <c r="G140" s="53">
        <f t="shared" si="15"/>
        <v>0.37597808392124438</v>
      </c>
      <c r="H140" s="53">
        <f>IF(ISERROR(INDEX(data!$A$12:$AI$213,MATCH(HLOOKUP('II. Sledování projektu'!$L$5,vstupy!$N$2:$BY$180,$B140+1,0),data!$B$12:$B$213,0),29)),"",INDEX(data!$A$12:$AI$213,MATCH(HLOOKUP('II. Sledování projektu'!$L$5,vstupy!$N$2:$BY$180,$B140+1,0),data!$B$12:$B$213,0),29))</f>
        <v>0.24879999999999999</v>
      </c>
      <c r="I140" s="54">
        <f>IF(ISERROR(INDEX(data!$A$12:$AI$213,MATCH(HLOOKUP('II. Sledování projektu'!$L$5,vstupy!$N$2:$BY$180,$B140+1,0),data!$B$12:$B$213,0),31)),"",INDEX(data!$A$12:$AI$213,MATCH(HLOOKUP('II. Sledování projektu'!$L$5,vstupy!$N$2:$BY$180,$B140+1,0),data!$B$12:$B$213,0),31))</f>
        <v>543335.62</v>
      </c>
      <c r="J140" s="53">
        <f t="shared" si="16"/>
        <v>9.6614898488101744E-2</v>
      </c>
      <c r="K140" s="53">
        <f t="shared" si="18"/>
        <v>0.38832354697790089</v>
      </c>
      <c r="L140" s="54">
        <f>IF(ISERROR(INDEX(data!$A$12:$AI$213,MATCH(HLOOKUP('II. Sledování projektu'!$L$5,vstupy!$N$2:$BY$180,$B140+1,0),data!$B$12:$B$213,0),32)),"",INDEX(data!$A$12:$AI$213,MATCH(HLOOKUP('II. Sledování projektu'!$L$5,vstupy!$N$2:$BY$180,$B140+1,0),data!$B$12:$B$213,0),32))</f>
        <v>151719.46</v>
      </c>
      <c r="M140" s="53">
        <f t="shared" si="14"/>
        <v>0.21828408188887707</v>
      </c>
      <c r="N140" s="54">
        <f>IF(ISERROR(VLOOKUP(C140,data!$C$12:$AD$213,28,0)),0,VLOOKUP(C140,data!$C$12:$AD$213,28,0))</f>
        <v>1399182.78</v>
      </c>
    </row>
    <row r="141" spans="2:14" x14ac:dyDescent="0.2">
      <c r="B141" s="19">
        <f t="shared" si="17"/>
        <v>136</v>
      </c>
      <c r="C141" s="19" t="str">
        <f>IF(ISERROR(INDEX(data!$A$12:$AI$213,MATCH(HLOOKUP('II. Sledování projektu'!$L$5,vstupy!$N$2:$BY$180,$B141+1,0),data!$B$12:$B$213,0),3)),"",INDEX(data!$A$12:$AI$213,MATCH(HLOOKUP('II. Sledování projektu'!$L$5,vstupy!$N$2:$BY$180,$B141+1,0),data!$B$12:$B$213,0),3))</f>
        <v>ZŠ a MŠ O-Zábřeh, Kosmonautů 13</v>
      </c>
      <c r="D141" s="156">
        <f>IF(ISERROR(INDEX(data!$A$12:$AI$213,MATCH(HLOOKUP('II. Sledování projektu'!$L$5,vstupy!$N$2:$BY$180,$B141+1,0),data!$B$12:$B$213,0),35)),"",INDEX(data!$A$12:$AI$213,MATCH(HLOOKUP('II. Sledování projektu'!$L$5,vstupy!$N$2:$BY$180,$B141+1,0),data!$B$12:$B$213,0),35))</f>
        <v>67.941363415352413</v>
      </c>
      <c r="E141" s="49">
        <f>IF(ISERROR(INDEX(data!$A$12:$AI$213,MATCH(HLOOKUP('II. Sledování projektu'!$L$5,vstupy!$N$2:$BY$180,$B141+1,0),data!$B$12:$B$213,0),27)),"",INDEX(data!$A$12:$AI$213,MATCH(HLOOKUP('II. Sledování projektu'!$L$5,vstupy!$N$2:$BY$180,$B141+1,0),data!$B$12:$B$213,0),27))</f>
        <v>2313000</v>
      </c>
      <c r="F141" s="54">
        <f>IF(ISERROR(INDEX(data!$A$12:$AI$213,MATCH(HLOOKUP('II. Sledování projektu'!$L$5,vstupy!$N$2:$BY$180,$B141+1,0),data!$B$12:$B$213,0),28)),"",INDEX(data!$A$12:$AI$213,MATCH(HLOOKUP('II. Sledování projektu'!$L$5,vstupy!$N$2:$BY$180,$B141+1,0),data!$B$12:$B$213,0),28))</f>
        <v>1255590.6599999999</v>
      </c>
      <c r="G141" s="53">
        <f t="shared" si="15"/>
        <v>0.54284075226977946</v>
      </c>
      <c r="H141" s="53">
        <f>IF(ISERROR(INDEX(data!$A$12:$AI$213,MATCH(HLOOKUP('II. Sledování projektu'!$L$5,vstupy!$N$2:$BY$180,$B141+1,0),data!$B$12:$B$213,0),29)),"",INDEX(data!$A$12:$AI$213,MATCH(HLOOKUP('II. Sledování projektu'!$L$5,vstupy!$N$2:$BY$180,$B141+1,0),data!$B$12:$B$213,0),29))</f>
        <v>0.10349999999999999</v>
      </c>
      <c r="I141" s="54">
        <f>IF(ISERROR(INDEX(data!$A$12:$AI$213,MATCH(HLOOKUP('II. Sledování projektu'!$L$5,vstupy!$N$2:$BY$180,$B141+1,0),data!$B$12:$B$213,0),31)),"",INDEX(data!$A$12:$AI$213,MATCH(HLOOKUP('II. Sledování projektu'!$L$5,vstupy!$N$2:$BY$180,$B141+1,0),data!$B$12:$B$213,0),31))</f>
        <v>162786.25</v>
      </c>
      <c r="J141" s="53">
        <f t="shared" si="16"/>
        <v>7.0378837008214443E-2</v>
      </c>
      <c r="K141" s="53">
        <f t="shared" si="18"/>
        <v>0.67998876336439074</v>
      </c>
      <c r="L141" s="54">
        <f>IF(ISERROR(INDEX(data!$A$12:$AI$213,MATCH(HLOOKUP('II. Sledování projektu'!$L$5,vstupy!$N$2:$BY$180,$B141+1,0),data!$B$12:$B$213,0),32)),"",INDEX(data!$A$12:$AI$213,MATCH(HLOOKUP('II. Sledování projektu'!$L$5,vstupy!$N$2:$BY$180,$B141+1,0),data!$B$12:$B$213,0),32))</f>
        <v>73325.679999999993</v>
      </c>
      <c r="M141" s="53">
        <f t="shared" si="14"/>
        <v>0.31055474409954631</v>
      </c>
      <c r="N141" s="54">
        <f>IF(ISERROR(VLOOKUP(C141,data!$C$12:$AD$213,28,0)),0,VLOOKUP(C141,data!$C$12:$AD$213,28,0))</f>
        <v>239395.5</v>
      </c>
    </row>
    <row r="142" spans="2:14" x14ac:dyDescent="0.2">
      <c r="B142" s="19">
        <f t="shared" si="17"/>
        <v>137</v>
      </c>
      <c r="C142" s="19" t="str">
        <f>IF(ISERROR(INDEX(data!$A$12:$AI$213,MATCH(HLOOKUP('II. Sledování projektu'!$L$5,vstupy!$N$2:$BY$180,$B142+1,0),data!$B$12:$B$213,0),3)),"",INDEX(data!$A$12:$AI$213,MATCH(HLOOKUP('II. Sledování projektu'!$L$5,vstupy!$N$2:$BY$180,$B142+1,0),data!$B$12:$B$213,0),3))</f>
        <v>ZŠ a MŠ O-Zábřeh, Kosmonautů 15</v>
      </c>
      <c r="D142" s="156">
        <f>IF(ISERROR(INDEX(data!$A$12:$AI$213,MATCH(HLOOKUP('II. Sledování projektu'!$L$5,vstupy!$N$2:$BY$180,$B142+1,0),data!$B$12:$B$213,0),35)),"",INDEX(data!$A$12:$AI$213,MATCH(HLOOKUP('II. Sledování projektu'!$L$5,vstupy!$N$2:$BY$180,$B142+1,0),data!$B$12:$B$213,0),35))</f>
        <v>95.676324335835602</v>
      </c>
      <c r="E142" s="49">
        <f>IF(ISERROR(INDEX(data!$A$12:$AI$213,MATCH(HLOOKUP('II. Sledování projektu'!$L$5,vstupy!$N$2:$BY$180,$B142+1,0),data!$B$12:$B$213,0),27)),"",INDEX(data!$A$12:$AI$213,MATCH(HLOOKUP('II. Sledování projektu'!$L$5,vstupy!$N$2:$BY$180,$B142+1,0),data!$B$12:$B$213,0),27))</f>
        <v>7043625</v>
      </c>
      <c r="F142" s="54">
        <f>IF(ISERROR(INDEX(data!$A$12:$AI$213,MATCH(HLOOKUP('II. Sledování projektu'!$L$5,vstupy!$N$2:$BY$180,$B142+1,0),data!$B$12:$B$213,0),28)),"",INDEX(data!$A$12:$AI$213,MATCH(HLOOKUP('II. Sledování projektu'!$L$5,vstupy!$N$2:$BY$180,$B142+1,0),data!$B$12:$B$213,0),28))</f>
        <v>5025813</v>
      </c>
      <c r="G142" s="53">
        <f t="shared" si="15"/>
        <v>0.71352648671671193</v>
      </c>
      <c r="H142" s="53">
        <f>IF(ISERROR(INDEX(data!$A$12:$AI$213,MATCH(HLOOKUP('II. Sledování projektu'!$L$5,vstupy!$N$2:$BY$180,$B142+1,0),data!$B$12:$B$213,0),29)),"",INDEX(data!$A$12:$AI$213,MATCH(HLOOKUP('II. Sledování projektu'!$L$5,vstupy!$N$2:$BY$180,$B142+1,0),data!$B$12:$B$213,0),29))</f>
        <v>0.30020000000000002</v>
      </c>
      <c r="I142" s="54">
        <f>IF(ISERROR(INDEX(data!$A$12:$AI$213,MATCH(HLOOKUP('II. Sledování projektu'!$L$5,vstupy!$N$2:$BY$180,$B142+1,0),data!$B$12:$B$213,0),31)),"",INDEX(data!$A$12:$AI$213,MATCH(HLOOKUP('II. Sledování projektu'!$L$5,vstupy!$N$2:$BY$180,$B142+1,0),data!$B$12:$B$213,0),31))</f>
        <v>2230089.2000000002</v>
      </c>
      <c r="J142" s="53">
        <f t="shared" si="16"/>
        <v>0.31661100640650236</v>
      </c>
      <c r="K142" s="53">
        <f t="shared" si="18"/>
        <v>1.0546669100816202</v>
      </c>
      <c r="L142" s="54">
        <f>IF(ISERROR(INDEX(data!$A$12:$AI$213,MATCH(HLOOKUP('II. Sledování projektu'!$L$5,vstupy!$N$2:$BY$180,$B142+1,0),data!$B$12:$B$213,0),32)),"",INDEX(data!$A$12:$AI$213,MATCH(HLOOKUP('II. Sledování projektu'!$L$5,vstupy!$N$2:$BY$180,$B142+1,0),data!$B$12:$B$213,0),32))</f>
        <v>424736.11</v>
      </c>
      <c r="M142" s="53">
        <f t="shared" si="14"/>
        <v>0.15998646253677609</v>
      </c>
      <c r="N142" s="54">
        <f>IF(ISERROR(VLOOKUP(C142,data!$C$12:$AD$213,28,0)),0,VLOOKUP(C142,data!$C$12:$AD$213,28,0))</f>
        <v>2114496.2250000001</v>
      </c>
    </row>
    <row r="143" spans="2:14" x14ac:dyDescent="0.2">
      <c r="B143" s="19">
        <f t="shared" si="17"/>
        <v>138</v>
      </c>
      <c r="C143" s="19" t="str">
        <f>IF(ISERROR(INDEX(data!$A$12:$AI$213,MATCH(HLOOKUP('II. Sledování projektu'!$L$5,vstupy!$N$2:$BY$180,$B143+1,0),data!$B$12:$B$213,0),3)),"",INDEX(data!$A$12:$AI$213,MATCH(HLOOKUP('II. Sledování projektu'!$L$5,vstupy!$N$2:$BY$180,$B143+1,0),data!$B$12:$B$213,0),3))</f>
        <v>ZŠ a MŠ O-Zábřeh, Volgogradská</v>
      </c>
      <c r="D143" s="156">
        <f>IF(ISERROR(INDEX(data!$A$12:$AI$213,MATCH(HLOOKUP('II. Sledování projektu'!$L$5,vstupy!$N$2:$BY$180,$B143+1,0),data!$B$12:$B$213,0),35)),"",INDEX(data!$A$12:$AI$213,MATCH(HLOOKUP('II. Sledování projektu'!$L$5,vstupy!$N$2:$BY$180,$B143+1,0),data!$B$12:$B$213,0),35))</f>
        <v>4.0814888556238822</v>
      </c>
      <c r="E143" s="49">
        <f>IF(ISERROR(INDEX(data!$A$12:$AI$213,MATCH(HLOOKUP('II. Sledování projektu'!$L$5,vstupy!$N$2:$BY$180,$B143+1,0),data!$B$12:$B$213,0),27)),"",INDEX(data!$A$12:$AI$213,MATCH(HLOOKUP('II. Sledování projektu'!$L$5,vstupy!$N$2:$BY$180,$B143+1,0),data!$B$12:$B$213,0),27))</f>
        <v>4939650</v>
      </c>
      <c r="F143" s="54">
        <f>IF(ISERROR(INDEX(data!$A$12:$AI$213,MATCH(HLOOKUP('II. Sledování projektu'!$L$5,vstupy!$N$2:$BY$180,$B143+1,0),data!$B$12:$B$213,0),28)),"",INDEX(data!$A$12:$AI$213,MATCH(HLOOKUP('II. Sledování projektu'!$L$5,vstupy!$N$2:$BY$180,$B143+1,0),data!$B$12:$B$213,0),28))</f>
        <v>6816.3</v>
      </c>
      <c r="G143" s="53">
        <f t="shared" si="15"/>
        <v>1.3799155810634357E-3</v>
      </c>
      <c r="H143" s="53">
        <f>IF(ISERROR(INDEX(data!$A$12:$AI$213,MATCH(HLOOKUP('II. Sledování projektu'!$L$5,vstupy!$N$2:$BY$180,$B143+1,0),data!$B$12:$B$213,0),29)),"",INDEX(data!$A$12:$AI$213,MATCH(HLOOKUP('II. Sledování projektu'!$L$5,vstupy!$N$2:$BY$180,$B143+1,0),data!$B$12:$B$213,0),29))</f>
        <v>0.1978</v>
      </c>
      <c r="I143" s="54">
        <f>IF(ISERROR(INDEX(data!$A$12:$AI$213,MATCH(HLOOKUP('II. Sledování projektu'!$L$5,vstupy!$N$2:$BY$180,$B143+1,0),data!$B$12:$B$213,0),31)),"",INDEX(data!$A$12:$AI$213,MATCH(HLOOKUP('II. Sledování projektu'!$L$5,vstupy!$N$2:$BY$180,$B143+1,0),data!$B$12:$B$213,0),31))</f>
        <v>65340.960000000006</v>
      </c>
      <c r="J143" s="53">
        <f t="shared" si="16"/>
        <v>1.3227852175761442E-2</v>
      </c>
      <c r="K143" s="53">
        <f t="shared" si="18"/>
        <v>6.6874884609511839E-2</v>
      </c>
      <c r="L143" s="54">
        <f>IF(ISERROR(INDEX(data!$A$12:$AI$213,MATCH(HLOOKUP('II. Sledování projektu'!$L$5,vstupy!$N$2:$BY$180,$B143+1,0),data!$B$12:$B$213,0),32)),"",INDEX(data!$A$12:$AI$213,MATCH(HLOOKUP('II. Sledování projektu'!$L$5,vstupy!$N$2:$BY$180,$B143+1,0),data!$B$12:$B$213,0),32))</f>
        <v>45806.7</v>
      </c>
      <c r="M143" s="53">
        <f t="shared" si="14"/>
        <v>0.4121247356894423</v>
      </c>
      <c r="N143" s="54">
        <f>IF(ISERROR(VLOOKUP(C143,data!$C$12:$AD$213,28,0)),0,VLOOKUP(C143,data!$C$12:$AD$213,28,0))</f>
        <v>977062.77</v>
      </c>
    </row>
    <row r="144" spans="2:14" x14ac:dyDescent="0.2">
      <c r="B144" s="19">
        <f t="shared" si="17"/>
        <v>139</v>
      </c>
      <c r="C144" s="19" t="str">
        <f>IF(ISERROR(INDEX(data!$A$12:$AI$213,MATCH(HLOOKUP('II. Sledování projektu'!$L$5,vstupy!$N$2:$BY$180,$B144+1,0),data!$B$12:$B$213,0),3)),"",INDEX(data!$A$12:$AI$213,MATCH(HLOOKUP('II. Sledování projektu'!$L$5,vstupy!$N$2:$BY$180,$B144+1,0),data!$B$12:$B$213,0),3))</f>
        <v>ZŠ a waldorfská ZŠ O-Poruba</v>
      </c>
      <c r="D144" s="156">
        <f>IF(ISERROR(INDEX(data!$A$12:$AI$213,MATCH(HLOOKUP('II. Sledování projektu'!$L$5,vstupy!$N$2:$BY$180,$B144+1,0),data!$B$12:$B$213,0),35)),"",INDEX(data!$A$12:$AI$213,MATCH(HLOOKUP('II. Sledování projektu'!$L$5,vstupy!$N$2:$BY$180,$B144+1,0),data!$B$12:$B$213,0),35))</f>
        <v>34.288821518398493</v>
      </c>
      <c r="E144" s="49">
        <f>IF(ISERROR(INDEX(data!$A$12:$AI$213,MATCH(HLOOKUP('II. Sledování projektu'!$L$5,vstupy!$N$2:$BY$180,$B144+1,0),data!$B$12:$B$213,0),27)),"",INDEX(data!$A$12:$AI$213,MATCH(HLOOKUP('II. Sledování projektu'!$L$5,vstupy!$N$2:$BY$180,$B144+1,0),data!$B$12:$B$213,0),27))</f>
        <v>4924500</v>
      </c>
      <c r="F144" s="54">
        <f>IF(ISERROR(INDEX(data!$A$12:$AI$213,MATCH(HLOOKUP('II. Sledování projektu'!$L$5,vstupy!$N$2:$BY$180,$B144+1,0),data!$B$12:$B$213,0),28)),"",INDEX(data!$A$12:$AI$213,MATCH(HLOOKUP('II. Sledování projektu'!$L$5,vstupy!$N$2:$BY$180,$B144+1,0),data!$B$12:$B$213,0),28))</f>
        <v>1994446.38</v>
      </c>
      <c r="G144" s="53">
        <f t="shared" si="15"/>
        <v>0.4050048492232714</v>
      </c>
      <c r="H144" s="53">
        <f>IF(ISERROR(INDEX(data!$A$12:$AI$213,MATCH(HLOOKUP('II. Sledování projektu'!$L$5,vstupy!$N$2:$BY$180,$B144+1,0),data!$B$12:$B$213,0),29)),"",INDEX(data!$A$12:$AI$213,MATCH(HLOOKUP('II. Sledování projektu'!$L$5,vstupy!$N$2:$BY$180,$B144+1,0),data!$B$12:$B$213,0),29))</f>
        <v>0.1893</v>
      </c>
      <c r="I144" s="54">
        <f>IF(ISERROR(INDEX(data!$A$12:$AI$213,MATCH(HLOOKUP('II. Sledování projektu'!$L$5,vstupy!$N$2:$BY$180,$B144+1,0),data!$B$12:$B$213,0),31)),"",INDEX(data!$A$12:$AI$213,MATCH(HLOOKUP('II. Sledování projektu'!$L$5,vstupy!$N$2:$BY$180,$B144+1,0),data!$B$12:$B$213,0),31))</f>
        <v>218114.56</v>
      </c>
      <c r="J144" s="53">
        <f t="shared" si="16"/>
        <v>4.4291716925576201E-2</v>
      </c>
      <c r="K144" s="53">
        <f t="shared" si="18"/>
        <v>0.23397631762058216</v>
      </c>
      <c r="L144" s="54">
        <f>IF(ISERROR(INDEX(data!$A$12:$AI$213,MATCH(HLOOKUP('II. Sledování projektu'!$L$5,vstupy!$N$2:$BY$180,$B144+1,0),data!$B$12:$B$213,0),32)),"",INDEX(data!$A$12:$AI$213,MATCH(HLOOKUP('II. Sledování projektu'!$L$5,vstupy!$N$2:$BY$180,$B144+1,0),data!$B$12:$B$213,0),32))</f>
        <v>94681.010000000009</v>
      </c>
      <c r="M144" s="53">
        <f t="shared" si="14"/>
        <v>0.30269293775484096</v>
      </c>
      <c r="N144" s="54">
        <f>IF(ISERROR(VLOOKUP(C144,data!$C$12:$AD$213,28,0)),0,VLOOKUP(C144,data!$C$12:$AD$213,28,0))</f>
        <v>932207.85</v>
      </c>
    </row>
    <row r="145" spans="2:14" x14ac:dyDescent="0.2">
      <c r="B145" s="19">
        <f t="shared" si="17"/>
        <v>140</v>
      </c>
      <c r="C145" s="19" t="str">
        <f>IF(ISERROR(INDEX(data!$A$12:$AI$213,MATCH(HLOOKUP('II. Sledování projektu'!$L$5,vstupy!$N$2:$BY$180,$B145+1,0),data!$B$12:$B$213,0),3)),"",INDEX(data!$A$12:$AI$213,MATCH(HLOOKUP('II. Sledování projektu'!$L$5,vstupy!$N$2:$BY$180,$B145+1,0),data!$B$12:$B$213,0),3))</f>
        <v>ZŠ gen.Z.Škarvady, O-Poruba</v>
      </c>
      <c r="D145" s="156">
        <f>IF(ISERROR(INDEX(data!$A$12:$AI$213,MATCH(HLOOKUP('II. Sledování projektu'!$L$5,vstupy!$N$2:$BY$180,$B145+1,0),data!$B$12:$B$213,0),35)),"",INDEX(data!$A$12:$AI$213,MATCH(HLOOKUP('II. Sledování projektu'!$L$5,vstupy!$N$2:$BY$180,$B145+1,0),data!$B$12:$B$213,0),35))</f>
        <v>32.311107100551993</v>
      </c>
      <c r="E145" s="49">
        <f>IF(ISERROR(INDEX(data!$A$12:$AI$213,MATCH(HLOOKUP('II. Sledování projektu'!$L$5,vstupy!$N$2:$BY$180,$B145+1,0),data!$B$12:$B$213,0),27)),"",INDEX(data!$A$12:$AI$213,MATCH(HLOOKUP('II. Sledování projektu'!$L$5,vstupy!$N$2:$BY$180,$B145+1,0),data!$B$12:$B$213,0),27))</f>
        <v>4275750</v>
      </c>
      <c r="F145" s="54">
        <f>IF(ISERROR(INDEX(data!$A$12:$AI$213,MATCH(HLOOKUP('II. Sledování projektu'!$L$5,vstupy!$N$2:$BY$180,$B145+1,0),data!$B$12:$B$213,0),28)),"",INDEX(data!$A$12:$AI$213,MATCH(HLOOKUP('II. Sledování projektu'!$L$5,vstupy!$N$2:$BY$180,$B145+1,0),data!$B$12:$B$213,0),28))</f>
        <v>597745.62</v>
      </c>
      <c r="G145" s="53">
        <f t="shared" si="15"/>
        <v>0.13979901069987721</v>
      </c>
      <c r="H145" s="53">
        <f>IF(ISERROR(INDEX(data!$A$12:$AI$213,MATCH(HLOOKUP('II. Sledování projektu'!$L$5,vstupy!$N$2:$BY$180,$B145+1,0),data!$B$12:$B$213,0),29)),"",INDEX(data!$A$12:$AI$213,MATCH(HLOOKUP('II. Sledování projektu'!$L$5,vstupy!$N$2:$BY$180,$B145+1,0),data!$B$12:$B$213,0),29))</f>
        <v>0.32400000000000001</v>
      </c>
      <c r="I145" s="54">
        <f>IF(ISERROR(INDEX(data!$A$12:$AI$213,MATCH(HLOOKUP('II. Sledování projektu'!$L$5,vstupy!$N$2:$BY$180,$B145+1,0),data!$B$12:$B$213,0),31)),"",INDEX(data!$A$12:$AI$213,MATCH(HLOOKUP('II. Sledování projektu'!$L$5,vstupy!$N$2:$BY$180,$B145+1,0),data!$B$12:$B$213,0),31))</f>
        <v>584641.44999999995</v>
      </c>
      <c r="J145" s="53">
        <f t="shared" si="16"/>
        <v>0.13673424545401391</v>
      </c>
      <c r="K145" s="53">
        <f t="shared" si="18"/>
        <v>0.42201927609263551</v>
      </c>
      <c r="L145" s="54">
        <f>IF(ISERROR(INDEX(data!$A$12:$AI$213,MATCH(HLOOKUP('II. Sledování projektu'!$L$5,vstupy!$N$2:$BY$180,$B145+1,0),data!$B$12:$B$213,0),32)),"",INDEX(data!$A$12:$AI$213,MATCH(HLOOKUP('II. Sledování projektu'!$L$5,vstupy!$N$2:$BY$180,$B145+1,0),data!$B$12:$B$213,0),32))</f>
        <v>108747.6</v>
      </c>
      <c r="M145" s="53">
        <f t="shared" si="14"/>
        <v>0.15683489665722297</v>
      </c>
      <c r="N145" s="54">
        <f>IF(ISERROR(VLOOKUP(C145,data!$C$12:$AD$213,28,0)),0,VLOOKUP(C145,data!$C$12:$AD$213,28,0))</f>
        <v>1385343</v>
      </c>
    </row>
    <row r="146" spans="2:14" x14ac:dyDescent="0.2">
      <c r="B146" s="19">
        <f t="shared" si="17"/>
        <v>141</v>
      </c>
      <c r="C146" s="19" t="str">
        <f>IF(ISERROR(INDEX(data!$A$12:$AI$213,MATCH(HLOOKUP('II. Sledování projektu'!$L$5,vstupy!$N$2:$BY$180,$B146+1,0),data!$B$12:$B$213,0),3)),"",INDEX(data!$A$12:$AI$213,MATCH(HLOOKUP('II. Sledování projektu'!$L$5,vstupy!$N$2:$BY$180,$B146+1,0),data!$B$12:$B$213,0),3))</f>
        <v>ZŠ MO a Přívoz, Gajdošova</v>
      </c>
      <c r="D146" s="156">
        <f>IF(ISERROR(INDEX(data!$A$12:$AI$213,MATCH(HLOOKUP('II. Sledování projektu'!$L$5,vstupy!$N$2:$BY$180,$B146+1,0),data!$B$12:$B$213,0),35)),"",INDEX(data!$A$12:$AI$213,MATCH(HLOOKUP('II. Sledování projektu'!$L$5,vstupy!$N$2:$BY$180,$B146+1,0),data!$B$12:$B$213,0),35))</f>
        <v>61.617391304347827</v>
      </c>
      <c r="E146" s="49">
        <f>IF(ISERROR(INDEX(data!$A$12:$AI$213,MATCH(HLOOKUP('II. Sledování projektu'!$L$5,vstupy!$N$2:$BY$180,$B146+1,0),data!$B$12:$B$213,0),27)),"",INDEX(data!$A$12:$AI$213,MATCH(HLOOKUP('II. Sledování projektu'!$L$5,vstupy!$N$2:$BY$180,$B146+1,0),data!$B$12:$B$213,0),27))</f>
        <v>741750</v>
      </c>
      <c r="F146" s="54">
        <f>IF(ISERROR(INDEX(data!$A$12:$AI$213,MATCH(HLOOKUP('II. Sledování projektu'!$L$5,vstupy!$N$2:$BY$180,$B146+1,0),data!$B$12:$B$213,0),28)),"",INDEX(data!$A$12:$AI$213,MATCH(HLOOKUP('II. Sledování projektu'!$L$5,vstupy!$N$2:$BY$180,$B146+1,0),data!$B$12:$B$213,0),28))</f>
        <v>23994</v>
      </c>
      <c r="G146" s="53">
        <f t="shared" si="15"/>
        <v>3.2347826086956522E-2</v>
      </c>
      <c r="H146" s="53">
        <f>IF(ISERROR(INDEX(data!$A$12:$AI$213,MATCH(HLOOKUP('II. Sledování projektu'!$L$5,vstupy!$N$2:$BY$180,$B146+1,0),data!$B$12:$B$213,0),29)),"",INDEX(data!$A$12:$AI$213,MATCH(HLOOKUP('II. Sledování projektu'!$L$5,vstupy!$N$2:$BY$180,$B146+1,0),data!$B$12:$B$213,0),29))</f>
        <v>5.6599999999999998E-2</v>
      </c>
      <c r="I146" s="54">
        <f>IF(ISERROR(INDEX(data!$A$12:$AI$213,MATCH(HLOOKUP('II. Sledování projektu'!$L$5,vstupy!$N$2:$BY$180,$B146+1,0),data!$B$12:$B$213,0),31)),"",INDEX(data!$A$12:$AI$213,MATCH(HLOOKUP('II. Sledování projektu'!$L$5,vstupy!$N$2:$BY$180,$B146+1,0),data!$B$12:$B$213,0),31))</f>
        <v>42287.4</v>
      </c>
      <c r="J146" s="53">
        <f t="shared" si="16"/>
        <v>5.7010313447927202E-2</v>
      </c>
      <c r="K146" s="53">
        <f t="shared" si="18"/>
        <v>1.0072493542036609</v>
      </c>
      <c r="L146" s="54">
        <f>IF(ISERROR(INDEX(data!$A$12:$AI$213,MATCH(HLOOKUP('II. Sledování projektu'!$L$5,vstupy!$N$2:$BY$180,$B146+1,0),data!$B$12:$B$213,0),32)),"",INDEX(data!$A$12:$AI$213,MATCH(HLOOKUP('II. Sledování projektu'!$L$5,vstupy!$N$2:$BY$180,$B146+1,0),data!$B$12:$B$213,0),32))</f>
        <v>25463.16</v>
      </c>
      <c r="M146" s="53">
        <f t="shared" si="14"/>
        <v>0.375836893451508</v>
      </c>
      <c r="N146" s="54">
        <f>IF(ISERROR(VLOOKUP(C146,data!$C$12:$AD$213,28,0)),0,VLOOKUP(C146,data!$C$12:$AD$213,28,0))</f>
        <v>41983.049999999996</v>
      </c>
    </row>
    <row r="147" spans="2:14" x14ac:dyDescent="0.2">
      <c r="B147" s="19">
        <f t="shared" si="17"/>
        <v>142</v>
      </c>
      <c r="C147" s="19" t="str">
        <f>IF(ISERROR(INDEX(data!$A$12:$AI$213,MATCH(HLOOKUP('II. Sledování projektu'!$L$5,vstupy!$N$2:$BY$180,$B147+1,0),data!$B$12:$B$213,0),3)),"",INDEX(data!$A$12:$AI$213,MATCH(HLOOKUP('II. Sledování projektu'!$L$5,vstupy!$N$2:$BY$180,$B147+1,0),data!$B$12:$B$213,0),3))</f>
        <v>ZŠ O-Dubina, F.Formana</v>
      </c>
      <c r="D147" s="156">
        <f>IF(ISERROR(INDEX(data!$A$12:$AI$213,MATCH(HLOOKUP('II. Sledování projektu'!$L$5,vstupy!$N$2:$BY$180,$B147+1,0),data!$B$12:$B$213,0),35)),"",INDEX(data!$A$12:$AI$213,MATCH(HLOOKUP('II. Sledování projektu'!$L$5,vstupy!$N$2:$BY$180,$B147+1,0),data!$B$12:$B$213,0),35))</f>
        <v>63.157880434782612</v>
      </c>
      <c r="E147" s="49">
        <f>IF(ISERROR(INDEX(data!$A$12:$AI$213,MATCH(HLOOKUP('II. Sledování projektu'!$L$5,vstupy!$N$2:$BY$180,$B147+1,0),data!$B$12:$B$213,0),27)),"",INDEX(data!$A$12:$AI$213,MATCH(HLOOKUP('II. Sledování projektu'!$L$5,vstupy!$N$2:$BY$180,$B147+1,0),data!$B$12:$B$213,0),27))</f>
        <v>5382000</v>
      </c>
      <c r="F147" s="54">
        <f>IF(ISERROR(INDEX(data!$A$12:$AI$213,MATCH(HLOOKUP('II. Sledování projektu'!$L$5,vstupy!$N$2:$BY$180,$B147+1,0),data!$B$12:$B$213,0),28)),"",INDEX(data!$A$12:$AI$213,MATCH(HLOOKUP('II. Sledování projektu'!$L$5,vstupy!$N$2:$BY$180,$B147+1,0),data!$B$12:$B$213,0),28))</f>
        <v>339914.25</v>
      </c>
      <c r="G147" s="53">
        <f t="shared" si="15"/>
        <v>6.3157608695652179E-2</v>
      </c>
      <c r="H147" s="53">
        <f>IF(ISERROR(INDEX(data!$A$12:$AI$213,MATCH(HLOOKUP('II. Sledování projektu'!$L$5,vstupy!$N$2:$BY$180,$B147+1,0),data!$B$12:$B$213,0),29)),"",INDEX(data!$A$12:$AI$213,MATCH(HLOOKUP('II. Sledování projektu'!$L$5,vstupy!$N$2:$BY$180,$B147+1,0),data!$B$12:$B$213,0),29))</f>
        <v>0.20780000000000001</v>
      </c>
      <c r="I147" s="54">
        <f>IF(ISERROR(INDEX(data!$A$12:$AI$213,MATCH(HLOOKUP('II. Sledování projektu'!$L$5,vstupy!$N$2:$BY$180,$B147+1,0),data!$B$12:$B$213,0),31)),"",INDEX(data!$A$12:$AI$213,MATCH(HLOOKUP('II. Sledování projektu'!$L$5,vstupy!$N$2:$BY$180,$B147+1,0),data!$B$12:$B$213,0),31))</f>
        <v>1726531.23</v>
      </c>
      <c r="J147" s="53">
        <f t="shared" si="16"/>
        <v>0.32079732998885174</v>
      </c>
      <c r="K147" s="53">
        <f t="shared" si="18"/>
        <v>1.5437792588491419</v>
      </c>
      <c r="L147" s="54">
        <f>IF(ISERROR(INDEX(data!$A$12:$AI$213,MATCH(HLOOKUP('II. Sledování projektu'!$L$5,vstupy!$N$2:$BY$180,$B147+1,0),data!$B$12:$B$213,0),32)),"",INDEX(data!$A$12:$AI$213,MATCH(HLOOKUP('II. Sledování projektu'!$L$5,vstupy!$N$2:$BY$180,$B147+1,0),data!$B$12:$B$213,0),32))</f>
        <v>647524.36</v>
      </c>
      <c r="M147" s="53">
        <f t="shared" si="14"/>
        <v>0.27275029393898903</v>
      </c>
      <c r="N147" s="54">
        <f>IF(ISERROR(VLOOKUP(C147,data!$C$12:$AD$213,28,0)),0,VLOOKUP(C147,data!$C$12:$AD$213,28,0))</f>
        <v>1118379.6000000001</v>
      </c>
    </row>
    <row r="148" spans="2:14" x14ac:dyDescent="0.2">
      <c r="B148" s="19">
        <f t="shared" si="17"/>
        <v>143</v>
      </c>
      <c r="C148" s="19" t="str">
        <f>IF(ISERROR(INDEX(data!$A$12:$AI$213,MATCH(HLOOKUP('II. Sledování projektu'!$L$5,vstupy!$N$2:$BY$180,$B148+1,0),data!$B$12:$B$213,0),3)),"",INDEX(data!$A$12:$AI$213,MATCH(HLOOKUP('II. Sledování projektu'!$L$5,vstupy!$N$2:$BY$180,$B148+1,0),data!$B$12:$B$213,0),3))</f>
        <v>ZŠ O-Hrabová, Paskovská</v>
      </c>
      <c r="D148" s="156">
        <f>IF(ISERROR(INDEX(data!$A$12:$AI$213,MATCH(HLOOKUP('II. Sledování projektu'!$L$5,vstupy!$N$2:$BY$180,$B148+1,0),data!$B$12:$B$213,0),35)),"",INDEX(data!$A$12:$AI$213,MATCH(HLOOKUP('II. Sledování projektu'!$L$5,vstupy!$N$2:$BY$180,$B148+1,0),data!$B$12:$B$213,0),35))</f>
        <v>8.4051166471681231</v>
      </c>
      <c r="E148" s="49">
        <f>IF(ISERROR(INDEX(data!$A$12:$AI$213,MATCH(HLOOKUP('II. Sledování projektu'!$L$5,vstupy!$N$2:$BY$180,$B148+1,0),data!$B$12:$B$213,0),27)),"",INDEX(data!$A$12:$AI$213,MATCH(HLOOKUP('II. Sledování projektu'!$L$5,vstupy!$N$2:$BY$180,$B148+1,0),data!$B$12:$B$213,0),27))</f>
        <v>3564000</v>
      </c>
      <c r="F148" s="54">
        <f>IF(ISERROR(INDEX(data!$A$12:$AI$213,MATCH(HLOOKUP('II. Sledování projektu'!$L$5,vstupy!$N$2:$BY$180,$B148+1,0),data!$B$12:$B$213,0),28)),"",INDEX(data!$A$12:$AI$213,MATCH(HLOOKUP('II. Sledování projektu'!$L$5,vstupy!$N$2:$BY$180,$B148+1,0),data!$B$12:$B$213,0),28))</f>
        <v>0</v>
      </c>
      <c r="G148" s="53">
        <f t="shared" si="15"/>
        <v>0</v>
      </c>
      <c r="H148" s="53">
        <f>IF(ISERROR(INDEX(data!$A$12:$AI$213,MATCH(HLOOKUP('II. Sledování projektu'!$L$5,vstupy!$N$2:$BY$180,$B148+1,0),data!$B$12:$B$213,0),29)),"",INDEX(data!$A$12:$AI$213,MATCH(HLOOKUP('II. Sledování projektu'!$L$5,vstupy!$N$2:$BY$180,$B148+1,0),data!$B$12:$B$213,0),29))</f>
        <v>0.26419999999999999</v>
      </c>
      <c r="I148" s="54">
        <f>IF(ISERROR(INDEX(data!$A$12:$AI$213,MATCH(HLOOKUP('II. Sledování projektu'!$L$5,vstupy!$N$2:$BY$180,$B148+1,0),data!$B$12:$B$213,0),31)),"",INDEX(data!$A$12:$AI$213,MATCH(HLOOKUP('II. Sledování projektu'!$L$5,vstupy!$N$2:$BY$180,$B148+1,0),data!$B$12:$B$213,0),31))</f>
        <v>131905.53</v>
      </c>
      <c r="J148" s="53">
        <f t="shared" si="16"/>
        <v>3.7010530303030302E-2</v>
      </c>
      <c r="K148" s="53">
        <f t="shared" si="18"/>
        <v>0.14008527745280205</v>
      </c>
      <c r="L148" s="54">
        <f>IF(ISERROR(INDEX(data!$A$12:$AI$213,MATCH(HLOOKUP('II. Sledování projektu'!$L$5,vstupy!$N$2:$BY$180,$B148+1,0),data!$B$12:$B$213,0),32)),"",INDEX(data!$A$12:$AI$213,MATCH(HLOOKUP('II. Sledování projektu'!$L$5,vstupy!$N$2:$BY$180,$B148+1,0),data!$B$12:$B$213,0),32))</f>
        <v>96623.37</v>
      </c>
      <c r="M148" s="53">
        <f t="shared" si="14"/>
        <v>0.42280591207501544</v>
      </c>
      <c r="N148" s="54">
        <f>IF(ISERROR(VLOOKUP(C148,data!$C$12:$AD$213,28,0)),0,VLOOKUP(C148,data!$C$12:$AD$213,28,0))</f>
        <v>941608.79999999993</v>
      </c>
    </row>
    <row r="149" spans="2:14" x14ac:dyDescent="0.2">
      <c r="B149" s="19">
        <f t="shared" si="17"/>
        <v>144</v>
      </c>
      <c r="C149" s="19" t="str">
        <f>IF(ISERROR(INDEX(data!$A$12:$AI$213,MATCH(HLOOKUP('II. Sledování projektu'!$L$5,vstupy!$N$2:$BY$180,$B149+1,0),data!$B$12:$B$213,0),3)),"",INDEX(data!$A$12:$AI$213,MATCH(HLOOKUP('II. Sledování projektu'!$L$5,vstupy!$N$2:$BY$180,$B149+1,0),data!$B$12:$B$213,0),3))</f>
        <v>ZŠ O-Hrabůvka, Klegova 27</v>
      </c>
      <c r="D149" s="156">
        <f>IF(ISERROR(INDEX(data!$A$12:$AI$213,MATCH(HLOOKUP('II. Sledování projektu'!$L$5,vstupy!$N$2:$BY$180,$B149+1,0),data!$B$12:$B$213,0),35)),"",INDEX(data!$A$12:$AI$213,MATCH(HLOOKUP('II. Sledování projektu'!$L$5,vstupy!$N$2:$BY$180,$B149+1,0),data!$B$12:$B$213,0),35))</f>
        <v>19.061122816860351</v>
      </c>
      <c r="E149" s="49">
        <f>IF(ISERROR(INDEX(data!$A$12:$AI$213,MATCH(HLOOKUP('II. Sledování projektu'!$L$5,vstupy!$N$2:$BY$180,$B149+1,0),data!$B$12:$B$213,0),27)),"",INDEX(data!$A$12:$AI$213,MATCH(HLOOKUP('II. Sledování projektu'!$L$5,vstupy!$N$2:$BY$180,$B149+1,0),data!$B$12:$B$213,0),27))</f>
        <v>2122377.75</v>
      </c>
      <c r="F149" s="54">
        <f>IF(ISERROR(INDEX(data!$A$12:$AI$213,MATCH(HLOOKUP('II. Sledování projektu'!$L$5,vstupy!$N$2:$BY$180,$B149+1,0),data!$B$12:$B$213,0),28)),"",INDEX(data!$A$12:$AI$213,MATCH(HLOOKUP('II. Sledování projektu'!$L$5,vstupy!$N$2:$BY$180,$B149+1,0),data!$B$12:$B$213,0),28))</f>
        <v>8992.32</v>
      </c>
      <c r="G149" s="53">
        <f t="shared" si="15"/>
        <v>4.2369083448976037E-3</v>
      </c>
      <c r="H149" s="53">
        <f>IF(ISERROR(INDEX(data!$A$12:$AI$213,MATCH(HLOOKUP('II. Sledování projektu'!$L$5,vstupy!$N$2:$BY$180,$B149+1,0),data!$B$12:$B$213,0),29)),"",INDEX(data!$A$12:$AI$213,MATCH(HLOOKUP('II. Sledování projektu'!$L$5,vstupy!$N$2:$BY$180,$B149+1,0),data!$B$12:$B$213,0),29))</f>
        <v>6.9000000000000006E-2</v>
      </c>
      <c r="I149" s="54">
        <f>IF(ISERROR(INDEX(data!$A$12:$AI$213,MATCH(HLOOKUP('II. Sledování projektu'!$L$5,vstupy!$N$2:$BY$180,$B149+1,0),data!$B$12:$B$213,0),31)),"",INDEX(data!$A$12:$AI$213,MATCH(HLOOKUP('II. Sledování projektu'!$L$5,vstupy!$N$2:$BY$180,$B149+1,0),data!$B$12:$B$213,0),31))</f>
        <v>46006.080000000002</v>
      </c>
      <c r="J149" s="53">
        <f t="shared" si="16"/>
        <v>2.1676669009557795E-2</v>
      </c>
      <c r="K149" s="53">
        <f t="shared" si="18"/>
        <v>0.31415462332692451</v>
      </c>
      <c r="L149" s="54">
        <f>IF(ISERROR(INDEX(data!$A$12:$AI$213,MATCH(HLOOKUP('II. Sledování projektu'!$L$5,vstupy!$N$2:$BY$180,$B149+1,0),data!$B$12:$B$213,0),32)),"",INDEX(data!$A$12:$AI$213,MATCH(HLOOKUP('II. Sledování projektu'!$L$5,vstupy!$N$2:$BY$180,$B149+1,0),data!$B$12:$B$213,0),32))</f>
        <v>79927.240000000005</v>
      </c>
      <c r="M149" s="53">
        <f t="shared" si="14"/>
        <v>0.63467905078655906</v>
      </c>
      <c r="N149" s="54">
        <f>IF(ISERROR(VLOOKUP(C149,data!$C$12:$AD$213,28,0)),0,VLOOKUP(C149,data!$C$12:$AD$213,28,0))</f>
        <v>146444.06475000002</v>
      </c>
    </row>
    <row r="150" spans="2:14" x14ac:dyDescent="0.2">
      <c r="B150" s="19">
        <f t="shared" si="17"/>
        <v>145</v>
      </c>
      <c r="C150" s="19" t="str">
        <f>IF(ISERROR(INDEX(data!$A$12:$AI$213,MATCH(HLOOKUP('II. Sledování projektu'!$L$5,vstupy!$N$2:$BY$180,$B150+1,0),data!$B$12:$B$213,0),3)),"",INDEX(data!$A$12:$AI$213,MATCH(HLOOKUP('II. Sledování projektu'!$L$5,vstupy!$N$2:$BY$180,$B150+1,0),data!$B$12:$B$213,0),3))</f>
        <v>ZŠ O-Hrabůvka, Provaznická</v>
      </c>
      <c r="D150" s="156">
        <f>IF(ISERROR(INDEX(data!$A$12:$AI$213,MATCH(HLOOKUP('II. Sledování projektu'!$L$5,vstupy!$N$2:$BY$180,$B150+1,0),data!$B$12:$B$213,0),35)),"",INDEX(data!$A$12:$AI$213,MATCH(HLOOKUP('II. Sledování projektu'!$L$5,vstupy!$N$2:$BY$180,$B150+1,0),data!$B$12:$B$213,0),35))</f>
        <v>45.629835329305863</v>
      </c>
      <c r="E150" s="49">
        <f>IF(ISERROR(INDEX(data!$A$12:$AI$213,MATCH(HLOOKUP('II. Sledování projektu'!$L$5,vstupy!$N$2:$BY$180,$B150+1,0),data!$B$12:$B$213,0),27)),"",INDEX(data!$A$12:$AI$213,MATCH(HLOOKUP('II. Sledování projektu'!$L$5,vstupy!$N$2:$BY$180,$B150+1,0),data!$B$12:$B$213,0),27))</f>
        <v>2984529</v>
      </c>
      <c r="F150" s="54">
        <f>IF(ISERROR(INDEX(data!$A$12:$AI$213,MATCH(HLOOKUP('II. Sledování projektu'!$L$5,vstupy!$N$2:$BY$180,$B150+1,0),data!$B$12:$B$213,0),28)),"",INDEX(data!$A$12:$AI$213,MATCH(HLOOKUP('II. Sledování projektu'!$L$5,vstupy!$N$2:$BY$180,$B150+1,0),data!$B$12:$B$213,0),28))</f>
        <v>727408.93</v>
      </c>
      <c r="G150" s="53">
        <f t="shared" si="15"/>
        <v>0.24372654110581604</v>
      </c>
      <c r="H150" s="53">
        <f>IF(ISERROR(INDEX(data!$A$12:$AI$213,MATCH(HLOOKUP('II. Sledování projektu'!$L$5,vstupy!$N$2:$BY$180,$B150+1,0),data!$B$12:$B$213,0),29)),"",INDEX(data!$A$12:$AI$213,MATCH(HLOOKUP('II. Sledování projektu'!$L$5,vstupy!$N$2:$BY$180,$B150+1,0),data!$B$12:$B$213,0),29))</f>
        <v>0.15709999999999999</v>
      </c>
      <c r="I150" s="54">
        <f>IF(ISERROR(INDEX(data!$A$12:$AI$213,MATCH(HLOOKUP('II. Sledování projektu'!$L$5,vstupy!$N$2:$BY$180,$B150+1,0),data!$B$12:$B$213,0),31)),"",INDEX(data!$A$12:$AI$213,MATCH(HLOOKUP('II. Sledování projektu'!$L$5,vstupy!$N$2:$BY$180,$B150+1,0),data!$B$12:$B$213,0),31))</f>
        <v>261344.02000000002</v>
      </c>
      <c r="J150" s="53">
        <f t="shared" si="16"/>
        <v>8.7566252497462749E-2</v>
      </c>
      <c r="K150" s="53">
        <f t="shared" si="18"/>
        <v>0.55739180456691761</v>
      </c>
      <c r="L150" s="54">
        <f>IF(ISERROR(INDEX(data!$A$12:$AI$213,MATCH(HLOOKUP('II. Sledování projektu'!$L$5,vstupy!$N$2:$BY$180,$B150+1,0),data!$B$12:$B$213,0),32)),"",INDEX(data!$A$12:$AI$213,MATCH(HLOOKUP('II. Sledování projektu'!$L$5,vstupy!$N$2:$BY$180,$B150+1,0),data!$B$12:$B$213,0),32))</f>
        <v>68611.25</v>
      </c>
      <c r="M150" s="53">
        <f t="shared" si="14"/>
        <v>0.20794106425395176</v>
      </c>
      <c r="N150" s="54">
        <f>IF(ISERROR(VLOOKUP(C150,data!$C$12:$AD$213,28,0)),0,VLOOKUP(C150,data!$C$12:$AD$213,28,0))</f>
        <v>468869.50589999999</v>
      </c>
    </row>
    <row r="151" spans="2:14" x14ac:dyDescent="0.2">
      <c r="B151" s="19">
        <f t="shared" si="17"/>
        <v>146</v>
      </c>
      <c r="C151" s="19" t="str">
        <f>IF(ISERROR(INDEX(data!$A$12:$AI$213,MATCH(HLOOKUP('II. Sledování projektu'!$L$5,vstupy!$N$2:$BY$180,$B151+1,0),data!$B$12:$B$213,0),3)),"",INDEX(data!$A$12:$AI$213,MATCH(HLOOKUP('II. Sledování projektu'!$L$5,vstupy!$N$2:$BY$180,$B151+1,0),data!$B$12:$B$213,0),3))</f>
        <v>ZŠ O-Mar.Hory, Gen.Janka</v>
      </c>
      <c r="D151" s="156">
        <f>IF(ISERROR(INDEX(data!$A$12:$AI$213,MATCH(HLOOKUP('II. Sledování projektu'!$L$5,vstupy!$N$2:$BY$180,$B151+1,0),data!$B$12:$B$213,0),35)),"",INDEX(data!$A$12:$AI$213,MATCH(HLOOKUP('II. Sledování projektu'!$L$5,vstupy!$N$2:$BY$180,$B151+1,0),data!$B$12:$B$213,0),35))</f>
        <v>44.206626117458867</v>
      </c>
      <c r="E151" s="49">
        <f>IF(ISERROR(INDEX(data!$A$12:$AI$213,MATCH(HLOOKUP('II. Sledování projektu'!$L$5,vstupy!$N$2:$BY$180,$B151+1,0),data!$B$12:$B$213,0),27)),"",INDEX(data!$A$12:$AI$213,MATCH(HLOOKUP('II. Sledování projektu'!$L$5,vstupy!$N$2:$BY$180,$B151+1,0),data!$B$12:$B$213,0),27))</f>
        <v>3658006.4250000007</v>
      </c>
      <c r="F151" s="54">
        <f>IF(ISERROR(INDEX(data!$A$12:$AI$213,MATCH(HLOOKUP('II. Sledování projektu'!$L$5,vstupy!$N$2:$BY$180,$B151+1,0),data!$B$12:$B$213,0),28)),"",INDEX(data!$A$12:$AI$213,MATCH(HLOOKUP('II. Sledování projektu'!$L$5,vstupy!$N$2:$BY$180,$B151+1,0),data!$B$12:$B$213,0),28))</f>
        <v>509524.53</v>
      </c>
      <c r="G151" s="53">
        <f t="shared" si="15"/>
        <v>0.13929022281583334</v>
      </c>
      <c r="H151" s="53">
        <f>IF(ISERROR(INDEX(data!$A$12:$AI$213,MATCH(HLOOKUP('II. Sledování projektu'!$L$5,vstupy!$N$2:$BY$180,$B151+1,0),data!$B$12:$B$213,0),29)),"",INDEX(data!$A$12:$AI$213,MATCH(HLOOKUP('II. Sledování projektu'!$L$5,vstupy!$N$2:$BY$180,$B151+1,0),data!$B$12:$B$213,0),29))</f>
        <v>0.19589999999999999</v>
      </c>
      <c r="I151" s="54">
        <f>IF(ISERROR(INDEX(data!$A$12:$AI$213,MATCH(HLOOKUP('II. Sledování projektu'!$L$5,vstupy!$N$2:$BY$180,$B151+1,0),data!$B$12:$B$213,0),31)),"",INDEX(data!$A$12:$AI$213,MATCH(HLOOKUP('II. Sledování projektu'!$L$5,vstupy!$N$2:$BY$180,$B151+1,0),data!$B$12:$B$213,0),31))</f>
        <v>444797.14</v>
      </c>
      <c r="J151" s="53">
        <f t="shared" si="16"/>
        <v>0.1215955053988184</v>
      </c>
      <c r="K151" s="53">
        <f t="shared" si="18"/>
        <v>0.6207019162777867</v>
      </c>
      <c r="L151" s="54">
        <f>IF(ISERROR(INDEX(data!$A$12:$AI$213,MATCH(HLOOKUP('II. Sledování projektu'!$L$5,vstupy!$N$2:$BY$180,$B151+1,0),data!$B$12:$B$213,0),32)),"",INDEX(data!$A$12:$AI$213,MATCH(HLOOKUP('II. Sledování projektu'!$L$5,vstupy!$N$2:$BY$180,$B151+1,0),data!$B$12:$B$213,0),32))</f>
        <v>95473.03</v>
      </c>
      <c r="M151" s="53">
        <f t="shared" si="14"/>
        <v>0.17671349502786723</v>
      </c>
      <c r="N151" s="54">
        <f>IF(ISERROR(VLOOKUP(C151,data!$C$12:$AD$213,28,0)),0,VLOOKUP(C151,data!$C$12:$AD$213,28,0))</f>
        <v>716603.4586575001</v>
      </c>
    </row>
    <row r="152" spans="2:14" x14ac:dyDescent="0.2">
      <c r="B152" s="19">
        <f t="shared" si="17"/>
        <v>147</v>
      </c>
      <c r="C152" s="19" t="str">
        <f>IF(ISERROR(INDEX(data!$A$12:$AI$213,MATCH(HLOOKUP('II. Sledování projektu'!$L$5,vstupy!$N$2:$BY$180,$B152+1,0),data!$B$12:$B$213,0),3)),"",INDEX(data!$A$12:$AI$213,MATCH(HLOOKUP('II. Sledování projektu'!$L$5,vstupy!$N$2:$BY$180,$B152+1,0),data!$B$12:$B$213,0),3))</f>
        <v>ZŠ O-Michálkovice</v>
      </c>
      <c r="D152" s="156">
        <f>IF(ISERROR(INDEX(data!$A$12:$AI$213,MATCH(HLOOKUP('II. Sledování projektu'!$L$5,vstupy!$N$2:$BY$180,$B152+1,0),data!$B$12:$B$213,0),35)),"",INDEX(data!$A$12:$AI$213,MATCH(HLOOKUP('II. Sledování projektu'!$L$5,vstupy!$N$2:$BY$180,$B152+1,0),data!$B$12:$B$213,0),35))</f>
        <v>29.795377351834375</v>
      </c>
      <c r="E152" s="49">
        <f>IF(ISERROR(INDEX(data!$A$12:$AI$213,MATCH(HLOOKUP('II. Sledování projektu'!$L$5,vstupy!$N$2:$BY$180,$B152+1,0),data!$B$12:$B$213,0),27)),"",INDEX(data!$A$12:$AI$213,MATCH(HLOOKUP('II. Sledování projektu'!$L$5,vstupy!$N$2:$BY$180,$B152+1,0),data!$B$12:$B$213,0),27))</f>
        <v>2646375</v>
      </c>
      <c r="F152" s="54">
        <f>IF(ISERROR(INDEX(data!$A$12:$AI$213,MATCH(HLOOKUP('II. Sledování projektu'!$L$5,vstupy!$N$2:$BY$180,$B152+1,0),data!$B$12:$B$213,0),28)),"",INDEX(data!$A$12:$AI$213,MATCH(HLOOKUP('II. Sledování projektu'!$L$5,vstupy!$N$2:$BY$180,$B152+1,0),data!$B$12:$B$213,0),28))</f>
        <v>0</v>
      </c>
      <c r="G152" s="53">
        <f t="shared" si="15"/>
        <v>0</v>
      </c>
      <c r="H152" s="53">
        <f>IF(ISERROR(INDEX(data!$A$12:$AI$213,MATCH(HLOOKUP('II. Sledování projektu'!$L$5,vstupy!$N$2:$BY$180,$B152+1,0),data!$B$12:$B$213,0),29)),"",INDEX(data!$A$12:$AI$213,MATCH(HLOOKUP('II. Sledování projektu'!$L$5,vstupy!$N$2:$BY$180,$B152+1,0),data!$B$12:$B$213,0),29))</f>
        <v>0.26329999999999998</v>
      </c>
      <c r="I152" s="54">
        <f>IF(ISERROR(INDEX(data!$A$12:$AI$213,MATCH(HLOOKUP('II. Sledování projektu'!$L$5,vstupy!$N$2:$BY$180,$B152+1,0),data!$B$12:$B$213,0),31)),"",INDEX(data!$A$12:$AI$213,MATCH(HLOOKUP('II. Sledování projektu'!$L$5,vstupy!$N$2:$BY$180,$B152+1,0),data!$B$12:$B$213,0),31))</f>
        <v>346018.95</v>
      </c>
      <c r="J152" s="53">
        <f t="shared" si="16"/>
        <v>0.13075204761229986</v>
      </c>
      <c r="K152" s="53">
        <f t="shared" si="18"/>
        <v>0.49658962253057293</v>
      </c>
      <c r="L152" s="54">
        <f>IF(ISERROR(INDEX(data!$A$12:$AI$213,MATCH(HLOOKUP('II. Sledování projektu'!$L$5,vstupy!$N$2:$BY$180,$B152+1,0),data!$B$12:$B$213,0),32)),"",INDEX(data!$A$12:$AI$213,MATCH(HLOOKUP('II. Sledování projektu'!$L$5,vstupy!$N$2:$BY$180,$B152+1,0),data!$B$12:$B$213,0),32))</f>
        <v>253214.55</v>
      </c>
      <c r="M152" s="53">
        <f t="shared" si="14"/>
        <v>0.42256407560658737</v>
      </c>
      <c r="N152" s="54">
        <f>IF(ISERROR(VLOOKUP(C152,data!$C$12:$AD$213,28,0)),0,VLOOKUP(C152,data!$C$12:$AD$213,28,0))</f>
        <v>696790.53749999998</v>
      </c>
    </row>
    <row r="153" spans="2:14" x14ac:dyDescent="0.2">
      <c r="B153" s="19">
        <f t="shared" si="17"/>
        <v>148</v>
      </c>
      <c r="C153" s="19" t="str">
        <f>IF(ISERROR(INDEX(data!$A$12:$AI$213,MATCH(HLOOKUP('II. Sledování projektu'!$L$5,vstupy!$N$2:$BY$180,$B153+1,0),data!$B$12:$B$213,0),3)),"",INDEX(data!$A$12:$AI$213,MATCH(HLOOKUP('II. Sledování projektu'!$L$5,vstupy!$N$2:$BY$180,$B153+1,0),data!$B$12:$B$213,0),3))</f>
        <v>ZŠ O-Muglinov</v>
      </c>
      <c r="D153" s="156">
        <f>IF(ISERROR(INDEX(data!$A$12:$AI$213,MATCH(HLOOKUP('II. Sledování projektu'!$L$5,vstupy!$N$2:$BY$180,$B153+1,0),data!$B$12:$B$213,0),35)),"",INDEX(data!$A$12:$AI$213,MATCH(HLOOKUP('II. Sledování projektu'!$L$5,vstupy!$N$2:$BY$180,$B153+1,0),data!$B$12:$B$213,0),35))</f>
        <v>60.069015015015012</v>
      </c>
      <c r="E153" s="49">
        <f>IF(ISERROR(INDEX(data!$A$12:$AI$213,MATCH(HLOOKUP('II. Sledování projektu'!$L$5,vstupy!$N$2:$BY$180,$B153+1,0),data!$B$12:$B$213,0),27)),"",INDEX(data!$A$12:$AI$213,MATCH(HLOOKUP('II. Sledování projektu'!$L$5,vstupy!$N$2:$BY$180,$B153+1,0),data!$B$12:$B$213,0),27))</f>
        <v>1248750</v>
      </c>
      <c r="F153" s="54">
        <f>IF(ISERROR(INDEX(data!$A$12:$AI$213,MATCH(HLOOKUP('II. Sledování projektu'!$L$5,vstupy!$N$2:$BY$180,$B153+1,0),data!$B$12:$B$213,0),28)),"",INDEX(data!$A$12:$AI$213,MATCH(HLOOKUP('II. Sledování projektu'!$L$5,vstupy!$N$2:$BY$180,$B153+1,0),data!$B$12:$B$213,0),28))</f>
        <v>1723.65</v>
      </c>
      <c r="G153" s="53">
        <f t="shared" si="15"/>
        <v>1.3803003003003004E-3</v>
      </c>
      <c r="H153" s="53">
        <f>IF(ISERROR(INDEX(data!$A$12:$AI$213,MATCH(HLOOKUP('II. Sledování projektu'!$L$5,vstupy!$N$2:$BY$180,$B153+1,0),data!$B$12:$B$213,0),29)),"",INDEX(data!$A$12:$AI$213,MATCH(HLOOKUP('II. Sledování projektu'!$L$5,vstupy!$N$2:$BY$180,$B153+1,0),data!$B$12:$B$213,0),29))</f>
        <v>0.21249999999999999</v>
      </c>
      <c r="I153" s="54">
        <f>IF(ISERROR(INDEX(data!$A$12:$AI$213,MATCH(HLOOKUP('II. Sledování projektu'!$L$5,vstupy!$N$2:$BY$180,$B153+1,0),data!$B$12:$B$213,0),31)),"",INDEX(data!$A$12:$AI$213,MATCH(HLOOKUP('II. Sledování projektu'!$L$5,vstupy!$N$2:$BY$180,$B153+1,0),data!$B$12:$B$213,0),31))</f>
        <v>275108.10000000003</v>
      </c>
      <c r="J153" s="53">
        <f t="shared" si="16"/>
        <v>0.22030678678678681</v>
      </c>
      <c r="K153" s="53">
        <f t="shared" si="18"/>
        <v>1.0367378201731143</v>
      </c>
      <c r="L153" s="54">
        <f>IF(ISERROR(INDEX(data!$A$12:$AI$213,MATCH(HLOOKUP('II. Sledování projektu'!$L$5,vstupy!$N$2:$BY$180,$B153+1,0),data!$B$12:$B$213,0),32)),"",INDEX(data!$A$12:$AI$213,MATCH(HLOOKUP('II. Sledování projektu'!$L$5,vstupy!$N$2:$BY$180,$B153+1,0),data!$B$12:$B$213,0),32))</f>
        <v>194122.84</v>
      </c>
      <c r="M153" s="53">
        <f t="shared" si="14"/>
        <v>0.4137042625535306</v>
      </c>
      <c r="N153" s="54">
        <f>IF(ISERROR(VLOOKUP(C153,data!$C$12:$AD$213,28,0)),0,VLOOKUP(C153,data!$C$12:$AD$213,28,0))</f>
        <v>265359.375</v>
      </c>
    </row>
    <row r="154" spans="2:14" x14ac:dyDescent="0.2">
      <c r="B154" s="19">
        <f t="shared" si="17"/>
        <v>149</v>
      </c>
      <c r="C154" s="19" t="str">
        <f>IF(ISERROR(INDEX(data!$A$12:$AI$213,MATCH(HLOOKUP('II. Sledování projektu'!$L$5,vstupy!$N$2:$BY$180,$B154+1,0),data!$B$12:$B$213,0),3)),"",INDEX(data!$A$12:$AI$213,MATCH(HLOOKUP('II. Sledování projektu'!$L$5,vstupy!$N$2:$BY$180,$B154+1,0),data!$B$12:$B$213,0),3))</f>
        <v>ZŠ O-Nová Bělá</v>
      </c>
      <c r="D154" s="156">
        <f>IF(ISERROR(INDEX(data!$A$12:$AI$213,MATCH(HLOOKUP('II. Sledování projektu'!$L$5,vstupy!$N$2:$BY$180,$B154+1,0),data!$B$12:$B$213,0),35)),"",INDEX(data!$A$12:$AI$213,MATCH(HLOOKUP('II. Sledování projektu'!$L$5,vstupy!$N$2:$BY$180,$B154+1,0),data!$B$12:$B$213,0),35))</f>
        <v>21.627577924018667</v>
      </c>
      <c r="E154" s="49">
        <f>IF(ISERROR(INDEX(data!$A$12:$AI$213,MATCH(HLOOKUP('II. Sledování projektu'!$L$5,vstupy!$N$2:$BY$180,$B154+1,0),data!$B$12:$B$213,0),27)),"",INDEX(data!$A$12:$AI$213,MATCH(HLOOKUP('II. Sledování projektu'!$L$5,vstupy!$N$2:$BY$180,$B154+1,0),data!$B$12:$B$213,0),27))</f>
        <v>1334434.26</v>
      </c>
      <c r="F154" s="54">
        <f>IF(ISERROR(INDEX(data!$A$12:$AI$213,MATCH(HLOOKUP('II. Sledování projektu'!$L$5,vstupy!$N$2:$BY$180,$B154+1,0),data!$B$12:$B$213,0),28)),"",INDEX(data!$A$12:$AI$213,MATCH(HLOOKUP('II. Sledování projektu'!$L$5,vstupy!$N$2:$BY$180,$B154+1,0),data!$B$12:$B$213,0),28))</f>
        <v>150195.52000000002</v>
      </c>
      <c r="G154" s="53">
        <f t="shared" si="15"/>
        <v>0.11255370496857599</v>
      </c>
      <c r="H154" s="53">
        <f>IF(ISERROR(INDEX(data!$A$12:$AI$213,MATCH(HLOOKUP('II. Sledování projektu'!$L$5,vstupy!$N$2:$BY$180,$B154+1,0),data!$B$12:$B$213,0),29)),"",INDEX(data!$A$12:$AI$213,MATCH(HLOOKUP('II. Sledování projektu'!$L$5,vstupy!$N$2:$BY$180,$B154+1,0),data!$B$12:$B$213,0),29))</f>
        <v>0.33989999999999998</v>
      </c>
      <c r="I154" s="54">
        <f>IF(ISERROR(INDEX(data!$A$12:$AI$213,MATCH(HLOOKUP('II. Sledování projektu'!$L$5,vstupy!$N$2:$BY$180,$B154+1,0),data!$B$12:$B$213,0),31)),"",INDEX(data!$A$12:$AI$213,MATCH(HLOOKUP('II. Sledování projektu'!$L$5,vstupy!$N$2:$BY$180,$B154+1,0),data!$B$12:$B$213,0),31))</f>
        <v>120952.31</v>
      </c>
      <c r="J154" s="53">
        <f t="shared" si="16"/>
        <v>9.0639392007216601E-2</v>
      </c>
      <c r="K154" s="53">
        <f t="shared" si="18"/>
        <v>0.26666487792649779</v>
      </c>
      <c r="L154" s="54">
        <f>IF(ISERROR(INDEX(data!$A$12:$AI$213,MATCH(HLOOKUP('II. Sledování projektu'!$L$5,vstupy!$N$2:$BY$180,$B154+1,0),data!$B$12:$B$213,0),32)),"",INDEX(data!$A$12:$AI$213,MATCH(HLOOKUP('II. Sledování projektu'!$L$5,vstupy!$N$2:$BY$180,$B154+1,0),data!$B$12:$B$213,0),32))</f>
        <v>82258.849999999991</v>
      </c>
      <c r="M154" s="53">
        <f t="shared" si="14"/>
        <v>0.40479494334858379</v>
      </c>
      <c r="N154" s="54">
        <f>IF(ISERROR(VLOOKUP(C154,data!$C$12:$AD$213,28,0)),0,VLOOKUP(C154,data!$C$12:$AD$213,28,0))</f>
        <v>453574.20497399999</v>
      </c>
    </row>
    <row r="155" spans="2:14" x14ac:dyDescent="0.2">
      <c r="B155" s="19">
        <f t="shared" si="17"/>
        <v>150</v>
      </c>
      <c r="C155" s="19" t="str">
        <f>IF(ISERROR(INDEX(data!$A$12:$AI$213,MATCH(HLOOKUP('II. Sledování projektu'!$L$5,vstupy!$N$2:$BY$180,$B155+1,0),data!$B$12:$B$213,0),3)),"",INDEX(data!$A$12:$AI$213,MATCH(HLOOKUP('II. Sledování projektu'!$L$5,vstupy!$N$2:$BY$180,$B155+1,0),data!$B$12:$B$213,0),3))</f>
        <v>ZŠ O-Petřkovice</v>
      </c>
      <c r="D155" s="156">
        <f>IF(ISERROR(INDEX(data!$A$12:$AI$213,MATCH(HLOOKUP('II. Sledování projektu'!$L$5,vstupy!$N$2:$BY$180,$B155+1,0),data!$B$12:$B$213,0),35)),"",INDEX(data!$A$12:$AI$213,MATCH(HLOOKUP('II. Sledování projektu'!$L$5,vstupy!$N$2:$BY$180,$B155+1,0),data!$B$12:$B$213,0),35))</f>
        <v>55.55857870241833</v>
      </c>
      <c r="E155" s="49">
        <f>IF(ISERROR(INDEX(data!$A$12:$AI$213,MATCH(HLOOKUP('II. Sledování projektu'!$L$5,vstupy!$N$2:$BY$180,$B155+1,0),data!$B$12:$B$213,0),27)),"",INDEX(data!$A$12:$AI$213,MATCH(HLOOKUP('II. Sledování projektu'!$L$5,vstupy!$N$2:$BY$180,$B155+1,0),data!$B$12:$B$213,0),27))</f>
        <v>2501250</v>
      </c>
      <c r="F155" s="54">
        <f>IF(ISERROR(INDEX(data!$A$12:$AI$213,MATCH(HLOOKUP('II. Sledování projektu'!$L$5,vstupy!$N$2:$BY$180,$B155+1,0),data!$B$12:$B$213,0),28)),"",INDEX(data!$A$12:$AI$213,MATCH(HLOOKUP('II. Sledování projektu'!$L$5,vstupy!$N$2:$BY$180,$B155+1,0),data!$B$12:$B$213,0),28))</f>
        <v>326397.2</v>
      </c>
      <c r="G155" s="53">
        <f t="shared" si="15"/>
        <v>0.13049363318340831</v>
      </c>
      <c r="H155" s="53">
        <f>IF(ISERROR(INDEX(data!$A$12:$AI$213,MATCH(HLOOKUP('II. Sledování projektu'!$L$5,vstupy!$N$2:$BY$180,$B155+1,0),data!$B$12:$B$213,0),29)),"",INDEX(data!$A$12:$AI$213,MATCH(HLOOKUP('II. Sledování projektu'!$L$5,vstupy!$N$2:$BY$180,$B155+1,0),data!$B$12:$B$213,0),29))</f>
        <v>0.29160000000000003</v>
      </c>
      <c r="I155" s="54">
        <f>IF(ISERROR(INDEX(data!$A$12:$AI$213,MATCH(HLOOKUP('II. Sledování projektu'!$L$5,vstupy!$N$2:$BY$180,$B155+1,0),data!$B$12:$B$213,0),31)),"",INDEX(data!$A$12:$AI$213,MATCH(HLOOKUP('II. Sledování projektu'!$L$5,vstupy!$N$2:$BY$180,$B155+1,0),data!$B$12:$B$213,0),31))</f>
        <v>596059.73</v>
      </c>
      <c r="J155" s="53">
        <f t="shared" si="16"/>
        <v>0.23830473963018489</v>
      </c>
      <c r="K155" s="53">
        <f t="shared" si="18"/>
        <v>0.81723161738746519</v>
      </c>
      <c r="L155" s="54">
        <f>IF(ISERROR(INDEX(data!$A$12:$AI$213,MATCH(HLOOKUP('II. Sledování projektu'!$L$5,vstupy!$N$2:$BY$180,$B155+1,0),data!$B$12:$B$213,0),32)),"",INDEX(data!$A$12:$AI$213,MATCH(HLOOKUP('II. Sledování projektu'!$L$5,vstupy!$N$2:$BY$180,$B155+1,0),data!$B$12:$B$213,0),32))</f>
        <v>263794.46000000002</v>
      </c>
      <c r="M155" s="53">
        <f t="shared" si="14"/>
        <v>0.30678975931954233</v>
      </c>
      <c r="N155" s="54">
        <f>IF(ISERROR(VLOOKUP(C155,data!$C$12:$AD$213,28,0)),0,VLOOKUP(C155,data!$C$12:$AD$213,28,0))</f>
        <v>729364.50000000012</v>
      </c>
    </row>
    <row r="156" spans="2:14" x14ac:dyDescent="0.2">
      <c r="B156" s="19">
        <f t="shared" si="17"/>
        <v>151</v>
      </c>
      <c r="C156" s="19" t="str">
        <f>IF(ISERROR(INDEX(data!$A$12:$AI$213,MATCH(HLOOKUP('II. Sledování projektu'!$L$5,vstupy!$N$2:$BY$180,$B156+1,0),data!$B$12:$B$213,0),3)),"",INDEX(data!$A$12:$AI$213,MATCH(HLOOKUP('II. Sledování projektu'!$L$5,vstupy!$N$2:$BY$180,$B156+1,0),data!$B$12:$B$213,0),3))</f>
        <v>ZŠ O-Polanka n/O</v>
      </c>
      <c r="D156" s="156">
        <f>IF(ISERROR(INDEX(data!$A$12:$AI$213,MATCH(HLOOKUP('II. Sledování projektu'!$L$5,vstupy!$N$2:$BY$180,$B156+1,0),data!$B$12:$B$213,0),35)),"",INDEX(data!$A$12:$AI$213,MATCH(HLOOKUP('II. Sledování projektu'!$L$5,vstupy!$N$2:$BY$180,$B156+1,0),data!$B$12:$B$213,0),35))</f>
        <v>3.5967353765618841</v>
      </c>
      <c r="E156" s="49">
        <f>IF(ISERROR(INDEX(data!$A$12:$AI$213,MATCH(HLOOKUP('II. Sledování projektu'!$L$5,vstupy!$N$2:$BY$180,$B156+1,0),data!$B$12:$B$213,0),27)),"",INDEX(data!$A$12:$AI$213,MATCH(HLOOKUP('II. Sledování projektu'!$L$5,vstupy!$N$2:$BY$180,$B156+1,0),data!$B$12:$B$213,0),27))</f>
        <v>4029000</v>
      </c>
      <c r="F156" s="54">
        <f>IF(ISERROR(INDEX(data!$A$12:$AI$213,MATCH(HLOOKUP('II. Sledování projektu'!$L$5,vstupy!$N$2:$BY$180,$B156+1,0),data!$B$12:$B$213,0),28)),"",INDEX(data!$A$12:$AI$213,MATCH(HLOOKUP('II. Sledování projektu'!$L$5,vstupy!$N$2:$BY$180,$B156+1,0),data!$B$12:$B$213,0),28))</f>
        <v>1146.58</v>
      </c>
      <c r="G156" s="53">
        <f t="shared" si="15"/>
        <v>2.8458178207992058E-4</v>
      </c>
      <c r="H156" s="53">
        <f>IF(ISERROR(INDEX(data!$A$12:$AI$213,MATCH(HLOOKUP('II. Sledování projektu'!$L$5,vstupy!$N$2:$BY$180,$B156+1,0),data!$B$12:$B$213,0),29)),"",INDEX(data!$A$12:$AI$213,MATCH(HLOOKUP('II. Sledování projektu'!$L$5,vstupy!$N$2:$BY$180,$B156+1,0),data!$B$12:$B$213,0),29))</f>
        <v>0.2288</v>
      </c>
      <c r="I156" s="54">
        <f>IF(ISERROR(INDEX(data!$A$12:$AI$213,MATCH(HLOOKUP('II. Sledování projektu'!$L$5,vstupy!$N$2:$BY$180,$B156+1,0),data!$B$12:$B$213,0),31)),"",INDEX(data!$A$12:$AI$213,MATCH(HLOOKUP('II. Sledování projektu'!$L$5,vstupy!$N$2:$BY$180,$B156+1,0),data!$B$12:$B$213,0),31))</f>
        <v>55041.340000000004</v>
      </c>
      <c r="J156" s="53">
        <f t="shared" si="16"/>
        <v>1.3661290642839415E-2</v>
      </c>
      <c r="K156" s="53">
        <f t="shared" si="18"/>
        <v>5.9708438124298137E-2</v>
      </c>
      <c r="L156" s="54">
        <f>IF(ISERROR(INDEX(data!$A$12:$AI$213,MATCH(HLOOKUP('II. Sledování projektu'!$L$5,vstupy!$N$2:$BY$180,$B156+1,0),data!$B$12:$B$213,0),32)),"",INDEX(data!$A$12:$AI$213,MATCH(HLOOKUP('II. Sledování projektu'!$L$5,vstupy!$N$2:$BY$180,$B156+1,0),data!$B$12:$B$213,0),32))</f>
        <v>39073.22</v>
      </c>
      <c r="M156" s="53">
        <f t="shared" si="14"/>
        <v>0.41516657996382283</v>
      </c>
      <c r="N156" s="54">
        <f>IF(ISERROR(VLOOKUP(C156,data!$C$12:$AD$213,28,0)),0,VLOOKUP(C156,data!$C$12:$AD$213,28,0))</f>
        <v>921835.20000000007</v>
      </c>
    </row>
    <row r="157" spans="2:14" x14ac:dyDescent="0.2">
      <c r="B157" s="19">
        <f t="shared" si="17"/>
        <v>152</v>
      </c>
      <c r="C157" s="19" t="str">
        <f>IF(ISERROR(INDEX(data!$A$12:$AI$213,MATCH(HLOOKUP('II. Sledování projektu'!$L$5,vstupy!$N$2:$BY$180,$B157+1,0),data!$B$12:$B$213,0),3)),"",INDEX(data!$A$12:$AI$213,MATCH(HLOOKUP('II. Sledování projektu'!$L$5,vstupy!$N$2:$BY$180,$B157+1,0),data!$B$12:$B$213,0),3))</f>
        <v>ZŠ O-Poruba, A.Hrdličky</v>
      </c>
      <c r="D157" s="156">
        <f>IF(ISERROR(INDEX(data!$A$12:$AI$213,MATCH(HLOOKUP('II. Sledování projektu'!$L$5,vstupy!$N$2:$BY$180,$B157+1,0),data!$B$12:$B$213,0),35)),"",INDEX(data!$A$12:$AI$213,MATCH(HLOOKUP('II. Sledování projektu'!$L$5,vstupy!$N$2:$BY$180,$B157+1,0),data!$B$12:$B$213,0),35))</f>
        <v>37.738448536616609</v>
      </c>
      <c r="E157" s="49">
        <f>IF(ISERROR(INDEX(data!$A$12:$AI$213,MATCH(HLOOKUP('II. Sledování projektu'!$L$5,vstupy!$N$2:$BY$180,$B157+1,0),data!$B$12:$B$213,0),27)),"",INDEX(data!$A$12:$AI$213,MATCH(HLOOKUP('II. Sledování projektu'!$L$5,vstupy!$N$2:$BY$180,$B157+1,0),data!$B$12:$B$213,0),27))</f>
        <v>3593250</v>
      </c>
      <c r="F157" s="54">
        <f>IF(ISERROR(INDEX(data!$A$12:$AI$213,MATCH(HLOOKUP('II. Sledování projektu'!$L$5,vstupy!$N$2:$BY$180,$B157+1,0),data!$B$12:$B$213,0),28)),"",INDEX(data!$A$12:$AI$213,MATCH(HLOOKUP('II. Sledování projektu'!$L$5,vstupy!$N$2:$BY$180,$B157+1,0),data!$B$12:$B$213,0),28))</f>
        <v>1908236.42</v>
      </c>
      <c r="G157" s="53">
        <f t="shared" si="15"/>
        <v>0.53106141237041671</v>
      </c>
      <c r="H157" s="53">
        <f>IF(ISERROR(INDEX(data!$A$12:$AI$213,MATCH(HLOOKUP('II. Sledování projektu'!$L$5,vstupy!$N$2:$BY$180,$B157+1,0),data!$B$12:$B$213,0),29)),"",INDEX(data!$A$12:$AI$213,MATCH(HLOOKUP('II. Sledování projektu'!$L$5,vstupy!$N$2:$BY$180,$B157+1,0),data!$B$12:$B$213,0),29))</f>
        <v>0.22869999999999999</v>
      </c>
      <c r="I157" s="54">
        <f>IF(ISERROR(INDEX(data!$A$12:$AI$213,MATCH(HLOOKUP('II. Sledování projektu'!$L$5,vstupy!$N$2:$BY$180,$B157+1,0),data!$B$12:$B$213,0),31)),"",INDEX(data!$A$12:$AI$213,MATCH(HLOOKUP('II. Sledování projektu'!$L$5,vstupy!$N$2:$BY$180,$B157+1,0),data!$B$12:$B$213,0),31))</f>
        <v>153197.96999999997</v>
      </c>
      <c r="J157" s="53">
        <f t="shared" si="16"/>
        <v>4.2634932164475052E-2</v>
      </c>
      <c r="K157" s="53">
        <f t="shared" si="18"/>
        <v>0.18642296530159622</v>
      </c>
      <c r="L157" s="54">
        <f>IF(ISERROR(INDEX(data!$A$12:$AI$213,MATCH(HLOOKUP('II. Sledování projektu'!$L$5,vstupy!$N$2:$BY$180,$B157+1,0),data!$B$12:$B$213,0),32)),"",INDEX(data!$A$12:$AI$213,MATCH(HLOOKUP('II. Sledování projektu'!$L$5,vstupy!$N$2:$BY$180,$B157+1,0),data!$B$12:$B$213,0),32))</f>
        <v>84431.76</v>
      </c>
      <c r="M157" s="53">
        <f t="shared" si="14"/>
        <v>0.35530806688203537</v>
      </c>
      <c r="N157" s="54">
        <f>IF(ISERROR(VLOOKUP(C157,data!$C$12:$AD$213,28,0)),0,VLOOKUP(C157,data!$C$12:$AD$213,28,0))</f>
        <v>821776.27499999991</v>
      </c>
    </row>
    <row r="158" spans="2:14" x14ac:dyDescent="0.2">
      <c r="B158" s="19">
        <f t="shared" si="17"/>
        <v>153</v>
      </c>
      <c r="C158" s="19" t="str">
        <f>IF(ISERROR(INDEX(data!$A$12:$AI$213,MATCH(HLOOKUP('II. Sledování projektu'!$L$5,vstupy!$N$2:$BY$180,$B158+1,0),data!$B$12:$B$213,0),3)),"",INDEX(data!$A$12:$AI$213,MATCH(HLOOKUP('II. Sledování projektu'!$L$5,vstupy!$N$2:$BY$180,$B158+1,0),data!$B$12:$B$213,0),3))</f>
        <v>ZŠ O-Poruba, Bulharská</v>
      </c>
      <c r="D158" s="156">
        <f>IF(ISERROR(INDEX(data!$A$12:$AI$213,MATCH(HLOOKUP('II. Sledování projektu'!$L$5,vstupy!$N$2:$BY$180,$B158+1,0),data!$B$12:$B$213,0),35)),"",INDEX(data!$A$12:$AI$213,MATCH(HLOOKUP('II. Sledování projektu'!$L$5,vstupy!$N$2:$BY$180,$B158+1,0),data!$B$12:$B$213,0),35))</f>
        <v>21.502639396511618</v>
      </c>
      <c r="E158" s="49">
        <f>IF(ISERROR(INDEX(data!$A$12:$AI$213,MATCH(HLOOKUP('II. Sledování projektu'!$L$5,vstupy!$N$2:$BY$180,$B158+1,0),data!$B$12:$B$213,0),27)),"",INDEX(data!$A$12:$AI$213,MATCH(HLOOKUP('II. Sledování projektu'!$L$5,vstupy!$N$2:$BY$180,$B158+1,0),data!$B$12:$B$213,0),27))</f>
        <v>3978765</v>
      </c>
      <c r="F158" s="54">
        <f>IF(ISERROR(INDEX(data!$A$12:$AI$213,MATCH(HLOOKUP('II. Sledování projektu'!$L$5,vstupy!$N$2:$BY$180,$B158+1,0),data!$B$12:$B$213,0),28)),"",INDEX(data!$A$12:$AI$213,MATCH(HLOOKUP('II. Sledování projektu'!$L$5,vstupy!$N$2:$BY$180,$B158+1,0),data!$B$12:$B$213,0),28))</f>
        <v>1104581.75</v>
      </c>
      <c r="G158" s="53">
        <f t="shared" si="15"/>
        <v>0.27761924868646426</v>
      </c>
      <c r="H158" s="53">
        <f>IF(ISERROR(INDEX(data!$A$12:$AI$213,MATCH(HLOOKUP('II. Sledování projektu'!$L$5,vstupy!$N$2:$BY$180,$B158+1,0),data!$B$12:$B$213,0),29)),"",INDEX(data!$A$12:$AI$213,MATCH(HLOOKUP('II. Sledování projektu'!$L$5,vstupy!$N$2:$BY$180,$B158+1,0),data!$B$12:$B$213,0),29))</f>
        <v>0.2535</v>
      </c>
      <c r="I158" s="54">
        <f>IF(ISERROR(INDEX(data!$A$12:$AI$213,MATCH(HLOOKUP('II. Sledování projektu'!$L$5,vstupy!$N$2:$BY$180,$B158+1,0),data!$B$12:$B$213,0),31)),"",INDEX(data!$A$12:$AI$213,MATCH(HLOOKUP('II. Sledování projektu'!$L$5,vstupy!$N$2:$BY$180,$B158+1,0),data!$B$12:$B$213,0),31))</f>
        <v>128122.54000000001</v>
      </c>
      <c r="J158" s="53">
        <f t="shared" si="16"/>
        <v>3.2201585165246002E-2</v>
      </c>
      <c r="K158" s="53">
        <f t="shared" si="18"/>
        <v>0.12702794936980671</v>
      </c>
      <c r="L158" s="54">
        <f>IF(ISERROR(INDEX(data!$A$12:$AI$213,MATCH(HLOOKUP('II. Sledování projektu'!$L$5,vstupy!$N$2:$BY$180,$B158+1,0),data!$B$12:$B$213,0),32)),"",INDEX(data!$A$12:$AI$213,MATCH(HLOOKUP('II. Sledování projektu'!$L$5,vstupy!$N$2:$BY$180,$B158+1,0),data!$B$12:$B$213,0),32))</f>
        <v>63851.199999999997</v>
      </c>
      <c r="M158" s="53">
        <f t="shared" si="14"/>
        <v>0.33260382383548914</v>
      </c>
      <c r="N158" s="54">
        <f>IF(ISERROR(VLOOKUP(C158,data!$C$12:$AD$213,28,0)),0,VLOOKUP(C158,data!$C$12:$AD$213,28,0))</f>
        <v>1008616.9275</v>
      </c>
    </row>
    <row r="159" spans="2:14" x14ac:dyDescent="0.2">
      <c r="B159" s="19">
        <f t="shared" si="17"/>
        <v>154</v>
      </c>
      <c r="C159" s="19" t="str">
        <f>IF(ISERROR(INDEX(data!$A$12:$AI$213,MATCH(HLOOKUP('II. Sledování projektu'!$L$5,vstupy!$N$2:$BY$180,$B159+1,0),data!$B$12:$B$213,0),3)),"",INDEX(data!$A$12:$AI$213,MATCH(HLOOKUP('II. Sledování projektu'!$L$5,vstupy!$N$2:$BY$180,$B159+1,0),data!$B$12:$B$213,0),3))</f>
        <v>ZŠ O-Poruba, Dětská</v>
      </c>
      <c r="D159" s="156">
        <f>IF(ISERROR(INDEX(data!$A$12:$AI$213,MATCH(HLOOKUP('II. Sledování projektu'!$L$5,vstupy!$N$2:$BY$180,$B159+1,0),data!$B$12:$B$213,0),35)),"",INDEX(data!$A$12:$AI$213,MATCH(HLOOKUP('II. Sledování projektu'!$L$5,vstupy!$N$2:$BY$180,$B159+1,0),data!$B$12:$B$213,0),35))</f>
        <v>83.02914213543383</v>
      </c>
      <c r="E159" s="49">
        <f>IF(ISERROR(INDEX(data!$A$12:$AI$213,MATCH(HLOOKUP('II. Sledování projektu'!$L$5,vstupy!$N$2:$BY$180,$B159+1,0),data!$B$12:$B$213,0),27)),"",INDEX(data!$A$12:$AI$213,MATCH(HLOOKUP('II. Sledování projektu'!$L$5,vstupy!$N$2:$BY$180,$B159+1,0),data!$B$12:$B$213,0),27))</f>
        <v>1383750</v>
      </c>
      <c r="F159" s="54">
        <f>IF(ISERROR(INDEX(data!$A$12:$AI$213,MATCH(HLOOKUP('II. Sledování projektu'!$L$5,vstupy!$N$2:$BY$180,$B159+1,0),data!$B$12:$B$213,0),28)),"",INDEX(data!$A$12:$AI$213,MATCH(HLOOKUP('II. Sledování projektu'!$L$5,vstupy!$N$2:$BY$180,$B159+1,0),data!$B$12:$B$213,0),28))</f>
        <v>651775.05999999994</v>
      </c>
      <c r="G159" s="53">
        <f t="shared" si="15"/>
        <v>0.47102082023486896</v>
      </c>
      <c r="H159" s="53">
        <f>IF(ISERROR(INDEX(data!$A$12:$AI$213,MATCH(HLOOKUP('II. Sledování projektu'!$L$5,vstupy!$N$2:$BY$180,$B159+1,0),data!$B$12:$B$213,0),29)),"",INDEX(data!$A$12:$AI$213,MATCH(HLOOKUP('II. Sledování projektu'!$L$5,vstupy!$N$2:$BY$180,$B159+1,0),data!$B$12:$B$213,0),29))</f>
        <v>6.4199999999999993E-2</v>
      </c>
      <c r="I159" s="54">
        <f>IF(ISERROR(INDEX(data!$A$12:$AI$213,MATCH(HLOOKUP('II. Sledování projektu'!$L$5,vstupy!$N$2:$BY$180,$B159+1,0),data!$B$12:$B$213,0),31)),"",INDEX(data!$A$12:$AI$213,MATCH(HLOOKUP('II. Sledování projektu'!$L$5,vstupy!$N$2:$BY$180,$B159+1,0),data!$B$12:$B$213,0),31))</f>
        <v>88064.02</v>
      </c>
      <c r="J159" s="53">
        <f t="shared" si="16"/>
        <v>6.3641568202348689E-2</v>
      </c>
      <c r="K159" s="53">
        <f t="shared" si="18"/>
        <v>0.99130168539483965</v>
      </c>
      <c r="L159" s="54">
        <f>IF(ISERROR(INDEX(data!$A$12:$AI$213,MATCH(HLOOKUP('II. Sledování projektu'!$L$5,vstupy!$N$2:$BY$180,$B159+1,0),data!$B$12:$B$213,0),32)),"",INDEX(data!$A$12:$AI$213,MATCH(HLOOKUP('II. Sledování projektu'!$L$5,vstupy!$N$2:$BY$180,$B159+1,0),data!$B$12:$B$213,0),32))</f>
        <v>61359.98</v>
      </c>
      <c r="M159" s="53">
        <f t="shared" si="14"/>
        <v>0.41064340400471144</v>
      </c>
      <c r="N159" s="54">
        <f>IF(ISERROR(VLOOKUP(C159,data!$C$12:$AD$213,28,0)),0,VLOOKUP(C159,data!$C$12:$AD$213,28,0))</f>
        <v>88836.749999999985</v>
      </c>
    </row>
    <row r="160" spans="2:14" x14ac:dyDescent="0.2">
      <c r="B160" s="19">
        <f t="shared" si="17"/>
        <v>155</v>
      </c>
      <c r="C160" s="19" t="str">
        <f>IF(ISERROR(INDEX(data!$A$12:$AI$213,MATCH(HLOOKUP('II. Sledování projektu'!$L$5,vstupy!$N$2:$BY$180,$B160+1,0),data!$B$12:$B$213,0),3)),"",INDEX(data!$A$12:$AI$213,MATCH(HLOOKUP('II. Sledování projektu'!$L$5,vstupy!$N$2:$BY$180,$B160+1,0),data!$B$12:$B$213,0),3))</f>
        <v>ZŠ O-Poruba, I.Sekaniny</v>
      </c>
      <c r="D160" s="156">
        <f>IF(ISERROR(INDEX(data!$A$12:$AI$213,MATCH(HLOOKUP('II. Sledování projektu'!$L$5,vstupy!$N$2:$BY$180,$B160+1,0),data!$B$12:$B$213,0),35)),"",INDEX(data!$A$12:$AI$213,MATCH(HLOOKUP('II. Sledování projektu'!$L$5,vstupy!$N$2:$BY$180,$B160+1,0),data!$B$12:$B$213,0),35))</f>
        <v>52.125351973501722</v>
      </c>
      <c r="E160" s="49">
        <f>IF(ISERROR(INDEX(data!$A$12:$AI$213,MATCH(HLOOKUP('II. Sledování projektu'!$L$5,vstupy!$N$2:$BY$180,$B160+1,0),data!$B$12:$B$213,0),27)),"",INDEX(data!$A$12:$AI$213,MATCH(HLOOKUP('II. Sledování projektu'!$L$5,vstupy!$N$2:$BY$180,$B160+1,0),data!$B$12:$B$213,0),27))</f>
        <v>4153200</v>
      </c>
      <c r="F160" s="54">
        <f>IF(ISERROR(INDEX(data!$A$12:$AI$213,MATCH(HLOOKUP('II. Sledování projektu'!$L$5,vstupy!$N$2:$BY$180,$B160+1,0),data!$B$12:$B$213,0),28)),"",INDEX(data!$A$12:$AI$213,MATCH(HLOOKUP('II. Sledování projektu'!$L$5,vstupy!$N$2:$BY$180,$B160+1,0),data!$B$12:$B$213,0),28))</f>
        <v>1225436.07</v>
      </c>
      <c r="G160" s="53">
        <f t="shared" si="15"/>
        <v>0.29505828517769433</v>
      </c>
      <c r="H160" s="53">
        <f>IF(ISERROR(INDEX(data!$A$12:$AI$213,MATCH(HLOOKUP('II. Sledování projektu'!$L$5,vstupy!$N$2:$BY$180,$B160+1,0),data!$B$12:$B$213,0),29)),"",INDEX(data!$A$12:$AI$213,MATCH(HLOOKUP('II. Sledování projektu'!$L$5,vstupy!$N$2:$BY$180,$B160+1,0),data!$B$12:$B$213,0),29))</f>
        <v>0.24529999999999999</v>
      </c>
      <c r="I160" s="54">
        <f>IF(ISERROR(INDEX(data!$A$12:$AI$213,MATCH(HLOOKUP('II. Sledování projektu'!$L$5,vstupy!$N$2:$BY$180,$B160+1,0),data!$B$12:$B$213,0),31)),"",INDEX(data!$A$12:$AI$213,MATCH(HLOOKUP('II. Sledování projektu'!$L$5,vstupy!$N$2:$BY$180,$B160+1,0),data!$B$12:$B$213,0),31))</f>
        <v>634571.51</v>
      </c>
      <c r="J160" s="53">
        <f t="shared" si="16"/>
        <v>0.15279098285659251</v>
      </c>
      <c r="K160" s="53">
        <f t="shared" si="18"/>
        <v>0.62287396191028344</v>
      </c>
      <c r="L160" s="54">
        <f>IF(ISERROR(INDEX(data!$A$12:$AI$213,MATCH(HLOOKUP('II. Sledování projektu'!$L$5,vstupy!$N$2:$BY$180,$B160+1,0),data!$B$12:$B$213,0),32)),"",INDEX(data!$A$12:$AI$213,MATCH(HLOOKUP('II. Sledování projektu'!$L$5,vstupy!$N$2:$BY$180,$B160+1,0),data!$B$12:$B$213,0),32))</f>
        <v>180059.25</v>
      </c>
      <c r="M160" s="53">
        <f t="shared" si="14"/>
        <v>0.22103173467203718</v>
      </c>
      <c r="N160" s="54">
        <f>IF(ISERROR(VLOOKUP(C160,data!$C$12:$AD$213,28,0)),0,VLOOKUP(C160,data!$C$12:$AD$213,28,0))</f>
        <v>1018779.96</v>
      </c>
    </row>
    <row r="161" spans="2:14" x14ac:dyDescent="0.2">
      <c r="B161" s="19">
        <f t="shared" si="17"/>
        <v>156</v>
      </c>
      <c r="C161" s="19" t="str">
        <f>IF(ISERROR(INDEX(data!$A$12:$AI$213,MATCH(HLOOKUP('II. Sledování projektu'!$L$5,vstupy!$N$2:$BY$180,$B161+1,0),data!$B$12:$B$213,0),3)),"",INDEX(data!$A$12:$AI$213,MATCH(HLOOKUP('II. Sledování projektu'!$L$5,vstupy!$N$2:$BY$180,$B161+1,0),data!$B$12:$B$213,0),3))</f>
        <v>ZŠ O-Poruba, J.Šoupala</v>
      </c>
      <c r="D161" s="156">
        <f>IF(ISERROR(INDEX(data!$A$12:$AI$213,MATCH(HLOOKUP('II. Sledování projektu'!$L$5,vstupy!$N$2:$BY$180,$B161+1,0),data!$B$12:$B$213,0),35)),"",INDEX(data!$A$12:$AI$213,MATCH(HLOOKUP('II. Sledování projektu'!$L$5,vstupy!$N$2:$BY$180,$B161+1,0),data!$B$12:$B$213,0),35))</f>
        <v>48.714019510700993</v>
      </c>
      <c r="E161" s="49">
        <f>IF(ISERROR(INDEX(data!$A$12:$AI$213,MATCH(HLOOKUP('II. Sledování projektu'!$L$5,vstupy!$N$2:$BY$180,$B161+1,0),data!$B$12:$B$213,0),27)),"",INDEX(data!$A$12:$AI$213,MATCH(HLOOKUP('II. Sledování projektu'!$L$5,vstupy!$N$2:$BY$180,$B161+1,0),data!$B$12:$B$213,0),27))</f>
        <v>3188250</v>
      </c>
      <c r="F161" s="54">
        <f>IF(ISERROR(INDEX(data!$A$12:$AI$213,MATCH(HLOOKUP('II. Sledování projektu'!$L$5,vstupy!$N$2:$BY$180,$B161+1,0),data!$B$12:$B$213,0),28)),"",INDEX(data!$A$12:$AI$213,MATCH(HLOOKUP('II. Sledování projektu'!$L$5,vstupy!$N$2:$BY$180,$B161+1,0),data!$B$12:$B$213,0),28))</f>
        <v>1505019.56</v>
      </c>
      <c r="G161" s="53">
        <f t="shared" si="15"/>
        <v>0.47205192817376307</v>
      </c>
      <c r="H161" s="53">
        <f>IF(ISERROR(INDEX(data!$A$12:$AI$213,MATCH(HLOOKUP('II. Sledování projektu'!$L$5,vstupy!$N$2:$BY$180,$B161+1,0),data!$B$12:$B$213,0),29)),"",INDEX(data!$A$12:$AI$213,MATCH(HLOOKUP('II. Sledování projektu'!$L$5,vstupy!$N$2:$BY$180,$B161+1,0),data!$B$12:$B$213,0),29))</f>
        <v>0.1983</v>
      </c>
      <c r="I161" s="54">
        <f>IF(ISERROR(INDEX(data!$A$12:$AI$213,MATCH(HLOOKUP('II. Sledování projektu'!$L$5,vstupy!$N$2:$BY$180,$B161+1,0),data!$B$12:$B$213,0),31)),"",INDEX(data!$A$12:$AI$213,MATCH(HLOOKUP('II. Sledování projektu'!$L$5,vstupy!$N$2:$BY$180,$B161+1,0),data!$B$12:$B$213,0),31))</f>
        <v>264603.24</v>
      </c>
      <c r="J161" s="53">
        <f t="shared" si="16"/>
        <v>8.2993253352152435E-2</v>
      </c>
      <c r="K161" s="53">
        <f t="shared" si="18"/>
        <v>0.41852371836688068</v>
      </c>
      <c r="L161" s="54">
        <f>IF(ISERROR(INDEX(data!$A$12:$AI$213,MATCH(HLOOKUP('II. Sledování projektu'!$L$5,vstupy!$N$2:$BY$180,$B161+1,0),data!$B$12:$B$213,0),32)),"",INDEX(data!$A$12:$AI$213,MATCH(HLOOKUP('II. Sledování projektu'!$L$5,vstupy!$N$2:$BY$180,$B161+1,0),data!$B$12:$B$213,0),32))</f>
        <v>103440.95</v>
      </c>
      <c r="M161" s="53">
        <f t="shared" si="14"/>
        <v>0.2810557884367092</v>
      </c>
      <c r="N161" s="54">
        <f>IF(ISERROR(VLOOKUP(C161,data!$C$12:$AD$213,28,0)),0,VLOOKUP(C161,data!$C$12:$AD$213,28,0))</f>
        <v>632229.97499999998</v>
      </c>
    </row>
    <row r="162" spans="2:14" x14ac:dyDescent="0.2">
      <c r="B162" s="19">
        <f t="shared" si="17"/>
        <v>157</v>
      </c>
      <c r="C162" s="19" t="str">
        <f>IF(ISERROR(INDEX(data!$A$12:$AI$213,MATCH(HLOOKUP('II. Sledování projektu'!$L$5,vstupy!$N$2:$BY$180,$B162+1,0),data!$B$12:$B$213,0),3)),"",INDEX(data!$A$12:$AI$213,MATCH(HLOOKUP('II. Sledování projektu'!$L$5,vstupy!$N$2:$BY$180,$B162+1,0),data!$B$12:$B$213,0),3))</f>
        <v>ZŠ O-Poruba, J.Valčíka</v>
      </c>
      <c r="D162" s="156">
        <f>IF(ISERROR(INDEX(data!$A$12:$AI$213,MATCH(HLOOKUP('II. Sledování projektu'!$L$5,vstupy!$N$2:$BY$180,$B162+1,0),data!$B$12:$B$213,0),35)),"",INDEX(data!$A$12:$AI$213,MATCH(HLOOKUP('II. Sledování projektu'!$L$5,vstupy!$N$2:$BY$180,$B162+1,0),data!$B$12:$B$213,0),35))</f>
        <v>29.170213567013615</v>
      </c>
      <c r="E162" s="49">
        <f>IF(ISERROR(INDEX(data!$A$12:$AI$213,MATCH(HLOOKUP('II. Sledování projektu'!$L$5,vstupy!$N$2:$BY$180,$B162+1,0),data!$B$12:$B$213,0),27)),"",INDEX(data!$A$12:$AI$213,MATCH(HLOOKUP('II. Sledování projektu'!$L$5,vstupy!$N$2:$BY$180,$B162+1,0),data!$B$12:$B$213,0),27))</f>
        <v>3307800</v>
      </c>
      <c r="F162" s="54">
        <f>IF(ISERROR(INDEX(data!$A$12:$AI$213,MATCH(HLOOKUP('II. Sledování projektu'!$L$5,vstupy!$N$2:$BY$180,$B162+1,0),data!$B$12:$B$213,0),28)),"",INDEX(data!$A$12:$AI$213,MATCH(HLOOKUP('II. Sledování projektu'!$L$5,vstupy!$N$2:$BY$180,$B162+1,0),data!$B$12:$B$213,0),28))</f>
        <v>263027.63</v>
      </c>
      <c r="G162" s="53">
        <f t="shared" si="15"/>
        <v>7.951739222443921E-2</v>
      </c>
      <c r="H162" s="53">
        <f>IF(ISERROR(INDEX(data!$A$12:$AI$213,MATCH(HLOOKUP('II. Sledování projektu'!$L$5,vstupy!$N$2:$BY$180,$B162+1,0),data!$B$12:$B$213,0),29)),"",INDEX(data!$A$12:$AI$213,MATCH(HLOOKUP('II. Sledování projektu'!$L$5,vstupy!$N$2:$BY$180,$B162+1,0),data!$B$12:$B$213,0),29))</f>
        <v>0.23480000000000001</v>
      </c>
      <c r="I162" s="54">
        <f>IF(ISERROR(INDEX(data!$A$12:$AI$213,MATCH(HLOOKUP('II. Sledování projektu'!$L$5,vstupy!$N$2:$BY$180,$B162+1,0),data!$B$12:$B$213,0),31)),"",INDEX(data!$A$12:$AI$213,MATCH(HLOOKUP('II. Sledování projektu'!$L$5,vstupy!$N$2:$BY$180,$B162+1,0),data!$B$12:$B$213,0),31))</f>
        <v>326128.79000000004</v>
      </c>
      <c r="J162" s="53">
        <f t="shared" si="16"/>
        <v>9.8593866013664683E-2</v>
      </c>
      <c r="K162" s="53">
        <f t="shared" si="18"/>
        <v>0.41990573259652758</v>
      </c>
      <c r="L162" s="54">
        <f>IF(ISERROR(INDEX(data!$A$12:$AI$213,MATCH(HLOOKUP('II. Sledování projektu'!$L$5,vstupy!$N$2:$BY$180,$B162+1,0),data!$B$12:$B$213,0),32)),"",INDEX(data!$A$12:$AI$213,MATCH(HLOOKUP('II. Sledování projektu'!$L$5,vstupy!$N$2:$BY$180,$B162+1,0),data!$B$12:$B$213,0),32))</f>
        <v>94003.739999999991</v>
      </c>
      <c r="M162" s="53">
        <f t="shared" si="14"/>
        <v>0.22374782547783192</v>
      </c>
      <c r="N162" s="54">
        <f>IF(ISERROR(VLOOKUP(C162,data!$C$12:$AD$213,28,0)),0,VLOOKUP(C162,data!$C$12:$AD$213,28,0))</f>
        <v>776671.44000000006</v>
      </c>
    </row>
    <row r="163" spans="2:14" x14ac:dyDescent="0.2">
      <c r="B163" s="19">
        <f t="shared" si="17"/>
        <v>158</v>
      </c>
      <c r="C163" s="19" t="str">
        <f>IF(ISERROR(INDEX(data!$A$12:$AI$213,MATCH(HLOOKUP('II. Sledování projektu'!$L$5,vstupy!$N$2:$BY$180,$B163+1,0),data!$B$12:$B$213,0),3)),"",INDEX(data!$A$12:$AI$213,MATCH(HLOOKUP('II. Sledování projektu'!$L$5,vstupy!$N$2:$BY$180,$B163+1,0),data!$B$12:$B$213,0),3))</f>
        <v>ZŠ O-Poruba, K.Pokorného</v>
      </c>
      <c r="D163" s="156">
        <f>IF(ISERROR(INDEX(data!$A$12:$AI$213,MATCH(HLOOKUP('II. Sledování projektu'!$L$5,vstupy!$N$2:$BY$180,$B163+1,0),data!$B$12:$B$213,0),35)),"",INDEX(data!$A$12:$AI$213,MATCH(HLOOKUP('II. Sledování projektu'!$L$5,vstupy!$N$2:$BY$180,$B163+1,0),data!$B$12:$B$213,0),35))</f>
        <v>21.02342186714808</v>
      </c>
      <c r="E163" s="49">
        <f>IF(ISERROR(INDEX(data!$A$12:$AI$213,MATCH(HLOOKUP('II. Sledování projektu'!$L$5,vstupy!$N$2:$BY$180,$B163+1,0),data!$B$12:$B$213,0),27)),"",INDEX(data!$A$12:$AI$213,MATCH(HLOOKUP('II. Sledování projektu'!$L$5,vstupy!$N$2:$BY$180,$B163+1,0),data!$B$12:$B$213,0),27))</f>
        <v>4151250</v>
      </c>
      <c r="F163" s="54">
        <f>IF(ISERROR(INDEX(data!$A$12:$AI$213,MATCH(HLOOKUP('II. Sledování projektu'!$L$5,vstupy!$N$2:$BY$180,$B163+1,0),data!$B$12:$B$213,0),28)),"",INDEX(data!$A$12:$AI$213,MATCH(HLOOKUP('II. Sledování projektu'!$L$5,vstupy!$N$2:$BY$180,$B163+1,0),data!$B$12:$B$213,0),28))</f>
        <v>1310081.0699999998</v>
      </c>
      <c r="G163" s="53">
        <f t="shared" si="15"/>
        <v>0.31558712917795839</v>
      </c>
      <c r="H163" s="53">
        <f>IF(ISERROR(INDEX(data!$A$12:$AI$213,MATCH(HLOOKUP('II. Sledování projektu'!$L$5,vstupy!$N$2:$BY$180,$B163+1,0),data!$B$12:$B$213,0),29)),"",INDEX(data!$A$12:$AI$213,MATCH(HLOOKUP('II. Sledování projektu'!$L$5,vstupy!$N$2:$BY$180,$B163+1,0),data!$B$12:$B$213,0),29))</f>
        <v>0.26540000000000002</v>
      </c>
      <c r="I163" s="54">
        <f>IF(ISERROR(INDEX(data!$A$12:$AI$213,MATCH(HLOOKUP('II. Sledování projektu'!$L$5,vstupy!$N$2:$BY$180,$B163+1,0),data!$B$12:$B$213,0),31)),"",INDEX(data!$A$12:$AI$213,MATCH(HLOOKUP('II. Sledování projektu'!$L$5,vstupy!$N$2:$BY$180,$B163+1,0),data!$B$12:$B$213,0),31))</f>
        <v>96293.43</v>
      </c>
      <c r="J163" s="53">
        <f t="shared" si="16"/>
        <v>2.3196249322493222E-2</v>
      </c>
      <c r="K163" s="53">
        <f t="shared" si="18"/>
        <v>8.7401090137502718E-2</v>
      </c>
      <c r="L163" s="54">
        <f>IF(ISERROR(INDEX(data!$A$12:$AI$213,MATCH(HLOOKUP('II. Sledování projektu'!$L$5,vstupy!$N$2:$BY$180,$B163+1,0),data!$B$12:$B$213,0),32)),"",INDEX(data!$A$12:$AI$213,MATCH(HLOOKUP('II. Sledování projektu'!$L$5,vstupy!$N$2:$BY$180,$B163+1,0),data!$B$12:$B$213,0),32))</f>
        <v>75268.83</v>
      </c>
      <c r="M163" s="53">
        <f t="shared" si="14"/>
        <v>0.4387260345019936</v>
      </c>
      <c r="N163" s="54">
        <f>IF(ISERROR(VLOOKUP(C163,data!$C$12:$AD$213,28,0)),0,VLOOKUP(C163,data!$C$12:$AD$213,28,0))</f>
        <v>1101741.75</v>
      </c>
    </row>
    <row r="164" spans="2:14" x14ac:dyDescent="0.2">
      <c r="B164" s="19">
        <f t="shared" si="17"/>
        <v>159</v>
      </c>
      <c r="C164" s="19" t="str">
        <f>IF(ISERROR(INDEX(data!$A$12:$AI$213,MATCH(HLOOKUP('II. Sledování projektu'!$L$5,vstupy!$N$2:$BY$180,$B164+1,0),data!$B$12:$B$213,0),3)),"",INDEX(data!$A$12:$AI$213,MATCH(HLOOKUP('II. Sledování projektu'!$L$5,vstupy!$N$2:$BY$180,$B164+1,0),data!$B$12:$B$213,0),3))</f>
        <v>ZŠ O-Poruba, Komenského</v>
      </c>
      <c r="D164" s="156">
        <f>IF(ISERROR(INDEX(data!$A$12:$AI$213,MATCH(HLOOKUP('II. Sledování projektu'!$L$5,vstupy!$N$2:$BY$180,$B164+1,0),data!$B$12:$B$213,0),35)),"",INDEX(data!$A$12:$AI$213,MATCH(HLOOKUP('II. Sledování projektu'!$L$5,vstupy!$N$2:$BY$180,$B164+1,0),data!$B$12:$B$213,0),35))</f>
        <v>77.261514088175758</v>
      </c>
      <c r="E164" s="49">
        <f>IF(ISERROR(INDEX(data!$A$12:$AI$213,MATCH(HLOOKUP('II. Sledování projektu'!$L$5,vstupy!$N$2:$BY$180,$B164+1,0),data!$B$12:$B$213,0),27)),"",INDEX(data!$A$12:$AI$213,MATCH(HLOOKUP('II. Sledování projektu'!$L$5,vstupy!$N$2:$BY$180,$B164+1,0),data!$B$12:$B$213,0),27))</f>
        <v>3648000</v>
      </c>
      <c r="F164" s="54">
        <f>IF(ISERROR(INDEX(data!$A$12:$AI$213,MATCH(HLOOKUP('II. Sledování projektu'!$L$5,vstupy!$N$2:$BY$180,$B164+1,0),data!$B$12:$B$213,0),28)),"",INDEX(data!$A$12:$AI$213,MATCH(HLOOKUP('II. Sledování projektu'!$L$5,vstupy!$N$2:$BY$180,$B164+1,0),data!$B$12:$B$213,0),28))</f>
        <v>3027005.74</v>
      </c>
      <c r="G164" s="53">
        <f t="shared" si="15"/>
        <v>0.82977131030701756</v>
      </c>
      <c r="H164" s="53">
        <f>IF(ISERROR(INDEX(data!$A$12:$AI$213,MATCH(HLOOKUP('II. Sledování projektu'!$L$5,vstupy!$N$2:$BY$180,$B164+1,0),data!$B$12:$B$213,0),29)),"",INDEX(data!$A$12:$AI$213,MATCH(HLOOKUP('II. Sledování projektu'!$L$5,vstupy!$N$2:$BY$180,$B164+1,0),data!$B$12:$B$213,0),29))</f>
        <v>0.17680000000000001</v>
      </c>
      <c r="I164" s="54">
        <f>IF(ISERROR(INDEX(data!$A$12:$AI$213,MATCH(HLOOKUP('II. Sledování projektu'!$L$5,vstupy!$N$2:$BY$180,$B164+1,0),data!$B$12:$B$213,0),31)),"",INDEX(data!$A$12:$AI$213,MATCH(HLOOKUP('II. Sledování projektu'!$L$5,vstupy!$N$2:$BY$180,$B164+1,0),data!$B$12:$B$213,0),31))</f>
        <v>400540.41000000003</v>
      </c>
      <c r="J164" s="53">
        <f t="shared" si="16"/>
        <v>0.1097972615131579</v>
      </c>
      <c r="K164" s="53">
        <f t="shared" si="18"/>
        <v>0.62102523480292926</v>
      </c>
      <c r="L164" s="54">
        <f>IF(ISERROR(INDEX(data!$A$12:$AI$213,MATCH(HLOOKUP('II. Sledování projektu'!$L$5,vstupy!$N$2:$BY$180,$B164+1,0),data!$B$12:$B$213,0),32)),"",INDEX(data!$A$12:$AI$213,MATCH(HLOOKUP('II. Sledování projektu'!$L$5,vstupy!$N$2:$BY$180,$B164+1,0),data!$B$12:$B$213,0),32))</f>
        <v>132664.56</v>
      </c>
      <c r="M164" s="53">
        <f t="shared" si="14"/>
        <v>0.24880593292294331</v>
      </c>
      <c r="N164" s="54">
        <f>IF(ISERROR(VLOOKUP(C164,data!$C$12:$AD$213,28,0)),0,VLOOKUP(C164,data!$C$12:$AD$213,28,0))</f>
        <v>644966.40000000002</v>
      </c>
    </row>
    <row r="165" spans="2:14" x14ac:dyDescent="0.2">
      <c r="B165" s="19">
        <f t="shared" si="17"/>
        <v>160</v>
      </c>
      <c r="C165" s="19" t="str">
        <f>IF(ISERROR(INDEX(data!$A$12:$AI$213,MATCH(HLOOKUP('II. Sledování projektu'!$L$5,vstupy!$N$2:$BY$180,$B165+1,0),data!$B$12:$B$213,0),3)),"",INDEX(data!$A$12:$AI$213,MATCH(HLOOKUP('II. Sledování projektu'!$L$5,vstupy!$N$2:$BY$180,$B165+1,0),data!$B$12:$B$213,0),3))</f>
        <v>ZŠ O-Poruba, Porubská 832</v>
      </c>
      <c r="D165" s="156">
        <f>IF(ISERROR(INDEX(data!$A$12:$AI$213,MATCH(HLOOKUP('II. Sledování projektu'!$L$5,vstupy!$N$2:$BY$180,$B165+1,0),data!$B$12:$B$213,0),35)),"",INDEX(data!$A$12:$AI$213,MATCH(HLOOKUP('II. Sledování projektu'!$L$5,vstupy!$N$2:$BY$180,$B165+1,0),data!$B$12:$B$213,0),35))</f>
        <v>52.945650290813866</v>
      </c>
      <c r="E165" s="49">
        <f>IF(ISERROR(INDEX(data!$A$12:$AI$213,MATCH(HLOOKUP('II. Sledování projektu'!$L$5,vstupy!$N$2:$BY$180,$B165+1,0),data!$B$12:$B$213,0),27)),"",INDEX(data!$A$12:$AI$213,MATCH(HLOOKUP('II. Sledování projektu'!$L$5,vstupy!$N$2:$BY$180,$B165+1,0),data!$B$12:$B$213,0),27))</f>
        <v>3784500</v>
      </c>
      <c r="F165" s="54">
        <f>IF(ISERROR(INDEX(data!$A$12:$AI$213,MATCH(HLOOKUP('II. Sledování projektu'!$L$5,vstupy!$N$2:$BY$180,$B165+1,0),data!$B$12:$B$213,0),28)),"",INDEX(data!$A$12:$AI$213,MATCH(HLOOKUP('II. Sledování projektu'!$L$5,vstupy!$N$2:$BY$180,$B165+1,0),data!$B$12:$B$213,0),28))</f>
        <v>746182.76</v>
      </c>
      <c r="G165" s="53">
        <f t="shared" si="15"/>
        <v>0.19716812260536398</v>
      </c>
      <c r="H165" s="53">
        <f>IF(ISERROR(INDEX(data!$A$12:$AI$213,MATCH(HLOOKUP('II. Sledování projektu'!$L$5,vstupy!$N$2:$BY$180,$B165+1,0),data!$B$12:$B$213,0),29)),"",INDEX(data!$A$12:$AI$213,MATCH(HLOOKUP('II. Sledování projektu'!$L$5,vstupy!$N$2:$BY$180,$B165+1,0),data!$B$12:$B$213,0),29))</f>
        <v>0.25209999999999999</v>
      </c>
      <c r="I165" s="54">
        <f>IF(ISERROR(INDEX(data!$A$12:$AI$213,MATCH(HLOOKUP('II. Sledování projektu'!$L$5,vstupy!$N$2:$BY$180,$B165+1,0),data!$B$12:$B$213,0),31)),"",INDEX(data!$A$12:$AI$213,MATCH(HLOOKUP('II. Sledování projektu'!$L$5,vstupy!$N$2:$BY$180,$B165+1,0),data!$B$12:$B$213,0),31))</f>
        <v>685139.21</v>
      </c>
      <c r="J165" s="53">
        <f t="shared" si="16"/>
        <v>0.18103823754789272</v>
      </c>
      <c r="K165" s="53">
        <f t="shared" si="18"/>
        <v>0.71812073600909443</v>
      </c>
      <c r="L165" s="54">
        <f>IF(ISERROR(INDEX(data!$A$12:$AI$213,MATCH(HLOOKUP('II. Sledování projektu'!$L$5,vstupy!$N$2:$BY$180,$B165+1,0),data!$B$12:$B$213,0),32)),"",INDEX(data!$A$12:$AI$213,MATCH(HLOOKUP('II. Sledování projektu'!$L$5,vstupy!$N$2:$BY$180,$B165+1,0),data!$B$12:$B$213,0),32))</f>
        <v>213736.25</v>
      </c>
      <c r="M165" s="53">
        <f t="shared" si="14"/>
        <v>0.23778182797425576</v>
      </c>
      <c r="N165" s="54">
        <f>IF(ISERROR(VLOOKUP(C165,data!$C$12:$AD$213,28,0)),0,VLOOKUP(C165,data!$C$12:$AD$213,28,0))</f>
        <v>954072.45</v>
      </c>
    </row>
    <row r="166" spans="2:14" x14ac:dyDescent="0.2">
      <c r="B166" s="19">
        <f t="shared" si="17"/>
        <v>161</v>
      </c>
      <c r="C166" s="19" t="str">
        <f>IF(ISERROR(INDEX(data!$A$12:$AI$213,MATCH(HLOOKUP('II. Sledování projektu'!$L$5,vstupy!$N$2:$BY$180,$B166+1,0),data!$B$12:$B$213,0),3)),"",INDEX(data!$A$12:$AI$213,MATCH(HLOOKUP('II. Sledování projektu'!$L$5,vstupy!$N$2:$BY$180,$B166+1,0),data!$B$12:$B$213,0),3))</f>
        <v>ZŠ O-Poruba, Ukrajinská</v>
      </c>
      <c r="D166" s="156">
        <f>IF(ISERROR(INDEX(data!$A$12:$AI$213,MATCH(HLOOKUP('II. Sledování projektu'!$L$5,vstupy!$N$2:$BY$180,$B166+1,0),data!$B$12:$B$213,0),35)),"",INDEX(data!$A$12:$AI$213,MATCH(HLOOKUP('II. Sledování projektu'!$L$5,vstupy!$N$2:$BY$180,$B166+1,0),data!$B$12:$B$213,0),35))</f>
        <v>57.595526207728263</v>
      </c>
      <c r="E166" s="49">
        <f>IF(ISERROR(INDEX(data!$A$12:$AI$213,MATCH(HLOOKUP('II. Sledování projektu'!$L$5,vstupy!$N$2:$BY$180,$B166+1,0),data!$B$12:$B$213,0),27)),"",INDEX(data!$A$12:$AI$213,MATCH(HLOOKUP('II. Sledování projektu'!$L$5,vstupy!$N$2:$BY$180,$B166+1,0),data!$B$12:$B$213,0),27))</f>
        <v>2571975</v>
      </c>
      <c r="F166" s="54">
        <f>IF(ISERROR(INDEX(data!$A$12:$AI$213,MATCH(HLOOKUP('II. Sledování projektu'!$L$5,vstupy!$N$2:$BY$180,$B166+1,0),data!$B$12:$B$213,0),28)),"",INDEX(data!$A$12:$AI$213,MATCH(HLOOKUP('II. Sledování projektu'!$L$5,vstupy!$N$2:$BY$180,$B166+1,0),data!$B$12:$B$213,0),28))</f>
        <v>219468.53</v>
      </c>
      <c r="G166" s="53">
        <f t="shared" si="15"/>
        <v>8.5330739995528732E-2</v>
      </c>
      <c r="H166" s="53">
        <f>IF(ISERROR(INDEX(data!$A$12:$AI$213,MATCH(HLOOKUP('II. Sledování projektu'!$L$5,vstupy!$N$2:$BY$180,$B166+1,0),data!$B$12:$B$213,0),29)),"",INDEX(data!$A$12:$AI$213,MATCH(HLOOKUP('II. Sledování projektu'!$L$5,vstupy!$N$2:$BY$180,$B166+1,0),data!$B$12:$B$213,0),29))</f>
        <v>0.18210000000000001</v>
      </c>
      <c r="I166" s="54">
        <f>IF(ISERROR(INDEX(data!$A$12:$AI$213,MATCH(HLOOKUP('II. Sledování projektu'!$L$5,vstupy!$N$2:$BY$180,$B166+1,0),data!$B$12:$B$213,0),31)),"",INDEX(data!$A$12:$AI$213,MATCH(HLOOKUP('II. Sledování projektu'!$L$5,vstupy!$N$2:$BY$180,$B166+1,0),data!$B$12:$B$213,0),31))</f>
        <v>416283.11</v>
      </c>
      <c r="J166" s="53">
        <f t="shared" si="16"/>
        <v>0.1618534822461338</v>
      </c>
      <c r="K166" s="53">
        <f t="shared" si="18"/>
        <v>0.88881648679919711</v>
      </c>
      <c r="L166" s="54">
        <f>IF(ISERROR(INDEX(data!$A$12:$AI$213,MATCH(HLOOKUP('II. Sledování projektu'!$L$5,vstupy!$N$2:$BY$180,$B166+1,0),data!$B$12:$B$213,0),32)),"",INDEX(data!$A$12:$AI$213,MATCH(HLOOKUP('II. Sledování projektu'!$L$5,vstupy!$N$2:$BY$180,$B166+1,0),data!$B$12:$B$213,0),32))</f>
        <v>232015.27000000002</v>
      </c>
      <c r="M166" s="53">
        <f t="shared" ref="M166:M181" si="19">IF(ISERROR(L166/I166),0,IF(uspora="A",L166/I166,L166/(I166+L166)))</f>
        <v>0.35788346409256799</v>
      </c>
      <c r="N166" s="54">
        <f>IF(ISERROR(VLOOKUP(C166,data!$C$12:$AD$213,28,0)),0,VLOOKUP(C166,data!$C$12:$AD$213,28,0))</f>
        <v>468356.64750000002</v>
      </c>
    </row>
    <row r="167" spans="2:14" x14ac:dyDescent="0.2">
      <c r="B167" s="19">
        <f t="shared" si="17"/>
        <v>162</v>
      </c>
      <c r="C167" s="19" t="str">
        <f>IF(ISERROR(INDEX(data!$A$12:$AI$213,MATCH(HLOOKUP('II. Sledování projektu'!$L$5,vstupy!$N$2:$BY$180,$B167+1,0),data!$B$12:$B$213,0),3)),"",INDEX(data!$A$12:$AI$213,MATCH(HLOOKUP('II. Sledování projektu'!$L$5,vstupy!$N$2:$BY$180,$B167+1,0),data!$B$12:$B$213,0),3))</f>
        <v>ZŠ O-Radvanice, Vrchlického</v>
      </c>
      <c r="D167" s="156">
        <f>IF(ISERROR(INDEX(data!$A$12:$AI$213,MATCH(HLOOKUP('II. Sledování projektu'!$L$5,vstupy!$N$2:$BY$180,$B167+1,0),data!$B$12:$B$213,0),35)),"",INDEX(data!$A$12:$AI$213,MATCH(HLOOKUP('II. Sledování projektu'!$L$5,vstupy!$N$2:$BY$180,$B167+1,0),data!$B$12:$B$213,0),35))</f>
        <v>67.697973203582265</v>
      </c>
      <c r="E167" s="49">
        <f>IF(ISERROR(INDEX(data!$A$12:$AI$213,MATCH(HLOOKUP('II. Sledování projektu'!$L$5,vstupy!$N$2:$BY$180,$B167+1,0),data!$B$12:$B$213,0),27)),"",INDEX(data!$A$12:$AI$213,MATCH(HLOOKUP('II. Sledování projektu'!$L$5,vstupy!$N$2:$BY$180,$B167+1,0),data!$B$12:$B$213,0),27))</f>
        <v>3545250</v>
      </c>
      <c r="F167" s="54">
        <f>IF(ISERROR(INDEX(data!$A$12:$AI$213,MATCH(HLOOKUP('II. Sledování projektu'!$L$5,vstupy!$N$2:$BY$180,$B167+1,0),data!$B$12:$B$213,0),28)),"",INDEX(data!$A$12:$AI$213,MATCH(HLOOKUP('II. Sledování projektu'!$L$5,vstupy!$N$2:$BY$180,$B167+1,0),data!$B$12:$B$213,0),28))</f>
        <v>545824.79</v>
      </c>
      <c r="G167" s="53">
        <f t="shared" si="15"/>
        <v>0.15395946407164518</v>
      </c>
      <c r="H167" s="53">
        <f>IF(ISERROR(INDEX(data!$A$12:$AI$213,MATCH(HLOOKUP('II. Sledování projektu'!$L$5,vstupy!$N$2:$BY$180,$B167+1,0),data!$B$12:$B$213,0),29)),"",INDEX(data!$A$12:$AI$213,MATCH(HLOOKUP('II. Sledování projektu'!$L$5,vstupy!$N$2:$BY$180,$B167+1,0),data!$B$12:$B$213,0),29))</f>
        <v>0.27689999999999998</v>
      </c>
      <c r="I167" s="54">
        <f>IF(ISERROR(INDEX(data!$A$12:$AI$213,MATCH(HLOOKUP('II. Sledování projektu'!$L$5,vstupy!$N$2:$BY$180,$B167+1,0),data!$B$12:$B$213,0),31)),"",INDEX(data!$A$12:$AI$213,MATCH(HLOOKUP('II. Sledování projektu'!$L$5,vstupy!$N$2:$BY$180,$B167+1,0),data!$B$12:$B$213,0),31))</f>
        <v>1239293.06</v>
      </c>
      <c r="J167" s="53">
        <f t="shared" si="16"/>
        <v>0.34956436358507864</v>
      </c>
      <c r="K167" s="53">
        <f t="shared" si="18"/>
        <v>1.2624209591371565</v>
      </c>
      <c r="L167" s="54">
        <f>IF(ISERROR(INDEX(data!$A$12:$AI$213,MATCH(HLOOKUP('II. Sledování projektu'!$L$5,vstupy!$N$2:$BY$180,$B167+1,0),data!$B$12:$B$213,0),32)),"",INDEX(data!$A$12:$AI$213,MATCH(HLOOKUP('II. Sledování projektu'!$L$5,vstupy!$N$2:$BY$180,$B167+1,0),data!$B$12:$B$213,0),32))</f>
        <v>712252.46</v>
      </c>
      <c r="M167" s="53">
        <f t="shared" si="19"/>
        <v>0.36496840719349449</v>
      </c>
      <c r="N167" s="54">
        <f>IF(ISERROR(VLOOKUP(C167,data!$C$12:$AD$213,28,0)),0,VLOOKUP(C167,data!$C$12:$AD$213,28,0))</f>
        <v>981679.72499999998</v>
      </c>
    </row>
    <row r="168" spans="2:14" x14ac:dyDescent="0.2">
      <c r="B168" s="19">
        <f t="shared" si="17"/>
        <v>163</v>
      </c>
      <c r="C168" s="19" t="str">
        <f>IF(ISERROR(INDEX(data!$A$12:$AI$213,MATCH(HLOOKUP('II. Sledování projektu'!$L$5,vstupy!$N$2:$BY$180,$B168+1,0),data!$B$12:$B$213,0),3)),"",INDEX(data!$A$12:$AI$213,MATCH(HLOOKUP('II. Sledování projektu'!$L$5,vstupy!$N$2:$BY$180,$B168+1,0),data!$B$12:$B$213,0),3))</f>
        <v>ZŠ O-Stará Bělá</v>
      </c>
      <c r="D168" s="156">
        <f>IF(ISERROR(INDEX(data!$A$12:$AI$213,MATCH(HLOOKUP('II. Sledování projektu'!$L$5,vstupy!$N$2:$BY$180,$B168+1,0),data!$B$12:$B$213,0),35)),"",INDEX(data!$A$12:$AI$213,MATCH(HLOOKUP('II. Sledování projektu'!$L$5,vstupy!$N$2:$BY$180,$B168+1,0),data!$B$12:$B$213,0),35))</f>
        <v>98.274306829471527</v>
      </c>
      <c r="E168" s="49">
        <f>IF(ISERROR(INDEX(data!$A$12:$AI$213,MATCH(HLOOKUP('II. Sledování projektu'!$L$5,vstupy!$N$2:$BY$180,$B168+1,0),data!$B$12:$B$213,0),27)),"",INDEX(data!$A$12:$AI$213,MATCH(HLOOKUP('II. Sledování projektu'!$L$5,vstupy!$N$2:$BY$180,$B168+1,0),data!$B$12:$B$213,0),27))</f>
        <v>3900375</v>
      </c>
      <c r="F168" s="54">
        <f>IF(ISERROR(INDEX(data!$A$12:$AI$213,MATCH(HLOOKUP('II. Sledování projektu'!$L$5,vstupy!$N$2:$BY$180,$B168+1,0),data!$B$12:$B$213,0),28)),"",INDEX(data!$A$12:$AI$213,MATCH(HLOOKUP('II. Sledování projektu'!$L$5,vstupy!$N$2:$BY$180,$B168+1,0),data!$B$12:$B$213,0),28))</f>
        <v>2985682.99</v>
      </c>
      <c r="G168" s="53">
        <f t="shared" si="15"/>
        <v>0.76548613658943054</v>
      </c>
      <c r="H168" s="53">
        <f>IF(ISERROR(INDEX(data!$A$12:$AI$213,MATCH(HLOOKUP('II. Sledování projektu'!$L$5,vstupy!$N$2:$BY$180,$B168+1,0),data!$B$12:$B$213,0),29)),"",INDEX(data!$A$12:$AI$213,MATCH(HLOOKUP('II. Sledování projektu'!$L$5,vstupy!$N$2:$BY$180,$B168+1,0),data!$B$12:$B$213,0),29))</f>
        <v>0.2802</v>
      </c>
      <c r="I168" s="54">
        <f>IF(ISERROR(INDEX(data!$A$12:$AI$213,MATCH(HLOOKUP('II. Sledování projektu'!$L$5,vstupy!$N$2:$BY$180,$B168+1,0),data!$B$12:$B$213,0),31)),"",INDEX(data!$A$12:$AI$213,MATCH(HLOOKUP('II. Sledování projektu'!$L$5,vstupy!$N$2:$BY$180,$B168+1,0),data!$B$12:$B$213,0),31))</f>
        <v>1214219.19</v>
      </c>
      <c r="J168" s="53">
        <f t="shared" si="16"/>
        <v>0.31130832035381212</v>
      </c>
      <c r="K168" s="53">
        <f t="shared" si="18"/>
        <v>1.1110218428044687</v>
      </c>
      <c r="L168" s="54">
        <f>IF(ISERROR(INDEX(data!$A$12:$AI$213,MATCH(HLOOKUP('II. Sledování projektu'!$L$5,vstupy!$N$2:$BY$180,$B168+1,0),data!$B$12:$B$213,0),32)),"",INDEX(data!$A$12:$AI$213,MATCH(HLOOKUP('II. Sledování projektu'!$L$5,vstupy!$N$2:$BY$180,$B168+1,0),data!$B$12:$B$213,0),32))</f>
        <v>267903.61</v>
      </c>
      <c r="M168" s="53">
        <f t="shared" si="19"/>
        <v>0.18075668898690447</v>
      </c>
      <c r="N168" s="54">
        <f>IF(ISERROR(VLOOKUP(C168,data!$C$12:$AD$213,28,0)),0,VLOOKUP(C168,data!$C$12:$AD$213,28,0))</f>
        <v>1092885.075</v>
      </c>
    </row>
    <row r="169" spans="2:14" x14ac:dyDescent="0.2">
      <c r="B169" s="19">
        <f t="shared" si="17"/>
        <v>164</v>
      </c>
      <c r="C169" s="19" t="str">
        <f>IF(ISERROR(INDEX(data!$A$12:$AI$213,MATCH(HLOOKUP('II. Sledování projektu'!$L$5,vstupy!$N$2:$BY$180,$B169+1,0),data!$B$12:$B$213,0),3)),"",INDEX(data!$A$12:$AI$213,MATCH(HLOOKUP('II. Sledování projektu'!$L$5,vstupy!$N$2:$BY$180,$B169+1,0),data!$B$12:$B$213,0),3))</f>
        <v>ZŠ O-Vítkovice, Šalounova</v>
      </c>
      <c r="D169" s="156">
        <f>IF(ISERROR(INDEX(data!$A$12:$AI$213,MATCH(HLOOKUP('II. Sledování projektu'!$L$5,vstupy!$N$2:$BY$180,$B169+1,0),data!$B$12:$B$213,0),35)),"",INDEX(data!$A$12:$AI$213,MATCH(HLOOKUP('II. Sledování projektu'!$L$5,vstupy!$N$2:$BY$180,$B169+1,0),data!$B$12:$B$213,0),35))</f>
        <v>72.886961376999267</v>
      </c>
      <c r="E169" s="49">
        <f>IF(ISERROR(INDEX(data!$A$12:$AI$213,MATCH(HLOOKUP('II. Sledování projektu'!$L$5,vstupy!$N$2:$BY$180,$B169+1,0),data!$B$12:$B$213,0),27)),"",INDEX(data!$A$12:$AI$213,MATCH(HLOOKUP('II. Sledování projektu'!$L$5,vstupy!$N$2:$BY$180,$B169+1,0),data!$B$12:$B$213,0),27))</f>
        <v>1986375</v>
      </c>
      <c r="F169" s="54">
        <f>IF(ISERROR(INDEX(data!$A$12:$AI$213,MATCH(HLOOKUP('II. Sledování projektu'!$L$5,vstupy!$N$2:$BY$180,$B169+1,0),data!$B$12:$B$213,0),28)),"",INDEX(data!$A$12:$AI$213,MATCH(HLOOKUP('II. Sledování projektu'!$L$5,vstupy!$N$2:$BY$180,$B169+1,0),data!$B$12:$B$213,0),28))</f>
        <v>1672627.3699999999</v>
      </c>
      <c r="G169" s="53">
        <f t="shared" si="15"/>
        <v>0.84205015165817121</v>
      </c>
      <c r="H169" s="53">
        <f>IF(ISERROR(INDEX(data!$A$12:$AI$213,MATCH(HLOOKUP('II. Sledování projektu'!$L$5,vstupy!$N$2:$BY$180,$B169+1,0),data!$B$12:$B$213,0),29)),"",INDEX(data!$A$12:$AI$213,MATCH(HLOOKUP('II. Sledování projektu'!$L$5,vstupy!$N$2:$BY$180,$B169+1,0),data!$B$12:$B$213,0),29))</f>
        <v>0.24060000000000001</v>
      </c>
      <c r="I169" s="54">
        <f>IF(ISERROR(INDEX(data!$A$12:$AI$213,MATCH(HLOOKUP('II. Sledování projektu'!$L$5,vstupy!$N$2:$BY$180,$B169+1,0),data!$B$12:$B$213,0),31)),"",INDEX(data!$A$12:$AI$213,MATCH(HLOOKUP('II. Sledování projektu'!$L$5,vstupy!$N$2:$BY$180,$B169+1,0),data!$B$12:$B$213,0),31))</f>
        <v>261956.61</v>
      </c>
      <c r="J169" s="53">
        <f t="shared" si="16"/>
        <v>0.13187671512176702</v>
      </c>
      <c r="K169" s="53">
        <f t="shared" si="18"/>
        <v>0.54811602294998762</v>
      </c>
      <c r="L169" s="54">
        <f>IF(ISERROR(INDEX(data!$A$12:$AI$213,MATCH(HLOOKUP('II. Sledování projektu'!$L$5,vstupy!$N$2:$BY$180,$B169+1,0),data!$B$12:$B$213,0),32)),"",INDEX(data!$A$12:$AI$213,MATCH(HLOOKUP('II. Sledování projektu'!$L$5,vstupy!$N$2:$BY$180,$B169+1,0),data!$B$12:$B$213,0),32))</f>
        <v>199082.61</v>
      </c>
      <c r="M169" s="53">
        <f t="shared" si="19"/>
        <v>0.43181274252546237</v>
      </c>
      <c r="N169" s="54">
        <f>IF(ISERROR(VLOOKUP(C169,data!$C$12:$AD$213,28,0)),0,VLOOKUP(C169,data!$C$12:$AD$213,28,0))</f>
        <v>477921.82500000001</v>
      </c>
    </row>
    <row r="170" spans="2:14" x14ac:dyDescent="0.2">
      <c r="B170" s="19">
        <f t="shared" si="17"/>
        <v>165</v>
      </c>
      <c r="C170" s="19" t="str">
        <f>IF(ISERROR(INDEX(data!$A$12:$AI$213,MATCH(HLOOKUP('II. Sledování projektu'!$L$5,vstupy!$N$2:$BY$180,$B170+1,0),data!$B$12:$B$213,0),3)),"",INDEX(data!$A$12:$AI$213,MATCH(HLOOKUP('II. Sledování projektu'!$L$5,vstupy!$N$2:$BY$180,$B170+1,0),data!$B$12:$B$213,0),3))</f>
        <v>ZŠ O-Výškovice, Srbská</v>
      </c>
      <c r="D170" s="156">
        <f>IF(ISERROR(INDEX(data!$A$12:$AI$213,MATCH(HLOOKUP('II. Sledování projektu'!$L$5,vstupy!$N$2:$BY$180,$B170+1,0),data!$B$12:$B$213,0),35)),"",INDEX(data!$A$12:$AI$213,MATCH(HLOOKUP('II. Sledování projektu'!$L$5,vstupy!$N$2:$BY$180,$B170+1,0),data!$B$12:$B$213,0),35))</f>
        <v>5.656809292112829</v>
      </c>
      <c r="E170" s="49">
        <f>IF(ISERROR(INDEX(data!$A$12:$AI$213,MATCH(HLOOKUP('II. Sledování projektu'!$L$5,vstupy!$N$2:$BY$180,$B170+1,0),data!$B$12:$B$213,0),27)),"",INDEX(data!$A$12:$AI$213,MATCH(HLOOKUP('II. Sledování projektu'!$L$5,vstupy!$N$2:$BY$180,$B170+1,0),data!$B$12:$B$213,0),27))</f>
        <v>3165750</v>
      </c>
      <c r="F170" s="54">
        <f>IF(ISERROR(INDEX(data!$A$12:$AI$213,MATCH(HLOOKUP('II. Sledování projektu'!$L$5,vstupy!$N$2:$BY$180,$B170+1,0),data!$B$12:$B$213,0),28)),"",INDEX(data!$A$12:$AI$213,MATCH(HLOOKUP('II. Sledování projektu'!$L$5,vstupy!$N$2:$BY$180,$B170+1,0),data!$B$12:$B$213,0),28))</f>
        <v>0</v>
      </c>
      <c r="G170" s="53">
        <f t="shared" si="15"/>
        <v>0</v>
      </c>
      <c r="H170" s="53">
        <f>IF(ISERROR(INDEX(data!$A$12:$AI$213,MATCH(HLOOKUP('II. Sledování projektu'!$L$5,vstupy!$N$2:$BY$180,$B170+1,0),data!$B$12:$B$213,0),29)),"",INDEX(data!$A$12:$AI$213,MATCH(HLOOKUP('II. Sledování projektu'!$L$5,vstupy!$N$2:$BY$180,$B170+1,0),data!$B$12:$B$213,0),29))</f>
        <v>0.21809999999999999</v>
      </c>
      <c r="I170" s="54">
        <f>IF(ISERROR(INDEX(data!$A$12:$AI$213,MATCH(HLOOKUP('II. Sledování projektu'!$L$5,vstupy!$N$2:$BY$180,$B170+1,0),data!$B$12:$B$213,0),31)),"",INDEX(data!$A$12:$AI$213,MATCH(HLOOKUP('II. Sledování projektu'!$L$5,vstupy!$N$2:$BY$180,$B170+1,0),data!$B$12:$B$213,0),31))</f>
        <v>65095.74</v>
      </c>
      <c r="J170" s="53">
        <f t="shared" si="16"/>
        <v>2.0562501776830135E-2</v>
      </c>
      <c r="K170" s="53">
        <f t="shared" si="18"/>
        <v>9.4280154868547156E-2</v>
      </c>
      <c r="L170" s="54">
        <f>IF(ISERROR(INDEX(data!$A$12:$AI$213,MATCH(HLOOKUP('II. Sledování projektu'!$L$5,vstupy!$N$2:$BY$180,$B170+1,0),data!$B$12:$B$213,0),32)),"",INDEX(data!$A$12:$AI$213,MATCH(HLOOKUP('II. Sledování projektu'!$L$5,vstupy!$N$2:$BY$180,$B170+1,0),data!$B$12:$B$213,0),32))</f>
        <v>47307.15</v>
      </c>
      <c r="M170" s="53">
        <f t="shared" si="19"/>
        <v>0.42087129610279594</v>
      </c>
      <c r="N170" s="54">
        <f>IF(ISERROR(VLOOKUP(C170,data!$C$12:$AD$213,28,0)),0,VLOOKUP(C170,data!$C$12:$AD$213,28,0))</f>
        <v>690450.07499999995</v>
      </c>
    </row>
    <row r="171" spans="2:14" x14ac:dyDescent="0.2">
      <c r="B171" s="19">
        <f t="shared" si="17"/>
        <v>166</v>
      </c>
      <c r="C171" s="19" t="str">
        <f>IF(ISERROR(INDEX(data!$A$12:$AI$213,MATCH(HLOOKUP('II. Sledování projektu'!$L$5,vstupy!$N$2:$BY$180,$B171+1,0),data!$B$12:$B$213,0),3)),"",INDEX(data!$A$12:$AI$213,MATCH(HLOOKUP('II. Sledování projektu'!$L$5,vstupy!$N$2:$BY$180,$B171+1,0),data!$B$12:$B$213,0),3))</f>
        <v>ZŠ O-Zábřeh, Chrjukinova</v>
      </c>
      <c r="D171" s="156">
        <f>IF(ISERROR(INDEX(data!$A$12:$AI$213,MATCH(HLOOKUP('II. Sledování projektu'!$L$5,vstupy!$N$2:$BY$180,$B171+1,0),data!$B$12:$B$213,0),35)),"",INDEX(data!$A$12:$AI$213,MATCH(HLOOKUP('II. Sledování projektu'!$L$5,vstupy!$N$2:$BY$180,$B171+1,0),data!$B$12:$B$213,0),35))</f>
        <v>18.231050512954845</v>
      </c>
      <c r="E171" s="49">
        <f>IF(ISERROR(INDEX(data!$A$12:$AI$213,MATCH(HLOOKUP('II. Sledování projektu'!$L$5,vstupy!$N$2:$BY$180,$B171+1,0),data!$B$12:$B$213,0),27)),"",INDEX(data!$A$12:$AI$213,MATCH(HLOOKUP('II. Sledování projektu'!$L$5,vstupy!$N$2:$BY$180,$B171+1,0),data!$B$12:$B$213,0),27))</f>
        <v>3030000</v>
      </c>
      <c r="F171" s="54">
        <f>IF(ISERROR(INDEX(data!$A$12:$AI$213,MATCH(HLOOKUP('II. Sledování projektu'!$L$5,vstupy!$N$2:$BY$180,$B171+1,0),data!$B$12:$B$213,0),28)),"",INDEX(data!$A$12:$AI$213,MATCH(HLOOKUP('II. Sledování projektu'!$L$5,vstupy!$N$2:$BY$180,$B171+1,0),data!$B$12:$B$213,0),28))</f>
        <v>0</v>
      </c>
      <c r="G171" s="53">
        <f t="shared" si="15"/>
        <v>0</v>
      </c>
      <c r="H171" s="53">
        <f>IF(ISERROR(INDEX(data!$A$12:$AI$213,MATCH(HLOOKUP('II. Sledování projektu'!$L$5,vstupy!$N$2:$BY$180,$B171+1,0),data!$B$12:$B$213,0),29)),"",INDEX(data!$A$12:$AI$213,MATCH(HLOOKUP('II. Sledování projektu'!$L$5,vstupy!$N$2:$BY$180,$B171+1,0),data!$B$12:$B$213,0),29))</f>
        <v>0.14929999999999999</v>
      </c>
      <c r="I171" s="54">
        <f>IF(ISERROR(INDEX(data!$A$12:$AI$213,MATCH(HLOOKUP('II. Sledování projektu'!$L$5,vstupy!$N$2:$BY$180,$B171+1,0),data!$B$12:$B$213,0),31)),"",INDEX(data!$A$12:$AI$213,MATCH(HLOOKUP('II. Sledování projektu'!$L$5,vstupy!$N$2:$BY$180,$B171+1,0),data!$B$12:$B$213,0),31))</f>
        <v>137455.74</v>
      </c>
      <c r="J171" s="53">
        <f t="shared" si="16"/>
        <v>4.5364930693069301E-2</v>
      </c>
      <c r="K171" s="53">
        <f t="shared" si="18"/>
        <v>0.30385084188258077</v>
      </c>
      <c r="L171" s="54">
        <f>IF(ISERROR(INDEX(data!$A$12:$AI$213,MATCH(HLOOKUP('II. Sledování projektu'!$L$5,vstupy!$N$2:$BY$180,$B171+1,0),data!$B$12:$B$213,0),32)),"",INDEX(data!$A$12:$AI$213,MATCH(HLOOKUP('II. Sledování projektu'!$L$5,vstupy!$N$2:$BY$180,$B171+1,0),data!$B$12:$B$213,0),32))</f>
        <v>106880.13</v>
      </c>
      <c r="M171" s="53">
        <f t="shared" si="19"/>
        <v>0.43743118847019885</v>
      </c>
      <c r="N171" s="54">
        <f>IF(ISERROR(VLOOKUP(C171,data!$C$12:$AD$213,28,0)),0,VLOOKUP(C171,data!$C$12:$AD$213,28,0))</f>
        <v>452378.99999999994</v>
      </c>
    </row>
    <row r="172" spans="2:14" x14ac:dyDescent="0.2">
      <c r="B172" s="19">
        <f t="shared" si="17"/>
        <v>167</v>
      </c>
      <c r="C172" s="19" t="str">
        <f>IF(ISERROR(INDEX(data!$A$12:$AI$213,MATCH(HLOOKUP('II. Sledování projektu'!$L$5,vstupy!$N$2:$BY$180,$B172+1,0),data!$B$12:$B$213,0),3)),"",INDEX(data!$A$12:$AI$213,MATCH(HLOOKUP('II. Sledování projektu'!$L$5,vstupy!$N$2:$BY$180,$B172+1,0),data!$B$12:$B$213,0),3))</f>
        <v>ZŠ O-Zábřeh, Jugoslávská</v>
      </c>
      <c r="D172" s="156">
        <f>IF(ISERROR(INDEX(data!$A$12:$AI$213,MATCH(HLOOKUP('II. Sledování projektu'!$L$5,vstupy!$N$2:$BY$180,$B172+1,0),data!$B$12:$B$213,0),35)),"",INDEX(data!$A$12:$AI$213,MATCH(HLOOKUP('II. Sledování projektu'!$L$5,vstupy!$N$2:$BY$180,$B172+1,0),data!$B$12:$B$213,0),35))</f>
        <v>6.8752119524344186</v>
      </c>
      <c r="E172" s="49">
        <f>IF(ISERROR(INDEX(data!$A$12:$AI$213,MATCH(HLOOKUP('II. Sledování projektu'!$L$5,vstupy!$N$2:$BY$180,$B172+1,0),data!$B$12:$B$213,0),27)),"",INDEX(data!$A$12:$AI$213,MATCH(HLOOKUP('II. Sledování projektu'!$L$5,vstupy!$N$2:$BY$180,$B172+1,0),data!$B$12:$B$213,0),27))</f>
        <v>3346125</v>
      </c>
      <c r="F172" s="54">
        <f>IF(ISERROR(INDEX(data!$A$12:$AI$213,MATCH(HLOOKUP('II. Sledování projektu'!$L$5,vstupy!$N$2:$BY$180,$B172+1,0),data!$B$12:$B$213,0),28)),"",INDEX(data!$A$12:$AI$213,MATCH(HLOOKUP('II. Sledování projektu'!$L$5,vstupy!$N$2:$BY$180,$B172+1,0),data!$B$12:$B$213,0),28))</f>
        <v>10494.32</v>
      </c>
      <c r="G172" s="53">
        <f t="shared" si="15"/>
        <v>3.1362605999477005E-3</v>
      </c>
      <c r="H172" s="53">
        <f>IF(ISERROR(INDEX(data!$A$12:$AI$213,MATCH(HLOOKUP('II. Sledování projektu'!$L$5,vstupy!$N$2:$BY$180,$B172+1,0),data!$B$12:$B$213,0),29)),"",INDEX(data!$A$12:$AI$213,MATCH(HLOOKUP('II. Sledování projektu'!$L$5,vstupy!$N$2:$BY$180,$B172+1,0),data!$B$12:$B$213,0),29))</f>
        <v>0.1696</v>
      </c>
      <c r="I172" s="54">
        <f>IF(ISERROR(INDEX(data!$A$12:$AI$213,MATCH(HLOOKUP('II. Sledování projektu'!$L$5,vstupy!$N$2:$BY$180,$B172+1,0),data!$B$12:$B$213,0),31)),"",INDEX(data!$A$12:$AI$213,MATCH(HLOOKUP('II. Sledování projektu'!$L$5,vstupy!$N$2:$BY$180,$B172+1,0),data!$B$12:$B$213,0),31))</f>
        <v>63545.17</v>
      </c>
      <c r="J172" s="53">
        <f t="shared" si="16"/>
        <v>1.8990674287422016E-2</v>
      </c>
      <c r="K172" s="53">
        <f t="shared" si="18"/>
        <v>0.11197331537395057</v>
      </c>
      <c r="L172" s="54">
        <f>IF(ISERROR(INDEX(data!$A$12:$AI$213,MATCH(HLOOKUP('II. Sledování projektu'!$L$5,vstupy!$N$2:$BY$180,$B172+1,0),data!$B$12:$B$213,0),32)),"",INDEX(data!$A$12:$AI$213,MATCH(HLOOKUP('II. Sledování projektu'!$L$5,vstupy!$N$2:$BY$180,$B172+1,0),data!$B$12:$B$213,0),32))</f>
        <v>61238.869999999995</v>
      </c>
      <c r="M172" s="53">
        <f t="shared" si="19"/>
        <v>0.49075883422270988</v>
      </c>
      <c r="N172" s="54">
        <f>IF(ISERROR(VLOOKUP(C172,data!$C$12:$AD$213,28,0)),0,VLOOKUP(C172,data!$C$12:$AD$213,28,0))</f>
        <v>567502.80000000005</v>
      </c>
    </row>
    <row r="173" spans="2:14" x14ac:dyDescent="0.2">
      <c r="B173" s="19">
        <f t="shared" si="17"/>
        <v>168</v>
      </c>
      <c r="C173" s="19" t="str">
        <f>IF(ISERROR(INDEX(data!$A$12:$AI$213,MATCH(HLOOKUP('II. Sledování projektu'!$L$5,vstupy!$N$2:$BY$180,$B173+1,0),data!$B$12:$B$213,0),3)),"",INDEX(data!$A$12:$AI$213,MATCH(HLOOKUP('II. Sledování projektu'!$L$5,vstupy!$N$2:$BY$180,$B173+1,0),data!$B$12:$B$213,0),3))</f>
        <v>ZŠ Ostrava, Gebauerova</v>
      </c>
      <c r="D173" s="156">
        <f>IF(ISERROR(INDEX(data!$A$12:$AI$213,MATCH(HLOOKUP('II. Sledování projektu'!$L$5,vstupy!$N$2:$BY$180,$B173+1,0),data!$B$12:$B$213,0),35)),"",INDEX(data!$A$12:$AI$213,MATCH(HLOOKUP('II. Sledování projektu'!$L$5,vstupy!$N$2:$BY$180,$B173+1,0),data!$B$12:$B$213,0),35))</f>
        <v>32.629367225439537</v>
      </c>
      <c r="E173" s="49">
        <f>IF(ISERROR(INDEX(data!$A$12:$AI$213,MATCH(HLOOKUP('II. Sledování projektu'!$L$5,vstupy!$N$2:$BY$180,$B173+1,0),data!$B$12:$B$213,0),27)),"",INDEX(data!$A$12:$AI$213,MATCH(HLOOKUP('II. Sledování projektu'!$L$5,vstupy!$N$2:$BY$180,$B173+1,0),data!$B$12:$B$213,0),27))</f>
        <v>2154987.9975000001</v>
      </c>
      <c r="F173" s="54">
        <f>IF(ISERROR(INDEX(data!$A$12:$AI$213,MATCH(HLOOKUP('II. Sledování projektu'!$L$5,vstupy!$N$2:$BY$180,$B173+1,0),data!$B$12:$B$213,0),28)),"",INDEX(data!$A$12:$AI$213,MATCH(HLOOKUP('II. Sledování projektu'!$L$5,vstupy!$N$2:$BY$180,$B173+1,0),data!$B$12:$B$213,0),28))</f>
        <v>0</v>
      </c>
      <c r="G173" s="53">
        <f t="shared" si="15"/>
        <v>0</v>
      </c>
      <c r="H173" s="53">
        <f>IF(ISERROR(INDEX(data!$A$12:$AI$213,MATCH(HLOOKUP('II. Sledování projektu'!$L$5,vstupy!$N$2:$BY$180,$B173+1,0),data!$B$12:$B$213,0),29)),"",INDEX(data!$A$12:$AI$213,MATCH(HLOOKUP('II. Sledování projektu'!$L$5,vstupy!$N$2:$BY$180,$B173+1,0),data!$B$12:$B$213,0),29))</f>
        <v>6.8400000000000002E-2</v>
      </c>
      <c r="I173" s="54">
        <f>IF(ISERROR(INDEX(data!$A$12:$AI$213,MATCH(HLOOKUP('II. Sledování projektu'!$L$5,vstupy!$N$2:$BY$180,$B173+1,0),data!$B$12:$B$213,0),31)),"",INDEX(data!$A$12:$AI$213,MATCH(HLOOKUP('II. Sledování projektu'!$L$5,vstupy!$N$2:$BY$180,$B173+1,0),data!$B$12:$B$213,0),31))</f>
        <v>80160.12</v>
      </c>
      <c r="J173" s="53">
        <f t="shared" si="16"/>
        <v>3.7197478637001083E-2</v>
      </c>
      <c r="K173" s="53">
        <f t="shared" si="18"/>
        <v>0.54382278709065901</v>
      </c>
      <c r="L173" s="54">
        <f>IF(ISERROR(INDEX(data!$A$12:$AI$213,MATCH(HLOOKUP('II. Sledování projektu'!$L$5,vstupy!$N$2:$BY$180,$B173+1,0),data!$B$12:$B$213,0),32)),"",INDEX(data!$A$12:$AI$213,MATCH(HLOOKUP('II. Sledování projektu'!$L$5,vstupy!$N$2:$BY$180,$B173+1,0),data!$B$12:$B$213,0),32))</f>
        <v>74951.55</v>
      </c>
      <c r="M173" s="53">
        <f t="shared" si="19"/>
        <v>0.4832102574873961</v>
      </c>
      <c r="N173" s="54">
        <f>IF(ISERROR(VLOOKUP(C173,data!$C$12:$AD$213,28,0)),0,VLOOKUP(C173,data!$C$12:$AD$213,28,0))</f>
        <v>147401.17902900002</v>
      </c>
    </row>
    <row r="174" spans="2:14" x14ac:dyDescent="0.2">
      <c r="B174" s="19">
        <f t="shared" si="17"/>
        <v>169</v>
      </c>
      <c r="C174" s="19" t="str">
        <f>IF(ISERROR(INDEX(data!$A$12:$AI$213,MATCH(HLOOKUP('II. Sledování projektu'!$L$5,vstupy!$N$2:$BY$180,$B174+1,0),data!$B$12:$B$213,0),3)),"",INDEX(data!$A$12:$AI$213,MATCH(HLOOKUP('II. Sledování projektu'!$L$5,vstupy!$N$2:$BY$180,$B174+1,0),data!$B$12:$B$213,0),3))</f>
        <v>ZŠ Ostrava, Gen.Píky</v>
      </c>
      <c r="D174" s="156">
        <f>IF(ISERROR(INDEX(data!$A$12:$AI$213,MATCH(HLOOKUP('II. Sledování projektu'!$L$5,vstupy!$N$2:$BY$180,$B174+1,0),data!$B$12:$B$213,0),35)),"",INDEX(data!$A$12:$AI$213,MATCH(HLOOKUP('II. Sledování projektu'!$L$5,vstupy!$N$2:$BY$180,$B174+1,0),data!$B$12:$B$213,0),35))</f>
        <v>82.44107322359099</v>
      </c>
      <c r="E174" s="49">
        <f>IF(ISERROR(INDEX(data!$A$12:$AI$213,MATCH(HLOOKUP('II. Sledování projektu'!$L$5,vstupy!$N$2:$BY$180,$B174+1,0),data!$B$12:$B$213,0),27)),"",INDEX(data!$A$12:$AI$213,MATCH(HLOOKUP('II. Sledování projektu'!$L$5,vstupy!$N$2:$BY$180,$B174+1,0),data!$B$12:$B$213,0),27))</f>
        <v>3966000</v>
      </c>
      <c r="F174" s="54">
        <f>IF(ISERROR(INDEX(data!$A$12:$AI$213,MATCH(HLOOKUP('II. Sledování projektu'!$L$5,vstupy!$N$2:$BY$180,$B174+1,0),data!$B$12:$B$213,0),28)),"",INDEX(data!$A$12:$AI$213,MATCH(HLOOKUP('II. Sledování projektu'!$L$5,vstupy!$N$2:$BY$180,$B174+1,0),data!$B$12:$B$213,0),28))</f>
        <v>2862280.69</v>
      </c>
      <c r="G174" s="53">
        <f t="shared" si="15"/>
        <v>0.7217046621280887</v>
      </c>
      <c r="H174" s="53">
        <f>IF(ISERROR(INDEX(data!$A$12:$AI$213,MATCH(HLOOKUP('II. Sledování projektu'!$L$5,vstupy!$N$2:$BY$180,$B174+1,0),data!$B$12:$B$213,0),29)),"",INDEX(data!$A$12:$AI$213,MATCH(HLOOKUP('II. Sledování projektu'!$L$5,vstupy!$N$2:$BY$180,$B174+1,0),data!$B$12:$B$213,0),29))</f>
        <v>5.04E-2</v>
      </c>
      <c r="I174" s="54">
        <f>IF(ISERROR(INDEX(data!$A$12:$AI$213,MATCH(HLOOKUP('II. Sledování projektu'!$L$5,vstupy!$N$2:$BY$180,$B174+1,0),data!$B$12:$B$213,0),31)),"",INDEX(data!$A$12:$AI$213,MATCH(HLOOKUP('II. Sledování projektu'!$L$5,vstupy!$N$2:$BY$180,$B174+1,0),data!$B$12:$B$213,0),31))</f>
        <v>154431.69999999998</v>
      </c>
      <c r="J174" s="53">
        <f t="shared" si="16"/>
        <v>3.8938905698436707E-2</v>
      </c>
      <c r="K174" s="53">
        <f t="shared" si="18"/>
        <v>0.77259733528644259</v>
      </c>
      <c r="L174" s="54">
        <f>IF(ISERROR(INDEX(data!$A$12:$AI$213,MATCH(HLOOKUP('II. Sledování projektu'!$L$5,vstupy!$N$2:$BY$180,$B174+1,0),data!$B$12:$B$213,0),32)),"",INDEX(data!$A$12:$AI$213,MATCH(HLOOKUP('II. Sledování projektu'!$L$5,vstupy!$N$2:$BY$180,$B174+1,0),data!$B$12:$B$213,0),32))</f>
        <v>126880.18</v>
      </c>
      <c r="M174" s="53">
        <f t="shared" si="19"/>
        <v>0.45103029420584723</v>
      </c>
      <c r="N174" s="54">
        <f>IF(ISERROR(VLOOKUP(C174,data!$C$12:$AD$213,28,0)),0,VLOOKUP(C174,data!$C$12:$AD$213,28,0))</f>
        <v>199886.4</v>
      </c>
    </row>
    <row r="175" spans="2:14" x14ac:dyDescent="0.2">
      <c r="B175" s="19">
        <f t="shared" si="17"/>
        <v>170</v>
      </c>
      <c r="C175" s="19" t="str">
        <f>IF(ISERROR(INDEX(data!$A$12:$AI$213,MATCH(HLOOKUP('II. Sledování projektu'!$L$5,vstupy!$N$2:$BY$180,$B175+1,0),data!$B$12:$B$213,0),3)),"",INDEX(data!$A$12:$AI$213,MATCH(HLOOKUP('II. Sledování projektu'!$L$5,vstupy!$N$2:$BY$180,$B175+1,0),data!$B$12:$B$213,0),3))</f>
        <v>ZŠ Ostrava, Nádražní</v>
      </c>
      <c r="D175" s="156">
        <f>IF(ISERROR(INDEX(data!$A$12:$AI$213,MATCH(HLOOKUP('II. Sledování projektu'!$L$5,vstupy!$N$2:$BY$180,$B175+1,0),data!$B$12:$B$213,0),35)),"",INDEX(data!$A$12:$AI$213,MATCH(HLOOKUP('II. Sledování projektu'!$L$5,vstupy!$N$2:$BY$180,$B175+1,0),data!$B$12:$B$213,0),35))</f>
        <v>55.90881647989346</v>
      </c>
      <c r="E175" s="49">
        <f>IF(ISERROR(INDEX(data!$A$12:$AI$213,MATCH(HLOOKUP('II. Sledování projektu'!$L$5,vstupy!$N$2:$BY$180,$B175+1,0),data!$B$12:$B$213,0),27)),"",INDEX(data!$A$12:$AI$213,MATCH(HLOOKUP('II. Sledování projektu'!$L$5,vstupy!$N$2:$BY$180,$B175+1,0),data!$B$12:$B$213,0),27))</f>
        <v>1906125</v>
      </c>
      <c r="F175" s="54">
        <f>IF(ISERROR(INDEX(data!$A$12:$AI$213,MATCH(HLOOKUP('II. Sledování projektu'!$L$5,vstupy!$N$2:$BY$180,$B175+1,0),data!$B$12:$B$213,0),28)),"",INDEX(data!$A$12:$AI$213,MATCH(HLOOKUP('II. Sledování projektu'!$L$5,vstupy!$N$2:$BY$180,$B175+1,0),data!$B$12:$B$213,0),28))</f>
        <v>1645.6</v>
      </c>
      <c r="G175" s="53">
        <f t="shared" si="15"/>
        <v>8.6332218506131547E-4</v>
      </c>
      <c r="H175" s="53">
        <f>IF(ISERROR(INDEX(data!$A$12:$AI$213,MATCH(HLOOKUP('II. Sledování projektu'!$L$5,vstupy!$N$2:$BY$180,$B175+1,0),data!$B$12:$B$213,0),29)),"",INDEX(data!$A$12:$AI$213,MATCH(HLOOKUP('II. Sledování projektu'!$L$5,vstupy!$N$2:$BY$180,$B175+1,0),data!$B$12:$B$213,0),29))</f>
        <v>0.13189999999999999</v>
      </c>
      <c r="I175" s="54">
        <f>IF(ISERROR(INDEX(data!$A$12:$AI$213,MATCH(HLOOKUP('II. Sledování projektu'!$L$5,vstupy!$N$2:$BY$180,$B175+1,0),data!$B$12:$B$213,0),31)),"",INDEX(data!$A$12:$AI$213,MATCH(HLOOKUP('II. Sledování projektu'!$L$5,vstupy!$N$2:$BY$180,$B175+1,0),data!$B$12:$B$213,0),31))</f>
        <v>234093.73</v>
      </c>
      <c r="J175" s="53">
        <f t="shared" si="16"/>
        <v>0.12281132139812448</v>
      </c>
      <c r="K175" s="53">
        <f t="shared" si="18"/>
        <v>0.93109417284400664</v>
      </c>
      <c r="L175" s="54">
        <f>IF(ISERROR(INDEX(data!$A$12:$AI$213,MATCH(HLOOKUP('II. Sledování projektu'!$L$5,vstupy!$N$2:$BY$180,$B175+1,0),data!$B$12:$B$213,0),32)),"",INDEX(data!$A$12:$AI$213,MATCH(HLOOKUP('II. Sledování projektu'!$L$5,vstupy!$N$2:$BY$180,$B175+1,0),data!$B$12:$B$213,0),32))</f>
        <v>178688.03</v>
      </c>
      <c r="M175" s="53">
        <f t="shared" si="19"/>
        <v>0.43288741731223779</v>
      </c>
      <c r="N175" s="54">
        <f>IF(ISERROR(VLOOKUP(C175,data!$C$12:$AD$213,28,0)),0,VLOOKUP(C175,data!$C$12:$AD$213,28,0))</f>
        <v>251417.88749999998</v>
      </c>
    </row>
    <row r="176" spans="2:14" x14ac:dyDescent="0.2">
      <c r="B176" s="19">
        <f t="shared" si="17"/>
        <v>171</v>
      </c>
      <c r="C176" s="19" t="str">
        <f>IF(ISERROR(INDEX(data!$A$12:$AI$213,MATCH(HLOOKUP('II. Sledování projektu'!$L$5,vstupy!$N$2:$BY$180,$B176+1,0),data!$B$12:$B$213,0),3)),"",INDEX(data!$A$12:$AI$213,MATCH(HLOOKUP('II. Sledování projektu'!$L$5,vstupy!$N$2:$BY$180,$B176+1,0),data!$B$12:$B$213,0),3))</f>
        <v>ZŠ Ostrava, Zelená</v>
      </c>
      <c r="D176" s="156">
        <f>IF(ISERROR(INDEX(data!$A$12:$AI$213,MATCH(HLOOKUP('II. Sledování projektu'!$L$5,vstupy!$N$2:$BY$180,$B176+1,0),data!$B$12:$B$213,0),35)),"",INDEX(data!$A$12:$AI$213,MATCH(HLOOKUP('II. Sledování projektu'!$L$5,vstupy!$N$2:$BY$180,$B176+1,0),data!$B$12:$B$213,0),35))</f>
        <v>14.691673584742386</v>
      </c>
      <c r="E176" s="49">
        <f>IF(ISERROR(INDEX(data!$A$12:$AI$213,MATCH(HLOOKUP('II. Sledování projektu'!$L$5,vstupy!$N$2:$BY$180,$B176+1,0),data!$B$12:$B$213,0),27)),"",INDEX(data!$A$12:$AI$213,MATCH(HLOOKUP('II. Sledování projektu'!$L$5,vstupy!$N$2:$BY$180,$B176+1,0),data!$B$12:$B$213,0),27))</f>
        <v>3641250</v>
      </c>
      <c r="F176" s="54">
        <f>IF(ISERROR(INDEX(data!$A$12:$AI$213,MATCH(HLOOKUP('II. Sledování projektu'!$L$5,vstupy!$N$2:$BY$180,$B176+1,0),data!$B$12:$B$213,0),28)),"",INDEX(data!$A$12:$AI$213,MATCH(HLOOKUP('II. Sledování projektu'!$L$5,vstupy!$N$2:$BY$180,$B176+1,0),data!$B$12:$B$213,0),28))</f>
        <v>96587.5</v>
      </c>
      <c r="G176" s="53">
        <f t="shared" si="15"/>
        <v>2.652591829728802E-2</v>
      </c>
      <c r="H176" s="53">
        <f>IF(ISERROR(INDEX(data!$A$12:$AI$213,MATCH(HLOOKUP('II. Sledování projektu'!$L$5,vstupy!$N$2:$BY$180,$B176+1,0),data!$B$12:$B$213,0),29)),"",INDEX(data!$A$12:$AI$213,MATCH(HLOOKUP('II. Sledování projektu'!$L$5,vstupy!$N$2:$BY$180,$B176+1,0),data!$B$12:$B$213,0),29))</f>
        <v>0.21659999999999999</v>
      </c>
      <c r="I176" s="54">
        <f>IF(ISERROR(INDEX(data!$A$12:$AI$213,MATCH(HLOOKUP('II. Sledování projektu'!$L$5,vstupy!$N$2:$BY$180,$B176+1,0),data!$B$12:$B$213,0),31)),"",INDEX(data!$A$12:$AI$213,MATCH(HLOOKUP('II. Sledování projektu'!$L$5,vstupy!$N$2:$BY$180,$B176+1,0),data!$B$12:$B$213,0),31))</f>
        <v>175686.72</v>
      </c>
      <c r="J176" s="53">
        <f t="shared" si="16"/>
        <v>4.8249013388259529E-2</v>
      </c>
      <c r="K176" s="53">
        <f t="shared" si="18"/>
        <v>0.22275629449796641</v>
      </c>
      <c r="L176" s="54">
        <f>IF(ISERROR(INDEX(data!$A$12:$AI$213,MATCH(HLOOKUP('II. Sledování projektu'!$L$5,vstupy!$N$2:$BY$180,$B176+1,0),data!$B$12:$B$213,0),32)),"",INDEX(data!$A$12:$AI$213,MATCH(HLOOKUP('II. Sledování projektu'!$L$5,vstupy!$N$2:$BY$180,$B176+1,0),data!$B$12:$B$213,0),32))</f>
        <v>76411.37</v>
      </c>
      <c r="M176" s="53">
        <f t="shared" si="19"/>
        <v>0.30310174107229448</v>
      </c>
      <c r="N176" s="54">
        <f>IF(ISERROR(VLOOKUP(C176,data!$C$12:$AD$213,28,0)),0,VLOOKUP(C176,data!$C$12:$AD$213,28,0))</f>
        <v>788694.75</v>
      </c>
    </row>
    <row r="177" spans="2:14" x14ac:dyDescent="0.2">
      <c r="B177" s="19">
        <f t="shared" si="17"/>
        <v>172</v>
      </c>
      <c r="C177" s="19" t="str">
        <f>IF(ISERROR(INDEX(data!$A$12:$AI$213,MATCH(HLOOKUP('II. Sledování projektu'!$L$5,vstupy!$N$2:$BY$180,$B177+1,0),data!$B$12:$B$213,0),3)),"",INDEX(data!$A$12:$AI$213,MATCH(HLOOKUP('II. Sledování projektu'!$L$5,vstupy!$N$2:$BY$180,$B177+1,0),data!$B$12:$B$213,0),3))</f>
        <v>ZŠ Slezská Ostrava, Bohumínská</v>
      </c>
      <c r="D177" s="156">
        <f>IF(ISERROR(INDEX(data!$A$12:$AI$213,MATCH(HLOOKUP('II. Sledování projektu'!$L$5,vstupy!$N$2:$BY$180,$B177+1,0),data!$B$12:$B$213,0),35)),"",INDEX(data!$A$12:$AI$213,MATCH(HLOOKUP('II. Sledování projektu'!$L$5,vstupy!$N$2:$BY$180,$B177+1,0),data!$B$12:$B$213,0),35))</f>
        <v>29.786458344357044</v>
      </c>
      <c r="E177" s="49">
        <f>IF(ISERROR(INDEX(data!$A$12:$AI$213,MATCH(HLOOKUP('II. Sledování projektu'!$L$5,vstupy!$N$2:$BY$180,$B177+1,0),data!$B$12:$B$213,0),27)),"",INDEX(data!$A$12:$AI$213,MATCH(HLOOKUP('II. Sledování projektu'!$L$5,vstupy!$N$2:$BY$180,$B177+1,0),data!$B$12:$B$213,0),27))</f>
        <v>5332200</v>
      </c>
      <c r="F177" s="54">
        <f>IF(ISERROR(INDEX(data!$A$12:$AI$213,MATCH(HLOOKUP('II. Sledování projektu'!$L$5,vstupy!$N$2:$BY$180,$B177+1,0),data!$B$12:$B$213,0),28)),"",INDEX(data!$A$12:$AI$213,MATCH(HLOOKUP('II. Sledování projektu'!$L$5,vstupy!$N$2:$BY$180,$B177+1,0),data!$B$12:$B$213,0),28))</f>
        <v>2315865.0100000002</v>
      </c>
      <c r="G177" s="53">
        <f t="shared" si="15"/>
        <v>0.43431698173361843</v>
      </c>
      <c r="H177" s="53">
        <f>IF(ISERROR(INDEX(data!$A$12:$AI$213,MATCH(HLOOKUP('II. Sledování projektu'!$L$5,vstupy!$N$2:$BY$180,$B177+1,0),data!$B$12:$B$213,0),29)),"",INDEX(data!$A$12:$AI$213,MATCH(HLOOKUP('II. Sledování projektu'!$L$5,vstupy!$N$2:$BY$180,$B177+1,0),data!$B$12:$B$213,0),29))</f>
        <v>0.2571</v>
      </c>
      <c r="I177" s="54">
        <f>IF(ISERROR(INDEX(data!$A$12:$AI$213,MATCH(HLOOKUP('II. Sledování projektu'!$L$5,vstupy!$N$2:$BY$180,$B177+1,0),data!$B$12:$B$213,0),31)),"",INDEX(data!$A$12:$AI$213,MATCH(HLOOKUP('II. Sledování projektu'!$L$5,vstupy!$N$2:$BY$180,$B177+1,0),data!$B$12:$B$213,0),31))</f>
        <v>184401.13</v>
      </c>
      <c r="J177" s="53">
        <f t="shared" si="16"/>
        <v>3.4582560669142191E-2</v>
      </c>
      <c r="K177" s="53">
        <f t="shared" si="18"/>
        <v>0.13451015429460209</v>
      </c>
      <c r="L177" s="54">
        <f>IF(ISERROR(INDEX(data!$A$12:$AI$213,MATCH(HLOOKUP('II. Sledování projektu'!$L$5,vstupy!$N$2:$BY$180,$B177+1,0),data!$B$12:$B$213,0),32)),"",INDEX(data!$A$12:$AI$213,MATCH(HLOOKUP('II. Sledování projektu'!$L$5,vstupy!$N$2:$BY$180,$B177+1,0),data!$B$12:$B$213,0),32))</f>
        <v>127867.93</v>
      </c>
      <c r="M177" s="53">
        <f t="shared" si="19"/>
        <v>0.40947998498474358</v>
      </c>
      <c r="N177" s="54">
        <f>IF(ISERROR(VLOOKUP(C177,data!$C$12:$AD$213,28,0)),0,VLOOKUP(C177,data!$C$12:$AD$213,28,0))</f>
        <v>1370908.6199999999</v>
      </c>
    </row>
    <row r="178" spans="2:14" x14ac:dyDescent="0.2">
      <c r="B178" s="19">
        <f t="shared" si="17"/>
        <v>173</v>
      </c>
      <c r="C178" s="19" t="str">
        <f>IF(ISERROR(INDEX(data!$A$12:$AI$213,MATCH(HLOOKUP('II. Sledování projektu'!$L$5,vstupy!$N$2:$BY$180,$B178+1,0),data!$B$12:$B$213,0),3)),"",INDEX(data!$A$12:$AI$213,MATCH(HLOOKUP('II. Sledování projektu'!$L$5,vstupy!$N$2:$BY$180,$B178+1,0),data!$B$12:$B$213,0),3))</f>
        <v>ZŠ Slezská Ostrava, Chrustova</v>
      </c>
      <c r="D178" s="156">
        <f>IF(ISERROR(INDEX(data!$A$12:$AI$213,MATCH(HLOOKUP('II. Sledování projektu'!$L$5,vstupy!$N$2:$BY$180,$B178+1,0),data!$B$12:$B$213,0),35)),"",INDEX(data!$A$12:$AI$213,MATCH(HLOOKUP('II. Sledování projektu'!$L$5,vstupy!$N$2:$BY$180,$B178+1,0),data!$B$12:$B$213,0),35))</f>
        <v>19.643464077094762</v>
      </c>
      <c r="E178" s="49">
        <f>IF(ISERROR(INDEX(data!$A$12:$AI$213,MATCH(HLOOKUP('II. Sledování projektu'!$L$5,vstupy!$N$2:$BY$180,$B178+1,0),data!$B$12:$B$213,0),27)),"",INDEX(data!$A$12:$AI$213,MATCH(HLOOKUP('II. Sledování projektu'!$L$5,vstupy!$N$2:$BY$180,$B178+1,0),data!$B$12:$B$213,0),27))</f>
        <v>3784500</v>
      </c>
      <c r="F178" s="54">
        <f>IF(ISERROR(INDEX(data!$A$12:$AI$213,MATCH(HLOOKUP('II. Sledování projektu'!$L$5,vstupy!$N$2:$BY$180,$B178+1,0),data!$B$12:$B$213,0),28)),"",INDEX(data!$A$12:$AI$213,MATCH(HLOOKUP('II. Sledování projektu'!$L$5,vstupy!$N$2:$BY$180,$B178+1,0),data!$B$12:$B$213,0),28))</f>
        <v>36410.86</v>
      </c>
      <c r="G178" s="53">
        <f t="shared" si="15"/>
        <v>9.621049015722024E-3</v>
      </c>
      <c r="H178" s="53">
        <f>IF(ISERROR(INDEX(data!$A$12:$AI$213,MATCH(HLOOKUP('II. Sledování projektu'!$L$5,vstupy!$N$2:$BY$180,$B178+1,0),data!$B$12:$B$213,0),29)),"",INDEX(data!$A$12:$AI$213,MATCH(HLOOKUP('II. Sledování projektu'!$L$5,vstupy!$N$2:$BY$180,$B178+1,0),data!$B$12:$B$213,0),29))</f>
        <v>0.34060000000000001</v>
      </c>
      <c r="I178" s="54">
        <f>IF(ISERROR(INDEX(data!$A$12:$AI$213,MATCH(HLOOKUP('II. Sledování projektu'!$L$5,vstupy!$N$2:$BY$180,$B178+1,0),data!$B$12:$B$213,0),31)),"",INDEX(data!$A$12:$AI$213,MATCH(HLOOKUP('II. Sledování projektu'!$L$5,vstupy!$N$2:$BY$180,$B178+1,0),data!$B$12:$B$213,0),31))</f>
        <v>411672.7</v>
      </c>
      <c r="J178" s="53">
        <f t="shared" si="16"/>
        <v>0.10877862333201216</v>
      </c>
      <c r="K178" s="53">
        <f t="shared" si="18"/>
        <v>0.31937352710514433</v>
      </c>
      <c r="L178" s="54">
        <f>IF(ISERROR(INDEX(data!$A$12:$AI$213,MATCH(HLOOKUP('II. Sledování projektu'!$L$5,vstupy!$N$2:$BY$180,$B178+1,0),data!$B$12:$B$213,0),32)),"",INDEX(data!$A$12:$AI$213,MATCH(HLOOKUP('II. Sledování projektu'!$L$5,vstupy!$N$2:$BY$180,$B178+1,0),data!$B$12:$B$213,0),32))</f>
        <v>272063.05</v>
      </c>
      <c r="M178" s="53">
        <f t="shared" si="19"/>
        <v>0.39790672054225623</v>
      </c>
      <c r="N178" s="54">
        <f>IF(ISERROR(VLOOKUP(C178,data!$C$12:$AD$213,28,0)),0,VLOOKUP(C178,data!$C$12:$AD$213,28,0))</f>
        <v>1289000.7</v>
      </c>
    </row>
    <row r="179" spans="2:14" x14ac:dyDescent="0.2">
      <c r="B179" s="19">
        <f t="shared" si="17"/>
        <v>174</v>
      </c>
      <c r="C179" s="19" t="str">
        <f>IF(ISERROR(INDEX(data!$A$12:$AI$213,MATCH(HLOOKUP('II. Sledování projektu'!$L$5,vstupy!$N$2:$BY$180,$B179+1,0),data!$B$12:$B$213,0),3)),"",INDEX(data!$A$12:$AI$213,MATCH(HLOOKUP('II. Sledování projektu'!$L$5,vstupy!$N$2:$BY$180,$B179+1,0),data!$B$12:$B$213,0),3))</f>
        <v>ZUŠ O-Svinov, Bílovecká</v>
      </c>
      <c r="D179" s="156">
        <f>IF(ISERROR(INDEX(data!$A$12:$AI$213,MATCH(HLOOKUP('II. Sledování projektu'!$L$5,vstupy!$N$2:$BY$180,$B179+1,0),data!$B$12:$B$213,0),35)),"",INDEX(data!$A$12:$AI$213,MATCH(HLOOKUP('II. Sledování projektu'!$L$5,vstupy!$N$2:$BY$180,$B179+1,0),data!$B$12:$B$213,0),35))</f>
        <v>0</v>
      </c>
      <c r="E179" s="49">
        <f>IF(ISERROR(INDEX(data!$A$12:$AI$213,MATCH(HLOOKUP('II. Sledování projektu'!$L$5,vstupy!$N$2:$BY$180,$B179+1,0),data!$B$12:$B$213,0),27)),"",INDEX(data!$A$12:$AI$213,MATCH(HLOOKUP('II. Sledování projektu'!$L$5,vstupy!$N$2:$BY$180,$B179+1,0),data!$B$12:$B$213,0),27))</f>
        <v>379500</v>
      </c>
      <c r="F179" s="54">
        <f>IF(ISERROR(INDEX(data!$A$12:$AI$213,MATCH(HLOOKUP('II. Sledování projektu'!$L$5,vstupy!$N$2:$BY$180,$B179+1,0),data!$B$12:$B$213,0),28)),"",INDEX(data!$A$12:$AI$213,MATCH(HLOOKUP('II. Sledování projektu'!$L$5,vstupy!$N$2:$BY$180,$B179+1,0),data!$B$12:$B$213,0),28))</f>
        <v>0</v>
      </c>
      <c r="G179" s="53">
        <f t="shared" si="15"/>
        <v>0</v>
      </c>
      <c r="H179" s="53">
        <f>IF(ISERROR(INDEX(data!$A$12:$AI$213,MATCH(HLOOKUP('II. Sledování projektu'!$L$5,vstupy!$N$2:$BY$180,$B179+1,0),data!$B$12:$B$213,0),29)),"",INDEX(data!$A$12:$AI$213,MATCH(HLOOKUP('II. Sledování projektu'!$L$5,vstupy!$N$2:$BY$180,$B179+1,0),data!$B$12:$B$213,0),29))</f>
        <v>4.4999999999999998E-2</v>
      </c>
      <c r="I179" s="54">
        <f>IF(ISERROR(INDEX(data!$A$12:$AI$213,MATCH(HLOOKUP('II. Sledování projektu'!$L$5,vstupy!$N$2:$BY$180,$B179+1,0),data!$B$12:$B$213,0),31)),"",INDEX(data!$A$12:$AI$213,MATCH(HLOOKUP('II. Sledování projektu'!$L$5,vstupy!$N$2:$BY$180,$B179+1,0),data!$B$12:$B$213,0),31))</f>
        <v>0</v>
      </c>
      <c r="J179" s="53">
        <f t="shared" si="16"/>
        <v>0</v>
      </c>
      <c r="K179" s="53">
        <f t="shared" si="18"/>
        <v>0</v>
      </c>
      <c r="L179" s="54">
        <f>IF(ISERROR(INDEX(data!$A$12:$AI$213,MATCH(HLOOKUP('II. Sledování projektu'!$L$5,vstupy!$N$2:$BY$180,$B179+1,0),data!$B$12:$B$213,0),32)),"",INDEX(data!$A$12:$AI$213,MATCH(HLOOKUP('II. Sledování projektu'!$L$5,vstupy!$N$2:$BY$180,$B179+1,0),data!$B$12:$B$213,0),32))</f>
        <v>0</v>
      </c>
      <c r="M179" s="53">
        <f t="shared" si="19"/>
        <v>0</v>
      </c>
      <c r="N179" s="54">
        <f>IF(ISERROR(VLOOKUP(C179,data!$C$12:$AD$213,28,0)),0,VLOOKUP(C179,data!$C$12:$AD$213,28,0))</f>
        <v>17077.5</v>
      </c>
    </row>
    <row r="180" spans="2:14" x14ac:dyDescent="0.2">
      <c r="B180" s="19">
        <f t="shared" si="17"/>
        <v>175</v>
      </c>
      <c r="C180" s="19" t="str">
        <f>IF(ISERROR(INDEX(data!$A$12:$AI$213,MATCH(HLOOKUP('II. Sledování projektu'!$L$5,vstupy!$N$2:$BY$180,$B180+1,0),data!$B$12:$B$213,0),3)),"",INDEX(data!$A$12:$AI$213,MATCH(HLOOKUP('II. Sledování projektu'!$L$5,vstupy!$N$2:$BY$180,$B180+1,0),data!$B$12:$B$213,0),3))</f>
        <v/>
      </c>
      <c r="D180" s="156" t="str">
        <f>IF(ISERROR(INDEX(data!$A$12:$AI$213,MATCH(HLOOKUP('II. Sledování projektu'!$L$5,vstupy!$N$2:$BY$180,$B180+1,0),data!$B$12:$B$213,0),35)),"",INDEX(data!$A$12:$AI$213,MATCH(HLOOKUP('II. Sledování projektu'!$L$5,vstupy!$N$2:$BY$180,$B180+1,0),data!$B$12:$B$213,0),35))</f>
        <v/>
      </c>
      <c r="E180" s="49" t="str">
        <f>IF(ISERROR(INDEX(data!$A$12:$AI$213,MATCH(HLOOKUP('II. Sledování projektu'!$L$5,vstupy!$N$2:$BY$180,$B180+1,0),data!$B$12:$B$213,0),27)),"",INDEX(data!$A$12:$AI$213,MATCH(HLOOKUP('II. Sledování projektu'!$L$5,vstupy!$N$2:$BY$180,$B180+1,0),data!$B$12:$B$213,0),27))</f>
        <v/>
      </c>
      <c r="F180" s="54" t="str">
        <f>IF(ISERROR(INDEX(data!$A$12:$AI$213,MATCH(HLOOKUP('II. Sledování projektu'!$L$5,vstupy!$N$2:$BY$180,$B180+1,0),data!$B$12:$B$213,0),28)),"",INDEX(data!$A$12:$AI$213,MATCH(HLOOKUP('II. Sledování projektu'!$L$5,vstupy!$N$2:$BY$180,$B180+1,0),data!$B$12:$B$213,0),28))</f>
        <v/>
      </c>
      <c r="G180" s="53">
        <f t="shared" si="15"/>
        <v>0</v>
      </c>
      <c r="H180" s="53" t="str">
        <f>IF(ISERROR(INDEX(data!$A$12:$AI$213,MATCH(HLOOKUP('II. Sledování projektu'!$L$5,vstupy!$N$2:$BY$180,$B180+1,0),data!$B$12:$B$213,0),29)),"",INDEX(data!$A$12:$AI$213,MATCH(HLOOKUP('II. Sledování projektu'!$L$5,vstupy!$N$2:$BY$180,$B180+1,0),data!$B$12:$B$213,0),29))</f>
        <v/>
      </c>
      <c r="I180" s="54" t="str">
        <f>IF(ISERROR(INDEX(data!$A$12:$AI$213,MATCH(HLOOKUP('II. Sledování projektu'!$L$5,vstupy!$N$2:$BY$180,$B180+1,0),data!$B$12:$B$213,0),31)),"",INDEX(data!$A$12:$AI$213,MATCH(HLOOKUP('II. Sledování projektu'!$L$5,vstupy!$N$2:$BY$180,$B180+1,0),data!$B$12:$B$213,0),31))</f>
        <v/>
      </c>
      <c r="J180" s="53">
        <f t="shared" si="16"/>
        <v>0</v>
      </c>
      <c r="K180" s="53">
        <f t="shared" si="18"/>
        <v>0</v>
      </c>
      <c r="L180" s="54" t="str">
        <f>IF(ISERROR(INDEX(data!$A$12:$AI$213,MATCH(HLOOKUP('II. Sledování projektu'!$L$5,vstupy!$N$2:$BY$180,$B180+1,0),data!$B$12:$B$213,0),32)),"",INDEX(data!$A$12:$AI$213,MATCH(HLOOKUP('II. Sledování projektu'!$L$5,vstupy!$N$2:$BY$180,$B180+1,0),data!$B$12:$B$213,0),32))</f>
        <v/>
      </c>
      <c r="M180" s="53">
        <f t="shared" si="19"/>
        <v>0</v>
      </c>
      <c r="N180" s="54">
        <f>IF(ISERROR(VLOOKUP(C180,data!$C$12:$AD$213,28,0)),0,VLOOKUP(C180,data!$C$12:$AD$213,28,0))</f>
        <v>0</v>
      </c>
    </row>
    <row r="181" spans="2:14" x14ac:dyDescent="0.2">
      <c r="B181" s="19">
        <f t="shared" si="17"/>
        <v>176</v>
      </c>
      <c r="C181" s="19" t="str">
        <f>IF(ISERROR(INDEX(data!$A$12:$AI$213,MATCH(HLOOKUP('II. Sledování projektu'!$L$5,vstupy!$N$2:$BY$180,$B181+1,0),data!$B$12:$B$213,0),3)),"",INDEX(data!$A$12:$AI$213,MATCH(HLOOKUP('II. Sledování projektu'!$L$5,vstupy!$N$2:$BY$180,$B181+1,0),data!$B$12:$B$213,0),3))</f>
        <v/>
      </c>
      <c r="D181" s="156" t="str">
        <f>IF(ISERROR(INDEX(data!$A$12:$AI$213,MATCH(HLOOKUP('II. Sledování projektu'!$L$5,vstupy!$N$2:$BY$180,$B181+1,0),data!$B$12:$B$213,0),35)),"",INDEX(data!$A$12:$AI$213,MATCH(HLOOKUP('II. Sledování projektu'!$L$5,vstupy!$N$2:$BY$180,$B181+1,0),data!$B$12:$B$213,0),35))</f>
        <v/>
      </c>
      <c r="E181" s="49" t="str">
        <f>IF(ISERROR(INDEX(data!$A$12:$AI$213,MATCH(HLOOKUP('II. Sledování projektu'!$L$5,vstupy!$N$2:$BY$180,$B181+1,0),data!$B$12:$B$213,0),27)),"",INDEX(data!$A$12:$AI$213,MATCH(HLOOKUP('II. Sledování projektu'!$L$5,vstupy!$N$2:$BY$180,$B181+1,0),data!$B$12:$B$213,0),27))</f>
        <v/>
      </c>
      <c r="F181" s="54" t="str">
        <f>IF(ISERROR(INDEX(data!$A$12:$AI$213,MATCH(HLOOKUP('II. Sledování projektu'!$L$5,vstupy!$N$2:$BY$180,$B181+1,0),data!$B$12:$B$213,0),28)),"",INDEX(data!$A$12:$AI$213,MATCH(HLOOKUP('II. Sledování projektu'!$L$5,vstupy!$N$2:$BY$180,$B181+1,0),data!$B$12:$B$213,0),28))</f>
        <v/>
      </c>
      <c r="G181" s="53">
        <f t="shared" si="15"/>
        <v>0</v>
      </c>
      <c r="H181" s="53" t="str">
        <f>IF(ISERROR(INDEX(data!$A$12:$AI$213,MATCH(HLOOKUP('II. Sledování projektu'!$L$5,vstupy!$N$2:$BY$180,$B181+1,0),data!$B$12:$B$213,0),29)),"",INDEX(data!$A$12:$AI$213,MATCH(HLOOKUP('II. Sledování projektu'!$L$5,vstupy!$N$2:$BY$180,$B181+1,0),data!$B$12:$B$213,0),29))</f>
        <v/>
      </c>
      <c r="I181" s="54" t="str">
        <f>IF(ISERROR(INDEX(data!$A$12:$AI$213,MATCH(HLOOKUP('II. Sledování projektu'!$L$5,vstupy!$N$2:$BY$180,$B181+1,0),data!$B$12:$B$213,0),31)),"",INDEX(data!$A$12:$AI$213,MATCH(HLOOKUP('II. Sledování projektu'!$L$5,vstupy!$N$2:$BY$180,$B181+1,0),data!$B$12:$B$213,0),31))</f>
        <v/>
      </c>
      <c r="J181" s="53">
        <f t="shared" si="16"/>
        <v>0</v>
      </c>
      <c r="K181" s="53">
        <f t="shared" si="18"/>
        <v>0</v>
      </c>
      <c r="L181" s="54" t="str">
        <f>IF(ISERROR(INDEX(data!$A$12:$AI$213,MATCH(HLOOKUP('II. Sledování projektu'!$L$5,vstupy!$N$2:$BY$180,$B181+1,0),data!$B$12:$B$213,0),32)),"",INDEX(data!$A$12:$AI$213,MATCH(HLOOKUP('II. Sledování projektu'!$L$5,vstupy!$N$2:$BY$180,$B181+1,0),data!$B$12:$B$213,0),32))</f>
        <v/>
      </c>
      <c r="M181" s="53">
        <f t="shared" si="19"/>
        <v>0</v>
      </c>
      <c r="N181" s="54">
        <f>IF(ISERROR(VLOOKUP(C181,data!$C$12:$AD$213,28,0)),0,VLOOKUP(C181,data!$C$12:$AD$213,28,0))</f>
        <v>0</v>
      </c>
    </row>
    <row r="182" spans="2:14" x14ac:dyDescent="0.2">
      <c r="D182" s="156"/>
      <c r="E182" s="49"/>
      <c r="F182" s="54"/>
      <c r="G182" s="53"/>
      <c r="H182" s="53"/>
      <c r="I182" s="54"/>
      <c r="J182" s="53"/>
      <c r="K182" s="53"/>
      <c r="L182" s="54"/>
      <c r="M182" s="53"/>
      <c r="N182" s="54"/>
    </row>
    <row r="183" spans="2:14" x14ac:dyDescent="0.2">
      <c r="D183" s="156"/>
      <c r="E183" s="49"/>
      <c r="F183" s="54"/>
      <c r="G183" s="53"/>
      <c r="H183" s="53"/>
      <c r="I183" s="54"/>
      <c r="J183" s="53"/>
      <c r="K183" s="53"/>
      <c r="L183" s="54"/>
      <c r="M183" s="53"/>
      <c r="N183" s="54"/>
    </row>
    <row r="184" spans="2:14" x14ac:dyDescent="0.2">
      <c r="D184" s="156"/>
      <c r="E184" s="49"/>
      <c r="F184" s="54"/>
      <c r="G184" s="53"/>
      <c r="H184" s="53"/>
      <c r="I184" s="54"/>
      <c r="J184" s="53"/>
      <c r="K184" s="53"/>
      <c r="L184" s="54"/>
      <c r="M184" s="53"/>
      <c r="N184" s="54"/>
    </row>
  </sheetData>
  <autoFilter ref="C5:M5"/>
  <phoneticPr fontId="4" type="noConversion"/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B1:BH197"/>
  <sheetViews>
    <sheetView workbookViewId="0">
      <selection activeCell="N2" sqref="N2"/>
    </sheetView>
  </sheetViews>
  <sheetFormatPr defaultRowHeight="11.25" x14ac:dyDescent="0.2"/>
  <cols>
    <col min="1" max="1" width="3.83203125" customWidth="1"/>
    <col min="2" max="2" width="11.83203125" customWidth="1"/>
    <col min="3" max="3" width="7.1640625" customWidth="1"/>
    <col min="4" max="4" width="3.83203125" style="7" customWidth="1"/>
    <col min="5" max="5" width="5.1640625" customWidth="1"/>
    <col min="6" max="6" width="10.33203125" bestFit="1" customWidth="1"/>
    <col min="8" max="8" width="4" customWidth="1"/>
    <col min="14" max="37" width="5.83203125" customWidth="1"/>
    <col min="38" max="54" width="6.33203125" customWidth="1"/>
    <col min="55" max="55" width="8.33203125" bestFit="1" customWidth="1"/>
    <col min="56" max="82" width="6.33203125" customWidth="1"/>
  </cols>
  <sheetData>
    <row r="1" spans="2:60" x14ac:dyDescent="0.2">
      <c r="B1" s="346" t="s">
        <v>422</v>
      </c>
    </row>
    <row r="2" spans="2:60" ht="66" customHeight="1" x14ac:dyDescent="0.2">
      <c r="N2" s="9" t="s">
        <v>13</v>
      </c>
      <c r="O2" s="9" t="s">
        <v>51</v>
      </c>
      <c r="P2" s="91" t="s">
        <v>32</v>
      </c>
      <c r="Q2" s="91" t="s">
        <v>33</v>
      </c>
      <c r="R2" s="91" t="s">
        <v>34</v>
      </c>
      <c r="S2" s="91" t="s">
        <v>35</v>
      </c>
      <c r="T2" s="91" t="s">
        <v>36</v>
      </c>
      <c r="U2" s="91" t="s">
        <v>7</v>
      </c>
      <c r="V2" s="91" t="s">
        <v>37</v>
      </c>
      <c r="W2" s="91" t="s">
        <v>38</v>
      </c>
      <c r="X2" s="91" t="s">
        <v>8</v>
      </c>
      <c r="Y2" s="91" t="s">
        <v>39</v>
      </c>
      <c r="Z2" s="91" t="s">
        <v>40</v>
      </c>
      <c r="AA2" s="91" t="s">
        <v>9</v>
      </c>
      <c r="AB2" s="91" t="s">
        <v>41</v>
      </c>
      <c r="AC2" s="91" t="s">
        <v>42</v>
      </c>
      <c r="AD2" s="91" t="s">
        <v>43</v>
      </c>
      <c r="AE2" s="91" t="s">
        <v>10</v>
      </c>
      <c r="AF2" s="91" t="s">
        <v>44</v>
      </c>
      <c r="AG2" s="91" t="s">
        <v>45</v>
      </c>
      <c r="AH2" s="91" t="s">
        <v>11</v>
      </c>
      <c r="AI2" s="91" t="s">
        <v>12</v>
      </c>
      <c r="AJ2" s="91" t="s">
        <v>46</v>
      </c>
      <c r="AK2" s="91" t="s">
        <v>47</v>
      </c>
      <c r="AL2" s="91" t="s">
        <v>48</v>
      </c>
      <c r="AM2" s="91" t="s">
        <v>49</v>
      </c>
      <c r="AN2" s="291" t="s">
        <v>376</v>
      </c>
      <c r="AO2" s="92" t="s">
        <v>5</v>
      </c>
      <c r="AP2" s="92" t="s">
        <v>289</v>
      </c>
      <c r="AQ2" s="92" t="s">
        <v>444</v>
      </c>
      <c r="AR2" s="92" t="s">
        <v>577</v>
      </c>
      <c r="AS2" s="92" t="s">
        <v>582</v>
      </c>
      <c r="AT2" s="124" t="s">
        <v>290</v>
      </c>
      <c r="AU2" s="92" t="s">
        <v>575</v>
      </c>
      <c r="AV2" s="92" t="s">
        <v>445</v>
      </c>
      <c r="AW2" s="92" t="s">
        <v>446</v>
      </c>
      <c r="AX2" s="13" t="s">
        <v>29</v>
      </c>
      <c r="AY2" s="13" t="s">
        <v>53</v>
      </c>
      <c r="AZ2" s="13" t="s">
        <v>55</v>
      </c>
      <c r="BA2" s="13" t="s">
        <v>1</v>
      </c>
      <c r="BB2" s="13" t="s">
        <v>2</v>
      </c>
      <c r="BC2" s="13" t="s">
        <v>54</v>
      </c>
      <c r="BD2" s="79" t="s">
        <v>6</v>
      </c>
      <c r="BE2" s="95" t="s">
        <v>112</v>
      </c>
      <c r="BF2" s="95" t="s">
        <v>111</v>
      </c>
      <c r="BG2" s="96" t="s">
        <v>110</v>
      </c>
      <c r="BH2" s="96" t="s">
        <v>109</v>
      </c>
    </row>
    <row r="3" spans="2:60" s="5" customFormat="1" x14ac:dyDescent="0.2">
      <c r="B3" s="55" t="s">
        <v>31</v>
      </c>
      <c r="C3" s="40">
        <v>3</v>
      </c>
      <c r="D3" s="40"/>
      <c r="E3" s="40"/>
      <c r="F3" s="55" t="s">
        <v>375</v>
      </c>
      <c r="G3" s="40"/>
      <c r="H3" s="40"/>
      <c r="I3" s="40"/>
      <c r="M3" s="252"/>
      <c r="N3" s="10">
        <v>1</v>
      </c>
      <c r="O3" s="15">
        <v>60351</v>
      </c>
      <c r="P3" s="15">
        <v>60360</v>
      </c>
      <c r="Q3" s="6">
        <v>60316</v>
      </c>
      <c r="R3" s="6">
        <v>60387</v>
      </c>
      <c r="S3" s="698"/>
      <c r="T3" s="6">
        <v>60324</v>
      </c>
      <c r="U3" s="6">
        <v>60381</v>
      </c>
      <c r="V3" s="6">
        <v>60412</v>
      </c>
      <c r="W3" s="6">
        <v>60413</v>
      </c>
      <c r="X3" s="6">
        <v>60360</v>
      </c>
      <c r="Y3" s="6">
        <v>60416</v>
      </c>
      <c r="Z3" s="6">
        <v>60317</v>
      </c>
      <c r="AA3" s="6">
        <v>60456</v>
      </c>
      <c r="AB3" s="6">
        <v>60417</v>
      </c>
      <c r="AC3" s="6">
        <v>61109</v>
      </c>
      <c r="AD3" s="6">
        <v>60419</v>
      </c>
      <c r="AE3" s="6">
        <v>60362</v>
      </c>
      <c r="AF3" s="6">
        <v>60320</v>
      </c>
      <c r="AG3" s="6">
        <v>60318</v>
      </c>
      <c r="AH3" s="6">
        <v>60402</v>
      </c>
      <c r="AI3" s="6">
        <v>60430</v>
      </c>
      <c r="AJ3" s="6">
        <v>60433</v>
      </c>
      <c r="AK3" s="6">
        <v>60451</v>
      </c>
      <c r="AL3" s="6">
        <v>60315</v>
      </c>
      <c r="AM3" s="6">
        <v>60434</v>
      </c>
      <c r="AN3" s="15">
        <v>60351</v>
      </c>
      <c r="AO3" s="15">
        <v>69166</v>
      </c>
      <c r="AP3" s="11">
        <v>60344</v>
      </c>
      <c r="AQ3" s="11">
        <v>60699</v>
      </c>
      <c r="AR3" s="11">
        <v>60438</v>
      </c>
      <c r="AS3" s="11">
        <v>60445</v>
      </c>
      <c r="AT3" s="11">
        <v>60302</v>
      </c>
      <c r="AU3" s="11">
        <v>60351</v>
      </c>
      <c r="AV3" s="11"/>
      <c r="AW3" s="11"/>
      <c r="AX3" s="11">
        <v>60344</v>
      </c>
      <c r="AY3" s="11">
        <v>60344</v>
      </c>
      <c r="AZ3" s="15">
        <v>60302</v>
      </c>
      <c r="BA3" s="15">
        <v>60344</v>
      </c>
      <c r="BB3" s="11">
        <v>60351</v>
      </c>
      <c r="BC3" s="11">
        <v>60360</v>
      </c>
      <c r="BD3" s="11" t="s">
        <v>85</v>
      </c>
      <c r="BE3" s="11">
        <v>60479</v>
      </c>
      <c r="BF3" s="11">
        <v>60390</v>
      </c>
      <c r="BG3" s="40">
        <v>60455</v>
      </c>
      <c r="BH3" s="40">
        <v>60360</v>
      </c>
    </row>
    <row r="4" spans="2:60" s="5" customFormat="1" x14ac:dyDescent="0.2">
      <c r="B4" s="58" t="s">
        <v>50</v>
      </c>
      <c r="C4" s="59"/>
      <c r="D4" s="40"/>
      <c r="E4" s="40"/>
      <c r="F4" s="64" t="s">
        <v>376</v>
      </c>
      <c r="G4" s="65"/>
      <c r="H4" s="65"/>
      <c r="I4" s="66"/>
      <c r="M4" s="252"/>
      <c r="N4" s="10">
        <v>2</v>
      </c>
      <c r="O4" s="15">
        <v>60344</v>
      </c>
      <c r="P4" s="15">
        <v>60455</v>
      </c>
      <c r="Q4" s="6">
        <v>60458</v>
      </c>
      <c r="R4" s="6">
        <v>60313</v>
      </c>
      <c r="S4" s="6">
        <v>60323</v>
      </c>
      <c r="T4" s="6">
        <v>60464</v>
      </c>
      <c r="U4" s="6">
        <v>60410</v>
      </c>
      <c r="V4" s="6">
        <v>60321</v>
      </c>
      <c r="W4" s="6">
        <v>60312</v>
      </c>
      <c r="X4" s="6">
        <v>60455</v>
      </c>
      <c r="Y4" s="6">
        <v>60322</v>
      </c>
      <c r="Z4" s="6"/>
      <c r="AA4" s="6">
        <v>60459</v>
      </c>
      <c r="AB4" s="6">
        <v>60319</v>
      </c>
      <c r="AC4" s="6">
        <v>60358</v>
      </c>
      <c r="AD4" s="6">
        <v>60311</v>
      </c>
      <c r="AE4" s="6">
        <v>60420</v>
      </c>
      <c r="AF4" s="6">
        <v>60465</v>
      </c>
      <c r="AG4" s="6"/>
      <c r="AH4" s="6">
        <v>60429</v>
      </c>
      <c r="AI4" s="6">
        <v>60405</v>
      </c>
      <c r="AJ4" s="6">
        <v>60314</v>
      </c>
      <c r="AK4" s="6">
        <v>60310</v>
      </c>
      <c r="AL4" s="6"/>
      <c r="AM4" s="6">
        <v>60308</v>
      </c>
      <c r="AN4" s="15">
        <v>60344</v>
      </c>
      <c r="AO4" s="15">
        <v>61686</v>
      </c>
      <c r="AP4" s="11">
        <v>60439</v>
      </c>
      <c r="AQ4" s="11">
        <v>60453</v>
      </c>
      <c r="AR4" s="11">
        <v>60365</v>
      </c>
      <c r="AS4" s="11">
        <v>60452</v>
      </c>
      <c r="AT4" s="40"/>
      <c r="AU4" s="11">
        <v>60350</v>
      </c>
      <c r="AV4" s="11"/>
      <c r="AW4" s="11"/>
      <c r="AX4" s="11">
        <v>60351</v>
      </c>
      <c r="AY4" s="11">
        <v>60351</v>
      </c>
      <c r="AZ4" s="15">
        <v>60316</v>
      </c>
      <c r="BA4" s="15">
        <v>60699</v>
      </c>
      <c r="BB4" s="11">
        <v>60350</v>
      </c>
      <c r="BC4" s="11">
        <v>60455</v>
      </c>
      <c r="BD4" s="11" t="s">
        <v>86</v>
      </c>
      <c r="BE4" s="11">
        <v>60500</v>
      </c>
      <c r="BF4" s="11">
        <v>60430</v>
      </c>
      <c r="BG4" s="40">
        <v>60456</v>
      </c>
      <c r="BH4" s="40">
        <v>60362</v>
      </c>
    </row>
    <row r="5" spans="2:60" s="5" customFormat="1" x14ac:dyDescent="0.2">
      <c r="B5" s="60" t="s">
        <v>375</v>
      </c>
      <c r="C5" s="61"/>
      <c r="D5" s="40"/>
      <c r="E5" s="40"/>
      <c r="F5" s="67" t="s">
        <v>5</v>
      </c>
      <c r="G5" s="68"/>
      <c r="H5" s="68"/>
      <c r="I5" s="69"/>
      <c r="M5" s="252"/>
      <c r="N5" s="10">
        <v>3</v>
      </c>
      <c r="O5" s="15">
        <v>60302</v>
      </c>
      <c r="P5" s="15">
        <v>60456</v>
      </c>
      <c r="Q5" s="6"/>
      <c r="R5" s="6">
        <v>60483</v>
      </c>
      <c r="S5" s="6">
        <v>60463</v>
      </c>
      <c r="T5" s="6"/>
      <c r="U5" s="6">
        <v>60407</v>
      </c>
      <c r="V5" s="6"/>
      <c r="W5" s="6">
        <v>60488</v>
      </c>
      <c r="X5" s="6">
        <v>60479</v>
      </c>
      <c r="Y5" s="6">
        <v>60490</v>
      </c>
      <c r="Z5" s="6"/>
      <c r="AA5" s="6">
        <v>60383</v>
      </c>
      <c r="AB5" s="6">
        <v>60491</v>
      </c>
      <c r="AC5" s="6"/>
      <c r="AD5" s="6">
        <v>60475</v>
      </c>
      <c r="AE5" s="6">
        <v>60388</v>
      </c>
      <c r="AF5" s="6"/>
      <c r="AG5" s="6"/>
      <c r="AH5" s="6">
        <v>60927</v>
      </c>
      <c r="AI5" s="40">
        <v>60415</v>
      </c>
      <c r="AJ5" s="6">
        <v>60508</v>
      </c>
      <c r="AK5" s="6">
        <v>60466</v>
      </c>
      <c r="AL5" s="6"/>
      <c r="AM5" s="6">
        <v>60510</v>
      </c>
      <c r="AN5" s="15">
        <v>60302</v>
      </c>
      <c r="AO5" s="15">
        <v>60443</v>
      </c>
      <c r="AP5" s="11">
        <v>60450</v>
      </c>
      <c r="AQ5" s="11">
        <v>60380</v>
      </c>
      <c r="AR5" s="11">
        <v>60375</v>
      </c>
      <c r="AS5" s="11">
        <v>60374</v>
      </c>
      <c r="AT5" s="40"/>
      <c r="AU5" s="11">
        <v>60363</v>
      </c>
      <c r="AV5" s="11"/>
      <c r="AW5" s="11"/>
      <c r="AX5" s="11">
        <v>60350</v>
      </c>
      <c r="AY5" s="11">
        <v>60350</v>
      </c>
      <c r="AZ5" s="15">
        <v>60313</v>
      </c>
      <c r="BA5" s="15">
        <v>60375</v>
      </c>
      <c r="BB5" s="11">
        <v>60438</v>
      </c>
      <c r="BC5" s="11">
        <v>60456</v>
      </c>
      <c r="BD5" s="11" t="s">
        <v>87</v>
      </c>
      <c r="BE5" s="11">
        <v>60501</v>
      </c>
      <c r="BF5" s="11">
        <v>60420</v>
      </c>
      <c r="BG5" s="40">
        <v>60459</v>
      </c>
      <c r="BH5" s="40">
        <v>60383</v>
      </c>
    </row>
    <row r="6" spans="2:60" s="5" customFormat="1" x14ac:dyDescent="0.2">
      <c r="B6" s="60" t="s">
        <v>52</v>
      </c>
      <c r="C6" s="61"/>
      <c r="D6" s="40"/>
      <c r="E6" s="40"/>
      <c r="F6" s="67" t="s">
        <v>289</v>
      </c>
      <c r="G6" s="68"/>
      <c r="H6" s="68"/>
      <c r="I6" s="69"/>
      <c r="M6" s="252"/>
      <c r="N6" s="10">
        <v>4</v>
      </c>
      <c r="O6" s="15">
        <v>60350</v>
      </c>
      <c r="P6" s="15">
        <v>60459</v>
      </c>
      <c r="Q6" s="6"/>
      <c r="R6" s="6"/>
      <c r="S6" s="6"/>
      <c r="T6" s="6"/>
      <c r="U6" s="6">
        <v>60359</v>
      </c>
      <c r="V6" s="6"/>
      <c r="W6" s="6"/>
      <c r="X6" s="6">
        <v>60390</v>
      </c>
      <c r="Y6" s="6"/>
      <c r="Z6" s="6"/>
      <c r="AA6" s="6">
        <v>60389</v>
      </c>
      <c r="AB6" s="6"/>
      <c r="AC6" s="6"/>
      <c r="AD6" s="6"/>
      <c r="AE6" s="6">
        <v>60421</v>
      </c>
      <c r="AF6" s="6"/>
      <c r="AG6" s="6"/>
      <c r="AH6" s="6">
        <v>60505</v>
      </c>
      <c r="AI6" s="40">
        <v>69165</v>
      </c>
      <c r="AJ6" s="6"/>
      <c r="AK6" s="6">
        <v>60515</v>
      </c>
      <c r="AL6" s="6"/>
      <c r="AM6" s="6"/>
      <c r="AN6" s="15">
        <v>60350</v>
      </c>
      <c r="AO6" s="40"/>
      <c r="AP6" s="11"/>
      <c r="AQ6" s="11">
        <v>60440</v>
      </c>
      <c r="AR6" s="11">
        <v>60923</v>
      </c>
      <c r="AS6" s="11">
        <v>60446</v>
      </c>
      <c r="AT6" s="11"/>
      <c r="AU6" s="11">
        <v>60364</v>
      </c>
      <c r="AV6" s="11"/>
      <c r="AW6" s="11"/>
      <c r="AX6" s="11">
        <v>60438</v>
      </c>
      <c r="AY6" s="11">
        <v>60438</v>
      </c>
      <c r="AZ6" s="15">
        <v>60323</v>
      </c>
      <c r="BA6" s="15">
        <v>60439</v>
      </c>
      <c r="BB6" s="11">
        <v>60363</v>
      </c>
      <c r="BC6" s="11">
        <v>60459</v>
      </c>
      <c r="BD6" s="11" t="s">
        <v>88</v>
      </c>
      <c r="BE6" s="11">
        <v>60470</v>
      </c>
      <c r="BF6" s="11">
        <v>60388</v>
      </c>
      <c r="BG6" s="40">
        <v>60514</v>
      </c>
      <c r="BH6" s="40">
        <v>60449</v>
      </c>
    </row>
    <row r="7" spans="2:60" s="5" customFormat="1" x14ac:dyDescent="0.2">
      <c r="B7" s="62" t="s">
        <v>81</v>
      </c>
      <c r="C7" s="63"/>
      <c r="D7" s="40"/>
      <c r="E7" s="40"/>
      <c r="F7" s="67" t="s">
        <v>444</v>
      </c>
      <c r="G7" s="68"/>
      <c r="H7" s="68"/>
      <c r="I7" s="69"/>
      <c r="M7" s="252"/>
      <c r="N7" s="10">
        <v>5</v>
      </c>
      <c r="O7" s="15">
        <v>60438</v>
      </c>
      <c r="P7" s="15">
        <v>60479</v>
      </c>
      <c r="Q7" s="6"/>
      <c r="R7" s="6"/>
      <c r="S7" s="6"/>
      <c r="T7" s="6"/>
      <c r="U7" s="6">
        <v>60411</v>
      </c>
      <c r="V7" s="6"/>
      <c r="W7" s="6"/>
      <c r="X7" s="6">
        <v>60391</v>
      </c>
      <c r="Y7" s="6"/>
      <c r="Z7" s="6"/>
      <c r="AA7" s="6">
        <v>60403</v>
      </c>
      <c r="AB7" s="6"/>
      <c r="AC7" s="6"/>
      <c r="AD7" s="6"/>
      <c r="AE7" s="6">
        <v>60422</v>
      </c>
      <c r="AF7" s="6"/>
      <c r="AG7" s="6"/>
      <c r="AH7" s="40"/>
      <c r="AI7" s="40">
        <v>60305</v>
      </c>
      <c r="AJ7" s="6"/>
      <c r="AK7" s="6"/>
      <c r="AL7" s="6"/>
      <c r="AM7" s="6"/>
      <c r="AN7" s="15">
        <v>60438</v>
      </c>
      <c r="AO7" s="11"/>
      <c r="AP7" s="11"/>
      <c r="AQ7" s="11">
        <v>60444</v>
      </c>
      <c r="AR7" s="11">
        <v>60921</v>
      </c>
      <c r="AS7" s="11">
        <v>60447</v>
      </c>
      <c r="AT7" s="40"/>
      <c r="AU7" s="11">
        <v>60367</v>
      </c>
      <c r="AV7" s="11"/>
      <c r="AW7" s="11"/>
      <c r="AX7" s="11">
        <v>60699</v>
      </c>
      <c r="AY7" s="11">
        <v>60699</v>
      </c>
      <c r="AZ7" s="15">
        <v>60324</v>
      </c>
      <c r="BA7" s="15">
        <v>60445</v>
      </c>
      <c r="BB7" s="11">
        <v>60364</v>
      </c>
      <c r="BC7" s="11">
        <v>60479</v>
      </c>
      <c r="BD7" s="11" t="s">
        <v>89</v>
      </c>
      <c r="BE7" s="11">
        <v>60482</v>
      </c>
      <c r="BF7" s="11">
        <v>60391</v>
      </c>
      <c r="BG7" s="40">
        <v>60457</v>
      </c>
      <c r="BH7" s="40">
        <v>60385</v>
      </c>
    </row>
    <row r="8" spans="2:60" s="5" customFormat="1" x14ac:dyDescent="0.2">
      <c r="B8" s="40"/>
      <c r="C8" s="40"/>
      <c r="D8" s="40"/>
      <c r="E8" s="40"/>
      <c r="F8" s="67" t="s">
        <v>577</v>
      </c>
      <c r="G8" s="68"/>
      <c r="H8" s="68"/>
      <c r="I8" s="69"/>
      <c r="M8" s="252"/>
      <c r="N8" s="10">
        <v>6</v>
      </c>
      <c r="O8" s="15">
        <v>60699</v>
      </c>
      <c r="P8" s="15">
        <v>60362</v>
      </c>
      <c r="Q8" s="6"/>
      <c r="R8" s="6"/>
      <c r="S8" s="6"/>
      <c r="T8" s="6"/>
      <c r="U8" s="6">
        <v>60306</v>
      </c>
      <c r="V8" s="6"/>
      <c r="W8" s="6"/>
      <c r="X8" s="6">
        <v>60392</v>
      </c>
      <c r="Y8" s="6"/>
      <c r="Z8" s="6"/>
      <c r="AA8" s="6">
        <v>60404</v>
      </c>
      <c r="AB8" s="6"/>
      <c r="AC8" s="6"/>
      <c r="AD8" s="6"/>
      <c r="AE8" s="6">
        <v>60423</v>
      </c>
      <c r="AF8" s="6"/>
      <c r="AG8" s="6"/>
      <c r="AH8" s="6"/>
      <c r="AI8" s="40">
        <v>60489</v>
      </c>
      <c r="AJ8" s="6"/>
      <c r="AK8" s="6"/>
      <c r="AL8" s="6"/>
      <c r="AM8" s="6"/>
      <c r="AN8" s="15">
        <v>60699</v>
      </c>
      <c r="AO8" s="11"/>
      <c r="AP8" s="11"/>
      <c r="AQ8" s="11"/>
      <c r="AR8" s="11">
        <v>60376</v>
      </c>
      <c r="AS8" s="11">
        <v>60448</v>
      </c>
      <c r="AT8" s="11"/>
      <c r="AU8" s="11">
        <v>60922</v>
      </c>
      <c r="AV8" s="11"/>
      <c r="AW8" s="11"/>
      <c r="AX8" s="11">
        <v>60302</v>
      </c>
      <c r="AY8" s="11">
        <v>60302</v>
      </c>
      <c r="AZ8" s="15">
        <v>60306</v>
      </c>
      <c r="BA8" s="15">
        <v>60452</v>
      </c>
      <c r="BB8" s="11">
        <v>60365</v>
      </c>
      <c r="BC8" s="11">
        <v>60362</v>
      </c>
      <c r="BD8" s="11" t="s">
        <v>90</v>
      </c>
      <c r="BE8" s="11">
        <v>60483</v>
      </c>
      <c r="BF8" s="11">
        <v>60410</v>
      </c>
      <c r="BG8" s="40">
        <v>60458</v>
      </c>
      <c r="BH8" s="40">
        <v>60451</v>
      </c>
    </row>
    <row r="9" spans="2:60" s="5" customFormat="1" x14ac:dyDescent="0.2">
      <c r="B9" s="40"/>
      <c r="C9" s="40"/>
      <c r="D9" s="40"/>
      <c r="E9" s="40"/>
      <c r="F9" s="67" t="s">
        <v>582</v>
      </c>
      <c r="G9" s="68"/>
      <c r="H9" s="68"/>
      <c r="I9" s="69"/>
      <c r="M9" s="252"/>
      <c r="N9" s="10">
        <v>7</v>
      </c>
      <c r="O9" s="15">
        <v>60360</v>
      </c>
      <c r="P9" s="697"/>
      <c r="Q9" s="6"/>
      <c r="R9" s="6"/>
      <c r="S9" s="6"/>
      <c r="T9" s="6"/>
      <c r="U9" s="6">
        <v>60487</v>
      </c>
      <c r="V9" s="6"/>
      <c r="W9" s="6"/>
      <c r="X9" s="6">
        <v>60393</v>
      </c>
      <c r="Y9" s="6"/>
      <c r="Z9" s="6"/>
      <c r="AA9" s="6">
        <v>60406</v>
      </c>
      <c r="AB9" s="6"/>
      <c r="AC9" s="6"/>
      <c r="AD9" s="6"/>
      <c r="AE9" s="6">
        <v>60424</v>
      </c>
      <c r="AF9" s="6"/>
      <c r="AG9" s="6"/>
      <c r="AH9" s="6"/>
      <c r="AI9" s="40">
        <v>60506</v>
      </c>
      <c r="AJ9" s="6"/>
      <c r="AK9" s="6"/>
      <c r="AL9" s="6"/>
      <c r="AM9" s="6"/>
      <c r="AN9" s="15">
        <v>60363</v>
      </c>
      <c r="AO9" s="11"/>
      <c r="AP9" s="11"/>
      <c r="AQ9" s="11"/>
      <c r="AR9" s="11">
        <v>60377</v>
      </c>
      <c r="AS9" s="11"/>
      <c r="AT9" s="40"/>
      <c r="AU9" s="11">
        <v>60371</v>
      </c>
      <c r="AV9" s="11"/>
      <c r="AW9" s="11"/>
      <c r="AX9" s="11"/>
      <c r="AY9" s="11">
        <v>60452</v>
      </c>
      <c r="AZ9" s="15">
        <v>60321</v>
      </c>
      <c r="BA9" s="15">
        <v>60921</v>
      </c>
      <c r="BB9" s="11">
        <v>60367</v>
      </c>
      <c r="BC9" s="11">
        <v>60381</v>
      </c>
      <c r="BD9" s="11" t="s">
        <v>91</v>
      </c>
      <c r="BE9" s="11">
        <v>60484</v>
      </c>
      <c r="BF9" s="11">
        <v>60389</v>
      </c>
      <c r="BG9" s="40">
        <v>60454</v>
      </c>
      <c r="BH9" s="40"/>
    </row>
    <row r="10" spans="2:60" s="5" customFormat="1" x14ac:dyDescent="0.2">
      <c r="B10" s="55" t="s">
        <v>50</v>
      </c>
      <c r="C10" s="40"/>
      <c r="D10" s="40"/>
      <c r="E10" s="40"/>
      <c r="F10" s="67" t="s">
        <v>290</v>
      </c>
      <c r="G10" s="68"/>
      <c r="H10" s="68"/>
      <c r="I10" s="69"/>
      <c r="M10" s="252"/>
      <c r="N10" s="10">
        <v>8</v>
      </c>
      <c r="O10" s="15">
        <v>60363</v>
      </c>
      <c r="P10" s="15">
        <v>60381</v>
      </c>
      <c r="Q10" s="6"/>
      <c r="R10" s="6"/>
      <c r="S10" s="6"/>
      <c r="T10" s="6"/>
      <c r="U10" s="6"/>
      <c r="V10" s="6"/>
      <c r="W10" s="6"/>
      <c r="X10" s="6">
        <v>60394</v>
      </c>
      <c r="Y10" s="6"/>
      <c r="Z10" s="6"/>
      <c r="AA10" s="6">
        <v>60435</v>
      </c>
      <c r="AB10" s="6"/>
      <c r="AC10" s="6"/>
      <c r="AD10" s="6"/>
      <c r="AE10" s="6">
        <v>60425</v>
      </c>
      <c r="AF10" s="6"/>
      <c r="AG10" s="6"/>
      <c r="AH10" s="6"/>
      <c r="AI10" s="40">
        <v>60507</v>
      </c>
      <c r="AJ10" s="6"/>
      <c r="AK10" s="6"/>
      <c r="AL10" s="6"/>
      <c r="AM10" s="6"/>
      <c r="AN10" s="15">
        <v>60364</v>
      </c>
      <c r="AO10" s="11"/>
      <c r="AP10" s="11"/>
      <c r="AQ10" s="11"/>
      <c r="AR10" s="11">
        <v>60378</v>
      </c>
      <c r="AS10" s="11"/>
      <c r="AT10" s="40"/>
      <c r="AU10" s="11">
        <v>61061</v>
      </c>
      <c r="AV10" s="11"/>
      <c r="AW10" s="11"/>
      <c r="AX10" s="11"/>
      <c r="AY10" s="11">
        <v>60459</v>
      </c>
      <c r="AZ10" s="15">
        <v>60312</v>
      </c>
      <c r="BA10" s="15">
        <v>60376</v>
      </c>
      <c r="BB10" s="11">
        <v>60922</v>
      </c>
      <c r="BC10" s="11">
        <v>60383</v>
      </c>
      <c r="BD10" s="11" t="s">
        <v>92</v>
      </c>
      <c r="BE10" s="11">
        <v>60485</v>
      </c>
      <c r="BF10" s="11">
        <v>60405</v>
      </c>
      <c r="BG10" s="40">
        <v>60928</v>
      </c>
      <c r="BH10" s="40"/>
    </row>
    <row r="11" spans="2:60" s="5" customFormat="1" x14ac:dyDescent="0.2">
      <c r="B11" s="64" t="s">
        <v>32</v>
      </c>
      <c r="C11" s="65"/>
      <c r="D11" s="66"/>
      <c r="E11" s="40"/>
      <c r="F11" s="67" t="s">
        <v>575</v>
      </c>
      <c r="G11" s="68"/>
      <c r="H11" s="68"/>
      <c r="I11" s="69"/>
      <c r="M11" s="253"/>
      <c r="N11" s="10">
        <v>9</v>
      </c>
      <c r="O11" s="15">
        <v>60364</v>
      </c>
      <c r="P11" s="15">
        <v>60383</v>
      </c>
      <c r="Q11" s="6"/>
      <c r="R11" s="6"/>
      <c r="S11" s="6"/>
      <c r="T11" s="6"/>
      <c r="U11" s="6"/>
      <c r="V11" s="6"/>
      <c r="W11" s="6"/>
      <c r="X11" s="6">
        <v>60395</v>
      </c>
      <c r="Y11" s="6"/>
      <c r="Z11" s="6"/>
      <c r="AA11" s="6">
        <v>60436</v>
      </c>
      <c r="AB11" s="6"/>
      <c r="AC11" s="6"/>
      <c r="AD11" s="6"/>
      <c r="AE11" s="6">
        <v>60426</v>
      </c>
      <c r="AF11" s="6"/>
      <c r="AG11" s="6"/>
      <c r="AH11" s="6"/>
      <c r="AI11" s="40"/>
      <c r="AJ11" s="6"/>
      <c r="AK11" s="6"/>
      <c r="AL11" s="6"/>
      <c r="AM11" s="6"/>
      <c r="AN11" s="15">
        <v>60365</v>
      </c>
      <c r="AO11" s="11"/>
      <c r="AP11" s="11"/>
      <c r="AQ11" s="11"/>
      <c r="AR11" s="11">
        <v>60384</v>
      </c>
      <c r="AS11" s="11"/>
      <c r="AT11" s="11"/>
      <c r="AU11" s="11">
        <v>60373</v>
      </c>
      <c r="AV11" s="11"/>
      <c r="AW11" s="11"/>
      <c r="AX11" s="11"/>
      <c r="AY11" s="11">
        <v>60360</v>
      </c>
      <c r="AZ11" s="15">
        <v>60307</v>
      </c>
      <c r="BA11" s="15"/>
      <c r="BB11" s="11">
        <v>60371</v>
      </c>
      <c r="BC11" s="11">
        <v>60390</v>
      </c>
      <c r="BD11" s="11" t="s">
        <v>93</v>
      </c>
      <c r="BE11" s="11">
        <v>60487</v>
      </c>
      <c r="BF11" s="11">
        <v>60392</v>
      </c>
      <c r="BG11" s="40">
        <v>60461</v>
      </c>
      <c r="BH11" s="40"/>
    </row>
    <row r="12" spans="2:60" s="5" customFormat="1" x14ac:dyDescent="0.2">
      <c r="B12" s="67" t="s">
        <v>33</v>
      </c>
      <c r="C12" s="68"/>
      <c r="D12" s="69"/>
      <c r="E12" s="40"/>
      <c r="F12" s="56"/>
      <c r="G12" s="57"/>
      <c r="H12" s="57"/>
      <c r="I12" s="57"/>
      <c r="M12" s="253"/>
      <c r="N12" s="10">
        <v>10</v>
      </c>
      <c r="O12" s="15">
        <v>60365</v>
      </c>
      <c r="P12" s="15">
        <v>60390</v>
      </c>
      <c r="Q12" s="6"/>
      <c r="R12" s="6"/>
      <c r="S12" s="6"/>
      <c r="T12" s="6"/>
      <c r="U12" s="6"/>
      <c r="V12" s="6"/>
      <c r="W12" s="6"/>
      <c r="X12" s="6">
        <v>60396</v>
      </c>
      <c r="Y12" s="6"/>
      <c r="Z12" s="6"/>
      <c r="AA12" s="6">
        <v>60437</v>
      </c>
      <c r="AB12" s="6"/>
      <c r="AC12" s="6"/>
      <c r="AD12" s="6"/>
      <c r="AE12" s="6">
        <v>60427</v>
      </c>
      <c r="AF12" s="6"/>
      <c r="AG12" s="6"/>
      <c r="AH12" s="6"/>
      <c r="AI12" s="40"/>
      <c r="AJ12" s="6"/>
      <c r="AK12" s="6"/>
      <c r="AL12" s="6"/>
      <c r="AM12" s="6"/>
      <c r="AN12" s="15">
        <v>60367</v>
      </c>
      <c r="AO12" s="11"/>
      <c r="AP12" s="11"/>
      <c r="AQ12" s="11"/>
      <c r="AR12" s="11">
        <v>60441</v>
      </c>
      <c r="AS12" s="11"/>
      <c r="AT12" s="11"/>
      <c r="AU12" s="11">
        <v>60368</v>
      </c>
      <c r="AV12" s="11"/>
      <c r="AW12" s="11"/>
      <c r="AX12" s="11"/>
      <c r="AY12" s="11">
        <v>60363</v>
      </c>
      <c r="AZ12" s="15">
        <v>60322</v>
      </c>
      <c r="BA12" s="88">
        <v>60380</v>
      </c>
      <c r="BB12" s="11">
        <v>60923</v>
      </c>
      <c r="BC12" s="11">
        <v>60430</v>
      </c>
      <c r="BD12" s="11" t="s">
        <v>94</v>
      </c>
      <c r="BE12" s="11">
        <v>60488</v>
      </c>
      <c r="BF12" s="11">
        <v>60387</v>
      </c>
      <c r="BG12" s="40">
        <v>60463</v>
      </c>
      <c r="BH12" s="40"/>
    </row>
    <row r="13" spans="2:60" s="5" customFormat="1" x14ac:dyDescent="0.2">
      <c r="B13" s="67" t="s">
        <v>34</v>
      </c>
      <c r="C13" s="68"/>
      <c r="D13" s="69"/>
      <c r="E13" s="40"/>
      <c r="F13" s="372"/>
      <c r="G13" s="40"/>
      <c r="H13" s="40"/>
      <c r="I13" s="40"/>
      <c r="M13" s="253"/>
      <c r="N13" s="10">
        <v>11</v>
      </c>
      <c r="O13" s="15">
        <v>60367</v>
      </c>
      <c r="P13" s="15">
        <v>60430</v>
      </c>
      <c r="Q13" s="6"/>
      <c r="R13" s="6"/>
      <c r="S13" s="6"/>
      <c r="T13" s="6"/>
      <c r="U13" s="6"/>
      <c r="V13" s="6"/>
      <c r="W13" s="6"/>
      <c r="X13" s="6">
        <v>60397</v>
      </c>
      <c r="Y13" s="6"/>
      <c r="Z13" s="6"/>
      <c r="AA13" s="6">
        <v>60385</v>
      </c>
      <c r="AB13" s="6"/>
      <c r="AC13" s="6"/>
      <c r="AD13" s="6"/>
      <c r="AE13" s="6">
        <v>60428</v>
      </c>
      <c r="AF13" s="6"/>
      <c r="AG13" s="6"/>
      <c r="AH13" s="6"/>
      <c r="AI13" s="40"/>
      <c r="AJ13" s="6"/>
      <c r="AK13" s="6"/>
      <c r="AL13" s="6"/>
      <c r="AM13" s="6"/>
      <c r="AN13" s="15">
        <v>60922</v>
      </c>
      <c r="AO13" s="11"/>
      <c r="AP13" s="11"/>
      <c r="AQ13" s="40"/>
      <c r="AR13" s="11">
        <v>60442</v>
      </c>
      <c r="AS13" s="11"/>
      <c r="AT13" s="11"/>
      <c r="AU13" s="11">
        <v>60369</v>
      </c>
      <c r="AV13" s="11"/>
      <c r="AW13" s="11"/>
      <c r="AX13" s="11"/>
      <c r="AY13" s="11">
        <v>60364</v>
      </c>
      <c r="AZ13" s="15">
        <v>60317</v>
      </c>
      <c r="BA13" s="88">
        <v>60440</v>
      </c>
      <c r="BB13" s="11">
        <v>60453</v>
      </c>
      <c r="BC13" s="11">
        <v>60420</v>
      </c>
      <c r="BD13" s="11" t="s">
        <v>95</v>
      </c>
      <c r="BE13" s="11">
        <v>60489</v>
      </c>
      <c r="BF13" s="11">
        <v>60415</v>
      </c>
      <c r="BG13" s="40">
        <v>60464</v>
      </c>
      <c r="BH13" s="40"/>
    </row>
    <row r="14" spans="2:60" s="5" customFormat="1" x14ac:dyDescent="0.2">
      <c r="B14" s="67" t="s">
        <v>35</v>
      </c>
      <c r="C14" s="68"/>
      <c r="D14" s="69"/>
      <c r="E14" s="40"/>
      <c r="M14" s="253"/>
      <c r="N14" s="10">
        <v>12</v>
      </c>
      <c r="O14" s="15">
        <v>60922</v>
      </c>
      <c r="P14" s="15">
        <v>60420</v>
      </c>
      <c r="Q14" s="6"/>
      <c r="R14" s="6"/>
      <c r="S14" s="6"/>
      <c r="T14" s="6"/>
      <c r="U14" s="6"/>
      <c r="V14" s="6"/>
      <c r="W14" s="6"/>
      <c r="X14" s="6">
        <v>60398</v>
      </c>
      <c r="Y14" s="6"/>
      <c r="Z14" s="6"/>
      <c r="AA14" s="6">
        <v>60303</v>
      </c>
      <c r="AB14" s="6"/>
      <c r="AC14" s="6"/>
      <c r="AD14" s="6"/>
      <c r="AE14" s="6">
        <v>60926</v>
      </c>
      <c r="AF14" s="6"/>
      <c r="AG14" s="6"/>
      <c r="AH14" s="6"/>
      <c r="AI14" s="40"/>
      <c r="AJ14" s="6"/>
      <c r="AK14" s="6"/>
      <c r="AL14" s="6"/>
      <c r="AM14" s="6"/>
      <c r="AN14" s="15">
        <v>60371</v>
      </c>
      <c r="AO14" s="11"/>
      <c r="AP14" s="11"/>
      <c r="AQ14" s="40"/>
      <c r="AR14" s="11"/>
      <c r="AS14" s="11"/>
      <c r="AT14" s="125"/>
      <c r="AU14" s="11"/>
      <c r="AV14" s="11"/>
      <c r="AW14" s="11"/>
      <c r="AX14" s="11"/>
      <c r="AY14" s="11">
        <v>60365</v>
      </c>
      <c r="AZ14" s="15">
        <v>60303</v>
      </c>
      <c r="BA14" s="88">
        <v>60442</v>
      </c>
      <c r="BB14" s="11">
        <v>61061</v>
      </c>
      <c r="BC14" s="11">
        <v>60388</v>
      </c>
      <c r="BD14" s="11" t="s">
        <v>96</v>
      </c>
      <c r="BE14" s="11">
        <v>60490</v>
      </c>
      <c r="BF14" s="40">
        <v>60393</v>
      </c>
      <c r="BG14" s="40">
        <v>60465</v>
      </c>
      <c r="BH14" s="40"/>
    </row>
    <row r="15" spans="2:60" s="5" customFormat="1" x14ac:dyDescent="0.2">
      <c r="B15" s="67" t="s">
        <v>36</v>
      </c>
      <c r="C15" s="68"/>
      <c r="D15" s="69"/>
      <c r="E15" s="40"/>
      <c r="F15" s="55" t="s">
        <v>52</v>
      </c>
      <c r="G15" s="40"/>
      <c r="H15" s="40"/>
      <c r="I15" s="40"/>
      <c r="M15" s="254"/>
      <c r="N15" s="10">
        <v>13</v>
      </c>
      <c r="O15" s="15">
        <v>60371</v>
      </c>
      <c r="P15" s="15">
        <v>60388</v>
      </c>
      <c r="Q15" s="6"/>
      <c r="R15" s="6"/>
      <c r="S15" s="6"/>
      <c r="T15" s="6"/>
      <c r="U15" s="6"/>
      <c r="V15" s="6"/>
      <c r="W15" s="6"/>
      <c r="X15" s="6">
        <v>60925</v>
      </c>
      <c r="Y15" s="6"/>
      <c r="Z15" s="6"/>
      <c r="AA15" s="6">
        <v>60457</v>
      </c>
      <c r="AB15" s="6"/>
      <c r="AC15" s="6"/>
      <c r="AD15" s="6"/>
      <c r="AE15" s="6">
        <v>60500</v>
      </c>
      <c r="AF15" s="6"/>
      <c r="AG15" s="6"/>
      <c r="AH15" s="6"/>
      <c r="AI15" s="40"/>
      <c r="AJ15" s="6"/>
      <c r="AK15" s="6"/>
      <c r="AL15" s="6"/>
      <c r="AM15" s="6"/>
      <c r="AN15" s="15">
        <v>60375</v>
      </c>
      <c r="AO15" s="11"/>
      <c r="AP15" s="11"/>
      <c r="AQ15" s="40"/>
      <c r="AR15" s="11"/>
      <c r="AS15" s="11"/>
      <c r="AT15" s="125"/>
      <c r="AU15" s="11"/>
      <c r="AV15" s="11"/>
      <c r="AW15" s="11"/>
      <c r="AX15" s="11"/>
      <c r="AY15" s="11">
        <v>60375</v>
      </c>
      <c r="AZ15" s="15">
        <v>60319</v>
      </c>
      <c r="BA15" s="88">
        <v>60443</v>
      </c>
      <c r="BB15" s="11">
        <v>60373</v>
      </c>
      <c r="BC15" s="11">
        <v>60391</v>
      </c>
      <c r="BD15" s="11" t="s">
        <v>97</v>
      </c>
      <c r="BE15" s="11">
        <v>60491</v>
      </c>
      <c r="BF15" s="40">
        <v>60394</v>
      </c>
      <c r="BG15" s="40">
        <v>60466</v>
      </c>
      <c r="BH15" s="40"/>
    </row>
    <row r="16" spans="2:60" s="5" customFormat="1" x14ac:dyDescent="0.2">
      <c r="B16" s="67" t="s">
        <v>7</v>
      </c>
      <c r="C16" s="68"/>
      <c r="D16" s="69"/>
      <c r="E16" s="40"/>
      <c r="F16" s="64" t="s">
        <v>29</v>
      </c>
      <c r="G16" s="65"/>
      <c r="H16" s="65"/>
      <c r="I16" s="66"/>
      <c r="N16" s="10">
        <v>14</v>
      </c>
      <c r="O16" s="15">
        <v>60375</v>
      </c>
      <c r="P16" s="15">
        <v>60391</v>
      </c>
      <c r="Q16" s="6"/>
      <c r="R16" s="6"/>
      <c r="S16" s="6"/>
      <c r="T16" s="6"/>
      <c r="U16" s="6"/>
      <c r="V16" s="6"/>
      <c r="W16" s="6"/>
      <c r="X16" s="6">
        <v>60400</v>
      </c>
      <c r="Y16" s="6"/>
      <c r="Z16" s="6"/>
      <c r="AA16" s="6">
        <v>60454</v>
      </c>
      <c r="AB16" s="6"/>
      <c r="AC16" s="6"/>
      <c r="AD16" s="6"/>
      <c r="AE16" s="6">
        <v>60501</v>
      </c>
      <c r="AF16" s="6"/>
      <c r="AG16" s="6"/>
      <c r="AH16" s="6"/>
      <c r="AI16" s="40"/>
      <c r="AJ16" s="6"/>
      <c r="AK16" s="6"/>
      <c r="AL16" s="6"/>
      <c r="AM16" s="6"/>
      <c r="AN16" s="15">
        <v>60923</v>
      </c>
      <c r="AO16" s="11"/>
      <c r="AP16" s="11"/>
      <c r="AQ16" s="40"/>
      <c r="AR16" s="11"/>
      <c r="AS16" s="11"/>
      <c r="AT16" s="125"/>
      <c r="AU16" s="11"/>
      <c r="AV16" s="11"/>
      <c r="AW16" s="11"/>
      <c r="AX16" s="11"/>
      <c r="AY16" s="11">
        <v>60367</v>
      </c>
      <c r="AZ16" s="15">
        <v>60358</v>
      </c>
      <c r="BA16" s="40">
        <v>60444</v>
      </c>
      <c r="BB16" s="11">
        <v>60368</v>
      </c>
      <c r="BC16" s="11">
        <v>60410</v>
      </c>
      <c r="BD16" s="11" t="s">
        <v>98</v>
      </c>
      <c r="BE16" s="11">
        <v>60475</v>
      </c>
      <c r="BF16" s="40">
        <v>60412</v>
      </c>
      <c r="BG16" s="40">
        <v>60468</v>
      </c>
      <c r="BH16" s="40"/>
    </row>
    <row r="17" spans="2:60" s="5" customFormat="1" x14ac:dyDescent="0.2">
      <c r="B17" s="67" t="s">
        <v>37</v>
      </c>
      <c r="C17" s="68"/>
      <c r="D17" s="69"/>
      <c r="E17" s="40"/>
      <c r="F17" s="67" t="s">
        <v>53</v>
      </c>
      <c r="G17" s="68"/>
      <c r="H17" s="68"/>
      <c r="I17" s="69"/>
      <c r="N17" s="10">
        <v>15</v>
      </c>
      <c r="O17" s="15">
        <v>60923</v>
      </c>
      <c r="P17" s="15">
        <v>60410</v>
      </c>
      <c r="Q17" s="6"/>
      <c r="R17" s="6"/>
      <c r="S17" s="6"/>
      <c r="T17" s="6"/>
      <c r="U17" s="6"/>
      <c r="V17" s="6"/>
      <c r="W17" s="6"/>
      <c r="X17" s="6">
        <v>60449</v>
      </c>
      <c r="Y17" s="6"/>
      <c r="Z17" s="6"/>
      <c r="AA17" s="6">
        <v>60928</v>
      </c>
      <c r="AB17" s="6"/>
      <c r="AC17" s="6"/>
      <c r="AD17" s="6"/>
      <c r="AE17" s="6">
        <v>60492</v>
      </c>
      <c r="AF17" s="6"/>
      <c r="AG17" s="6"/>
      <c r="AH17" s="6"/>
      <c r="AI17" s="6"/>
      <c r="AJ17" s="6"/>
      <c r="AK17" s="6"/>
      <c r="AL17" s="6"/>
      <c r="AM17" s="6"/>
      <c r="AN17" s="15">
        <v>60439</v>
      </c>
      <c r="AO17" s="11"/>
      <c r="AP17" s="11"/>
      <c r="AQ17" s="11"/>
      <c r="AR17" s="11"/>
      <c r="AS17" s="11"/>
      <c r="AT17" s="125"/>
      <c r="AU17" s="11"/>
      <c r="AV17" s="11"/>
      <c r="AW17" s="11"/>
      <c r="AX17" s="11"/>
      <c r="AY17" s="11">
        <v>60922</v>
      </c>
      <c r="AZ17" s="15">
        <v>60311</v>
      </c>
      <c r="BA17" s="40">
        <v>60450</v>
      </c>
      <c r="BB17" s="11">
        <v>60369</v>
      </c>
      <c r="BC17" s="11">
        <v>60389</v>
      </c>
      <c r="BD17" s="11" t="s">
        <v>99</v>
      </c>
      <c r="BE17" s="11">
        <v>60492</v>
      </c>
      <c r="BF17" s="40">
        <v>60395</v>
      </c>
      <c r="BG17" s="40">
        <v>60469</v>
      </c>
      <c r="BH17" s="40"/>
    </row>
    <row r="18" spans="2:60" s="5" customFormat="1" x14ac:dyDescent="0.2">
      <c r="B18" s="67" t="s">
        <v>38</v>
      </c>
      <c r="C18" s="68"/>
      <c r="D18" s="69"/>
      <c r="E18" s="40"/>
      <c r="F18" s="56"/>
      <c r="G18" s="57"/>
      <c r="H18" s="57"/>
      <c r="I18" s="57"/>
      <c r="N18" s="10">
        <v>16</v>
      </c>
      <c r="O18" s="15">
        <v>60439</v>
      </c>
      <c r="P18" s="15">
        <v>60389</v>
      </c>
      <c r="Q18" s="6"/>
      <c r="R18" s="6"/>
      <c r="S18" s="6"/>
      <c r="T18" s="6"/>
      <c r="U18" s="6"/>
      <c r="V18" s="6"/>
      <c r="W18" s="6"/>
      <c r="X18" s="6">
        <v>60307</v>
      </c>
      <c r="Y18" s="6"/>
      <c r="Z18" s="6"/>
      <c r="AA18" s="6">
        <v>60461</v>
      </c>
      <c r="AB18" s="6"/>
      <c r="AC18" s="6"/>
      <c r="AD18" s="6"/>
      <c r="AE18" s="6">
        <v>60493</v>
      </c>
      <c r="AF18" s="6"/>
      <c r="AG18" s="6"/>
      <c r="AH18" s="6"/>
      <c r="AI18" s="6"/>
      <c r="AJ18" s="6"/>
      <c r="AK18" s="6"/>
      <c r="AL18" s="6"/>
      <c r="AM18" s="6"/>
      <c r="AN18" s="15">
        <v>60445</v>
      </c>
      <c r="AO18" s="11"/>
      <c r="AP18" s="11"/>
      <c r="AQ18" s="11"/>
      <c r="AR18" s="11"/>
      <c r="AS18" s="11"/>
      <c r="AT18" s="125"/>
      <c r="AU18" s="11"/>
      <c r="AV18" s="11"/>
      <c r="AW18" s="11"/>
      <c r="AX18" s="11"/>
      <c r="AY18" s="11">
        <v>60371</v>
      </c>
      <c r="AZ18" s="15">
        <v>60926</v>
      </c>
      <c r="BA18" s="11"/>
      <c r="BB18" s="11">
        <v>60374</v>
      </c>
      <c r="BC18" s="11">
        <v>60405</v>
      </c>
      <c r="BD18" s="11" t="s">
        <v>100</v>
      </c>
      <c r="BE18" s="11">
        <v>60493</v>
      </c>
      <c r="BF18" s="40">
        <v>60402</v>
      </c>
      <c r="BG18" s="40">
        <v>60471</v>
      </c>
      <c r="BH18" s="40"/>
    </row>
    <row r="19" spans="2:60" s="5" customFormat="1" x14ac:dyDescent="0.2">
      <c r="B19" s="67" t="s">
        <v>8</v>
      </c>
      <c r="C19" s="68"/>
      <c r="D19" s="69"/>
      <c r="E19" s="40"/>
      <c r="F19" s="55" t="s">
        <v>81</v>
      </c>
      <c r="G19" s="40"/>
      <c r="H19" s="40"/>
      <c r="I19" s="40"/>
      <c r="N19" s="10">
        <v>17</v>
      </c>
      <c r="O19" s="15">
        <v>60445</v>
      </c>
      <c r="P19" s="15">
        <v>60405</v>
      </c>
      <c r="Q19" s="6"/>
      <c r="R19" s="6"/>
      <c r="S19" s="6"/>
      <c r="T19" s="6"/>
      <c r="U19" s="6"/>
      <c r="V19" s="6"/>
      <c r="W19" s="6"/>
      <c r="X19" s="6">
        <v>60514</v>
      </c>
      <c r="Y19" s="6"/>
      <c r="Z19" s="6"/>
      <c r="AA19" s="6">
        <v>60468</v>
      </c>
      <c r="AB19" s="6"/>
      <c r="AC19" s="6"/>
      <c r="AD19" s="6"/>
      <c r="AE19" s="6">
        <v>60494</v>
      </c>
      <c r="AF19" s="6"/>
      <c r="AG19" s="6"/>
      <c r="AH19" s="6"/>
      <c r="AI19" s="6"/>
      <c r="AJ19" s="6"/>
      <c r="AK19" s="6"/>
      <c r="AL19" s="6"/>
      <c r="AM19" s="6"/>
      <c r="AN19" s="15">
        <v>60452</v>
      </c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>
        <v>60923</v>
      </c>
      <c r="AZ19" s="15">
        <v>60320</v>
      </c>
      <c r="BA19" s="11"/>
      <c r="BB19" s="11">
        <v>69166</v>
      </c>
      <c r="BC19" s="11">
        <v>60392</v>
      </c>
      <c r="BD19" s="11" t="s">
        <v>101</v>
      </c>
      <c r="BE19" s="11">
        <v>60494</v>
      </c>
      <c r="BF19" s="40">
        <v>60403</v>
      </c>
      <c r="BG19" s="40">
        <v>60472</v>
      </c>
      <c r="BH19" s="40"/>
    </row>
    <row r="20" spans="2:60" s="5" customFormat="1" x14ac:dyDescent="0.2">
      <c r="B20" s="67" t="s">
        <v>39</v>
      </c>
      <c r="C20" s="68"/>
      <c r="D20" s="69"/>
      <c r="E20" s="40"/>
      <c r="F20" s="64" t="s">
        <v>51</v>
      </c>
      <c r="G20" s="65"/>
      <c r="H20" s="65"/>
      <c r="I20" s="66"/>
      <c r="N20" s="10">
        <v>18</v>
      </c>
      <c r="O20" s="15">
        <v>60452</v>
      </c>
      <c r="P20" s="15">
        <v>60392</v>
      </c>
      <c r="Q20" s="6"/>
      <c r="R20" s="6"/>
      <c r="S20" s="6"/>
      <c r="T20" s="6"/>
      <c r="U20" s="6"/>
      <c r="V20" s="6"/>
      <c r="W20" s="6"/>
      <c r="X20" s="6">
        <v>60470</v>
      </c>
      <c r="Y20" s="6"/>
      <c r="Z20" s="6"/>
      <c r="AA20" s="6">
        <v>60469</v>
      </c>
      <c r="AB20" s="6"/>
      <c r="AC20" s="6"/>
      <c r="AD20" s="6"/>
      <c r="AE20" s="6">
        <v>60495</v>
      </c>
      <c r="AF20" s="6"/>
      <c r="AG20" s="6"/>
      <c r="AH20" s="6"/>
      <c r="AI20" s="6"/>
      <c r="AJ20" s="6"/>
      <c r="AK20" s="6"/>
      <c r="AL20" s="6"/>
      <c r="AM20" s="6"/>
      <c r="AN20" s="15">
        <v>60453</v>
      </c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>
        <v>60439</v>
      </c>
      <c r="AZ20" s="15">
        <v>60318</v>
      </c>
      <c r="BA20" s="11"/>
      <c r="BB20" s="11">
        <v>60377</v>
      </c>
      <c r="BC20" s="11">
        <v>60387</v>
      </c>
      <c r="BD20" s="11" t="s">
        <v>102</v>
      </c>
      <c r="BE20" s="11">
        <v>60495</v>
      </c>
      <c r="BF20" s="40">
        <v>60404</v>
      </c>
      <c r="BG20" s="40">
        <v>60473</v>
      </c>
      <c r="BH20" s="40"/>
    </row>
    <row r="21" spans="2:60" s="5" customFormat="1" x14ac:dyDescent="0.2">
      <c r="B21" s="67" t="s">
        <v>40</v>
      </c>
      <c r="C21" s="68"/>
      <c r="D21" s="69"/>
      <c r="E21" s="40"/>
      <c r="F21" s="67" t="s">
        <v>6</v>
      </c>
      <c r="G21" s="68"/>
      <c r="H21" s="68"/>
      <c r="I21" s="69"/>
      <c r="N21" s="10">
        <v>19</v>
      </c>
      <c r="O21" s="15">
        <v>60453</v>
      </c>
      <c r="P21" s="15">
        <v>60387</v>
      </c>
      <c r="Q21" s="6"/>
      <c r="R21" s="6"/>
      <c r="S21" s="6"/>
      <c r="T21" s="6"/>
      <c r="U21" s="6"/>
      <c r="V21" s="6"/>
      <c r="W21" s="6"/>
      <c r="X21" s="6">
        <v>60476</v>
      </c>
      <c r="Y21" s="6"/>
      <c r="Z21" s="6"/>
      <c r="AA21" s="6">
        <v>60471</v>
      </c>
      <c r="AB21" s="6"/>
      <c r="AC21" s="6"/>
      <c r="AD21" s="6"/>
      <c r="AE21" s="6">
        <v>60496</v>
      </c>
      <c r="AF21" s="6"/>
      <c r="AG21" s="6"/>
      <c r="AH21" s="6"/>
      <c r="AI21" s="6"/>
      <c r="AJ21" s="6"/>
      <c r="AK21" s="6"/>
      <c r="AL21" s="6"/>
      <c r="AM21" s="6"/>
      <c r="AN21" s="15">
        <v>60921</v>
      </c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>
        <v>60445</v>
      </c>
      <c r="AZ21" s="15">
        <v>60927</v>
      </c>
      <c r="BA21" s="11"/>
      <c r="BB21" s="11">
        <v>60378</v>
      </c>
      <c r="BC21" s="11">
        <v>60415</v>
      </c>
      <c r="BD21" s="11" t="s">
        <v>103</v>
      </c>
      <c r="BE21" s="11">
        <v>60496</v>
      </c>
      <c r="BF21" s="40">
        <v>60406</v>
      </c>
      <c r="BG21" s="40">
        <v>60474</v>
      </c>
      <c r="BH21" s="40"/>
    </row>
    <row r="22" spans="2:60" s="5" customFormat="1" x14ac:dyDescent="0.2">
      <c r="B22" s="67" t="s">
        <v>9</v>
      </c>
      <c r="C22" s="68"/>
      <c r="D22" s="69"/>
      <c r="E22" s="40"/>
      <c r="F22" s="67" t="s">
        <v>55</v>
      </c>
      <c r="G22" s="68"/>
      <c r="H22" s="68"/>
      <c r="I22" s="69"/>
      <c r="N22" s="10">
        <v>20</v>
      </c>
      <c r="O22" s="15">
        <v>60455</v>
      </c>
      <c r="P22" s="15">
        <v>60415</v>
      </c>
      <c r="Q22" s="6"/>
      <c r="R22" s="6"/>
      <c r="S22" s="6"/>
      <c r="T22" s="6"/>
      <c r="U22" s="6"/>
      <c r="V22" s="6"/>
      <c r="W22" s="6"/>
      <c r="X22" s="6">
        <v>60477</v>
      </c>
      <c r="Y22" s="6"/>
      <c r="Z22" s="6"/>
      <c r="AA22" s="6">
        <v>60472</v>
      </c>
      <c r="AB22" s="6"/>
      <c r="AC22" s="6"/>
      <c r="AD22" s="6"/>
      <c r="AE22" s="6">
        <v>60929</v>
      </c>
      <c r="AF22" s="6"/>
      <c r="AG22" s="6"/>
      <c r="AH22" s="6"/>
      <c r="AI22" s="6"/>
      <c r="AJ22" s="6"/>
      <c r="AK22" s="6"/>
      <c r="AL22" s="6"/>
      <c r="AM22" s="6"/>
      <c r="AN22" s="15">
        <v>61061</v>
      </c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>
        <v>60453</v>
      </c>
      <c r="AZ22" s="15">
        <v>60305</v>
      </c>
      <c r="BA22" s="11"/>
      <c r="BB22" s="11">
        <v>60384</v>
      </c>
      <c r="BC22" s="11">
        <v>60393</v>
      </c>
      <c r="BD22" s="11" t="s">
        <v>104</v>
      </c>
      <c r="BE22" s="11">
        <v>60929</v>
      </c>
      <c r="BF22" s="40">
        <v>60407</v>
      </c>
      <c r="BG22" s="93"/>
      <c r="BH22" s="40"/>
    </row>
    <row r="23" spans="2:60" s="5" customFormat="1" x14ac:dyDescent="0.2">
      <c r="B23" s="67" t="s">
        <v>41</v>
      </c>
      <c r="C23" s="68"/>
      <c r="D23" s="69"/>
      <c r="E23" s="40"/>
      <c r="F23" s="67" t="s">
        <v>1</v>
      </c>
      <c r="G23" s="68"/>
      <c r="H23" s="68"/>
      <c r="I23" s="69"/>
      <c r="N23" s="10">
        <v>21</v>
      </c>
      <c r="O23" s="15">
        <v>60456</v>
      </c>
      <c r="P23" s="88">
        <v>60393</v>
      </c>
      <c r="Q23" s="6"/>
      <c r="R23" s="6"/>
      <c r="S23" s="6"/>
      <c r="T23" s="6"/>
      <c r="U23" s="6"/>
      <c r="V23" s="6"/>
      <c r="W23" s="6"/>
      <c r="X23" s="40">
        <v>60480</v>
      </c>
      <c r="Y23" s="6"/>
      <c r="Z23" s="6"/>
      <c r="AA23" s="6">
        <v>60473</v>
      </c>
      <c r="AB23" s="6"/>
      <c r="AC23" s="6"/>
      <c r="AD23" s="6"/>
      <c r="AE23" s="6">
        <v>60498</v>
      </c>
      <c r="AF23" s="6"/>
      <c r="AG23" s="6"/>
      <c r="AH23" s="6"/>
      <c r="AI23" s="6"/>
      <c r="AJ23" s="6"/>
      <c r="AK23" s="6"/>
      <c r="AL23" s="6"/>
      <c r="AM23" s="6"/>
      <c r="AN23" s="15">
        <v>60373</v>
      </c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>
        <v>60455</v>
      </c>
      <c r="AZ23" s="15">
        <v>60314</v>
      </c>
      <c r="BA23" s="11"/>
      <c r="BB23" s="11">
        <v>60441</v>
      </c>
      <c r="BC23" s="40">
        <v>60394</v>
      </c>
      <c r="BD23" s="11" t="s">
        <v>105</v>
      </c>
      <c r="BE23" s="11">
        <v>60498</v>
      </c>
      <c r="BF23" s="40">
        <v>60416</v>
      </c>
      <c r="BG23" s="40"/>
      <c r="BH23" s="40"/>
    </row>
    <row r="24" spans="2:60" s="5" customFormat="1" x14ac:dyDescent="0.2">
      <c r="B24" s="67" t="s">
        <v>42</v>
      </c>
      <c r="C24" s="68"/>
      <c r="D24" s="69"/>
      <c r="E24" s="40"/>
      <c r="F24" s="67" t="s">
        <v>2</v>
      </c>
      <c r="G24" s="68"/>
      <c r="H24" s="68"/>
      <c r="I24" s="69"/>
      <c r="N24" s="10">
        <v>22</v>
      </c>
      <c r="O24" s="15">
        <v>60459</v>
      </c>
      <c r="P24" s="88">
        <v>60394</v>
      </c>
      <c r="Q24" s="6"/>
      <c r="R24" s="6"/>
      <c r="S24" s="6"/>
      <c r="T24" s="6"/>
      <c r="U24" s="6"/>
      <c r="V24" s="6"/>
      <c r="W24" s="6"/>
      <c r="X24" s="40">
        <v>61067</v>
      </c>
      <c r="Y24" s="6"/>
      <c r="Z24" s="6"/>
      <c r="AA24" s="6">
        <v>60474</v>
      </c>
      <c r="AB24" s="6"/>
      <c r="AC24" s="6"/>
      <c r="AD24" s="6"/>
      <c r="AE24" s="6">
        <v>60930</v>
      </c>
      <c r="AF24" s="6"/>
      <c r="AG24" s="6"/>
      <c r="AH24" s="6"/>
      <c r="AI24" s="6"/>
      <c r="AJ24" s="6"/>
      <c r="AK24" s="6"/>
      <c r="AL24" s="6"/>
      <c r="AM24" s="6"/>
      <c r="AN24" s="15">
        <v>60368</v>
      </c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>
        <v>60456</v>
      </c>
      <c r="AZ24" s="15">
        <v>60310</v>
      </c>
      <c r="BA24" s="11"/>
      <c r="BB24" s="40">
        <v>60446</v>
      </c>
      <c r="BC24" s="40">
        <v>60412</v>
      </c>
      <c r="BD24" s="11" t="s">
        <v>106</v>
      </c>
      <c r="BE24" s="11">
        <v>60930</v>
      </c>
      <c r="BF24" s="40">
        <v>60417</v>
      </c>
      <c r="BG24" s="40"/>
      <c r="BH24" s="40"/>
    </row>
    <row r="25" spans="2:60" s="5" customFormat="1" x14ac:dyDescent="0.2">
      <c r="B25" s="67" t="s">
        <v>43</v>
      </c>
      <c r="C25" s="68"/>
      <c r="D25" s="69"/>
      <c r="E25" s="40"/>
      <c r="F25" s="67" t="s">
        <v>54</v>
      </c>
      <c r="G25" s="68"/>
      <c r="H25" s="68"/>
      <c r="I25" s="69"/>
      <c r="N25" s="10">
        <v>23</v>
      </c>
      <c r="O25" s="15">
        <v>60479</v>
      </c>
      <c r="P25" s="88">
        <v>60412</v>
      </c>
      <c r="Q25" s="6"/>
      <c r="R25" s="6"/>
      <c r="S25" s="6"/>
      <c r="T25" s="6"/>
      <c r="U25" s="6"/>
      <c r="V25" s="6"/>
      <c r="W25" s="6"/>
      <c r="X25" s="40"/>
      <c r="Y25" s="6"/>
      <c r="Z25" s="6"/>
      <c r="AA25" s="6">
        <v>60482</v>
      </c>
      <c r="AB25" s="6"/>
      <c r="AC25" s="6"/>
      <c r="AD25" s="6"/>
      <c r="AE25" s="6">
        <v>60931</v>
      </c>
      <c r="AF25" s="6"/>
      <c r="AG25" s="6"/>
      <c r="AH25" s="6"/>
      <c r="AI25" s="6"/>
      <c r="AJ25" s="6"/>
      <c r="AK25" s="6"/>
      <c r="AL25" s="6"/>
      <c r="AM25" s="6"/>
      <c r="AN25" s="15">
        <v>60369</v>
      </c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>
        <v>60479</v>
      </c>
      <c r="AZ25" s="15">
        <v>60315</v>
      </c>
      <c r="BA25" s="11"/>
      <c r="BB25" s="40">
        <v>60447</v>
      </c>
      <c r="BC25" s="93">
        <v>60395</v>
      </c>
      <c r="BD25" s="11" t="s">
        <v>107</v>
      </c>
      <c r="BE25" s="11">
        <v>60931</v>
      </c>
      <c r="BF25" s="40">
        <v>61109</v>
      </c>
      <c r="BG25" s="40"/>
      <c r="BH25" s="40"/>
    </row>
    <row r="26" spans="2:60" s="5" customFormat="1" x14ac:dyDescent="0.2">
      <c r="B26" s="67" t="s">
        <v>10</v>
      </c>
      <c r="C26" s="68"/>
      <c r="D26" s="69"/>
      <c r="E26" s="40"/>
      <c r="F26" s="97" t="s">
        <v>112</v>
      </c>
      <c r="G26" s="68"/>
      <c r="H26" s="68"/>
      <c r="I26" s="69"/>
      <c r="N26" s="10">
        <v>24</v>
      </c>
      <c r="O26" s="15">
        <v>60362</v>
      </c>
      <c r="P26" s="88">
        <v>60395</v>
      </c>
      <c r="Q26" s="6"/>
      <c r="R26" s="6"/>
      <c r="S26" s="6"/>
      <c r="T26" s="6"/>
      <c r="U26" s="6"/>
      <c r="V26" s="6"/>
      <c r="W26" s="6"/>
      <c r="X26" s="6"/>
      <c r="Y26" s="6"/>
      <c r="Z26" s="6"/>
      <c r="AA26" s="6">
        <v>60484</v>
      </c>
      <c r="AB26" s="6"/>
      <c r="AC26" s="6"/>
      <c r="AD26" s="6"/>
      <c r="AE26" s="6">
        <v>60932</v>
      </c>
      <c r="AF26" s="6"/>
      <c r="AG26" s="6"/>
      <c r="AH26" s="6"/>
      <c r="AI26" s="6"/>
      <c r="AJ26" s="6"/>
      <c r="AK26" s="6"/>
      <c r="AL26" s="6"/>
      <c r="AM26" s="6"/>
      <c r="AN26" s="15">
        <v>60374</v>
      </c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5">
        <v>60308</v>
      </c>
      <c r="BA26" s="11"/>
      <c r="BB26" s="40">
        <v>60448</v>
      </c>
      <c r="BC26" s="93">
        <v>60402</v>
      </c>
      <c r="BD26" s="11"/>
      <c r="BE26" s="11">
        <v>60932</v>
      </c>
      <c r="BF26" s="93">
        <v>60421</v>
      </c>
      <c r="BG26" s="40"/>
      <c r="BH26" s="40"/>
    </row>
    <row r="27" spans="2:60" s="5" customFormat="1" x14ac:dyDescent="0.2">
      <c r="B27" s="67" t="s">
        <v>44</v>
      </c>
      <c r="C27" s="68"/>
      <c r="D27" s="69"/>
      <c r="E27" s="40"/>
      <c r="F27" s="97" t="s">
        <v>111</v>
      </c>
      <c r="G27" s="68"/>
      <c r="H27" s="68"/>
      <c r="I27" s="69"/>
      <c r="N27" s="10">
        <v>25</v>
      </c>
      <c r="O27" s="15">
        <v>60921</v>
      </c>
      <c r="P27" s="88">
        <v>60402</v>
      </c>
      <c r="Q27" s="6"/>
      <c r="R27" s="6"/>
      <c r="S27" s="6"/>
      <c r="T27" s="6"/>
      <c r="U27" s="6"/>
      <c r="V27" s="6"/>
      <c r="W27" s="6"/>
      <c r="X27" s="6"/>
      <c r="Y27" s="6"/>
      <c r="Z27" s="6"/>
      <c r="AA27" s="6">
        <v>60485</v>
      </c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15">
        <v>60376</v>
      </c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5"/>
      <c r="BA27" s="11"/>
      <c r="BB27" s="40"/>
      <c r="BC27" s="93">
        <v>60403</v>
      </c>
      <c r="BD27" s="11"/>
      <c r="BE27" s="11">
        <v>60505</v>
      </c>
      <c r="BF27" s="93">
        <v>60422</v>
      </c>
      <c r="BG27" s="40"/>
      <c r="BH27" s="40"/>
    </row>
    <row r="28" spans="2:60" x14ac:dyDescent="0.2">
      <c r="B28" s="67" t="s">
        <v>45</v>
      </c>
      <c r="C28" s="68"/>
      <c r="D28" s="69"/>
      <c r="E28" s="19"/>
      <c r="F28" s="97" t="s">
        <v>110</v>
      </c>
      <c r="G28" s="68"/>
      <c r="H28" s="68"/>
      <c r="I28" s="69"/>
      <c r="N28" s="10">
        <v>26</v>
      </c>
      <c r="O28" s="15">
        <v>61061</v>
      </c>
      <c r="P28" s="88">
        <v>60403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>
        <v>60467</v>
      </c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15">
        <v>69166</v>
      </c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5"/>
      <c r="BA28" s="12"/>
      <c r="BB28" s="12"/>
      <c r="BC28" s="93">
        <v>60404</v>
      </c>
      <c r="BD28" s="12"/>
      <c r="BE28" s="12">
        <v>60508</v>
      </c>
      <c r="BF28" s="93">
        <v>60423</v>
      </c>
      <c r="BG28" s="93"/>
      <c r="BH28" s="93"/>
    </row>
    <row r="29" spans="2:60" x14ac:dyDescent="0.2">
      <c r="B29" s="67" t="s">
        <v>11</v>
      </c>
      <c r="C29" s="68"/>
      <c r="D29" s="69"/>
      <c r="E29" s="19"/>
      <c r="F29" s="98" t="s">
        <v>109</v>
      </c>
      <c r="G29" s="71"/>
      <c r="H29" s="71"/>
      <c r="I29" s="72"/>
      <c r="N29" s="10">
        <v>27</v>
      </c>
      <c r="O29" s="15">
        <v>60373</v>
      </c>
      <c r="P29" s="88">
        <v>60404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>
        <v>60511</v>
      </c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8">
        <v>60377</v>
      </c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93">
        <v>60406</v>
      </c>
      <c r="BD29" s="12"/>
      <c r="BE29" s="93">
        <v>60510</v>
      </c>
      <c r="BF29" s="93">
        <v>60424</v>
      </c>
      <c r="BG29" s="93"/>
      <c r="BH29" s="93"/>
    </row>
    <row r="30" spans="2:60" x14ac:dyDescent="0.2">
      <c r="B30" s="67" t="s">
        <v>12</v>
      </c>
      <c r="C30" s="68"/>
      <c r="D30" s="69"/>
      <c r="E30" s="19"/>
      <c r="N30" s="10">
        <v>28</v>
      </c>
      <c r="O30" s="15">
        <v>60368</v>
      </c>
      <c r="P30" s="88">
        <v>60406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>
        <v>60512</v>
      </c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8">
        <v>60378</v>
      </c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93">
        <v>60407</v>
      </c>
      <c r="BD30" s="12"/>
      <c r="BE30" s="93">
        <v>60467</v>
      </c>
      <c r="BF30" s="93">
        <v>60425</v>
      </c>
      <c r="BG30" s="93"/>
      <c r="BH30" s="93"/>
    </row>
    <row r="31" spans="2:60" x14ac:dyDescent="0.2">
      <c r="B31" s="67" t="s">
        <v>46</v>
      </c>
      <c r="C31" s="68"/>
      <c r="D31" s="69"/>
      <c r="E31" s="19"/>
      <c r="F31" s="55" t="s">
        <v>325</v>
      </c>
      <c r="G31" s="19"/>
      <c r="H31" s="19"/>
      <c r="I31" s="19"/>
      <c r="N31" s="10">
        <v>29</v>
      </c>
      <c r="O31" s="366">
        <v>60369</v>
      </c>
      <c r="P31" s="88">
        <v>60407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8">
        <v>60380</v>
      </c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93">
        <v>60416</v>
      </c>
      <c r="BD31" s="12"/>
      <c r="BE31" s="93">
        <v>60511</v>
      </c>
      <c r="BF31" s="93">
        <v>60426</v>
      </c>
      <c r="BG31" s="93"/>
      <c r="BH31" s="93"/>
    </row>
    <row r="32" spans="2:60" x14ac:dyDescent="0.2">
      <c r="B32" s="67" t="s">
        <v>47</v>
      </c>
      <c r="C32" s="68"/>
      <c r="D32" s="69"/>
      <c r="E32" s="19"/>
      <c r="F32" s="58" t="s">
        <v>346</v>
      </c>
      <c r="G32" s="58"/>
      <c r="H32" s="227"/>
      <c r="I32" s="230">
        <v>1</v>
      </c>
      <c r="N32" s="10">
        <v>30</v>
      </c>
      <c r="O32" s="366">
        <v>60374</v>
      </c>
      <c r="P32" s="88">
        <v>60416</v>
      </c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8">
        <v>60384</v>
      </c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93">
        <v>60417</v>
      </c>
      <c r="BD32" s="12"/>
      <c r="BE32" s="93">
        <v>60512</v>
      </c>
      <c r="BF32" s="93">
        <v>60427</v>
      </c>
      <c r="BG32" s="93"/>
      <c r="BH32" s="93"/>
    </row>
    <row r="33" spans="2:60" x14ac:dyDescent="0.2">
      <c r="B33" s="67" t="s">
        <v>48</v>
      </c>
      <c r="C33" s="68"/>
      <c r="D33" s="69"/>
      <c r="E33" s="19"/>
      <c r="F33" s="60" t="s">
        <v>347</v>
      </c>
      <c r="G33" s="60"/>
      <c r="H33" s="228"/>
      <c r="I33" s="231">
        <v>2</v>
      </c>
      <c r="N33" s="10">
        <v>31</v>
      </c>
      <c r="O33" s="366">
        <v>60376</v>
      </c>
      <c r="P33" s="88">
        <v>60417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8">
        <v>61686</v>
      </c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93">
        <v>61109</v>
      </c>
      <c r="BD33" s="12"/>
      <c r="BE33" s="93">
        <v>60476</v>
      </c>
      <c r="BF33" s="93">
        <v>60428</v>
      </c>
      <c r="BG33" s="93"/>
      <c r="BH33" s="93"/>
    </row>
    <row r="34" spans="2:60" x14ac:dyDescent="0.2">
      <c r="B34" s="70" t="s">
        <v>49</v>
      </c>
      <c r="C34" s="71"/>
      <c r="D34" s="72"/>
      <c r="E34" s="19"/>
      <c r="F34" s="62" t="s">
        <v>348</v>
      </c>
      <c r="G34" s="62"/>
      <c r="H34" s="229"/>
      <c r="I34" s="232">
        <v>3</v>
      </c>
      <c r="N34" s="10">
        <v>32</v>
      </c>
      <c r="O34" s="696"/>
      <c r="P34" s="88">
        <v>61109</v>
      </c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8">
        <v>60440</v>
      </c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93">
        <v>60421</v>
      </c>
      <c r="BD34" s="12"/>
      <c r="BE34" s="93">
        <v>60477</v>
      </c>
      <c r="BF34" s="93">
        <v>60429</v>
      </c>
      <c r="BG34" s="93"/>
      <c r="BH34" s="93"/>
    </row>
    <row r="35" spans="2:60" x14ac:dyDescent="0.2">
      <c r="N35" s="10">
        <v>33</v>
      </c>
      <c r="O35" s="366">
        <v>69166</v>
      </c>
      <c r="P35" s="88">
        <v>60421</v>
      </c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8">
        <v>60441</v>
      </c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93">
        <v>60422</v>
      </c>
      <c r="BD35" s="12"/>
      <c r="BE35" s="93">
        <v>60480</v>
      </c>
      <c r="BF35" s="93">
        <v>60433</v>
      </c>
      <c r="BG35" s="93"/>
      <c r="BH35" s="93"/>
    </row>
    <row r="36" spans="2:60" x14ac:dyDescent="0.2">
      <c r="B36" s="234" t="s">
        <v>249</v>
      </c>
      <c r="C36" s="160" t="s">
        <v>251</v>
      </c>
      <c r="N36" s="10">
        <v>34</v>
      </c>
      <c r="O36" s="366">
        <v>60377</v>
      </c>
      <c r="P36" s="88">
        <v>60422</v>
      </c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8">
        <v>60442</v>
      </c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93">
        <v>60423</v>
      </c>
      <c r="BD36" s="12"/>
      <c r="BE36" s="93">
        <v>61067</v>
      </c>
      <c r="BF36" s="93">
        <v>60434</v>
      </c>
      <c r="BG36" s="93"/>
      <c r="BH36" s="93"/>
    </row>
    <row r="37" spans="2:60" x14ac:dyDescent="0.2">
      <c r="B37" s="235" t="s">
        <v>245</v>
      </c>
      <c r="C37" s="344">
        <v>40</v>
      </c>
      <c r="N37" s="10">
        <v>35</v>
      </c>
      <c r="O37" s="366">
        <v>60378</v>
      </c>
      <c r="P37" s="88">
        <v>60423</v>
      </c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8">
        <v>60443</v>
      </c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93">
        <v>60424</v>
      </c>
      <c r="BD37" s="12"/>
      <c r="BE37" s="93">
        <v>60506</v>
      </c>
      <c r="BF37" s="93">
        <v>60396</v>
      </c>
      <c r="BG37" s="93"/>
      <c r="BH37" s="93"/>
    </row>
    <row r="38" spans="2:60" x14ac:dyDescent="0.2">
      <c r="B38" s="236" t="s">
        <v>250</v>
      </c>
      <c r="C38" s="345">
        <v>60</v>
      </c>
      <c r="N38" s="10">
        <v>36</v>
      </c>
      <c r="O38" s="366">
        <v>60380</v>
      </c>
      <c r="P38" s="88">
        <v>60424</v>
      </c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8">
        <v>60444</v>
      </c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93">
        <v>60425</v>
      </c>
      <c r="BD38" s="12"/>
      <c r="BE38" s="93">
        <v>60507</v>
      </c>
      <c r="BF38" s="93">
        <v>60419</v>
      </c>
      <c r="BG38" s="93"/>
      <c r="BH38" s="93"/>
    </row>
    <row r="39" spans="2:60" x14ac:dyDescent="0.2">
      <c r="N39" s="10">
        <v>37</v>
      </c>
      <c r="O39" s="366">
        <v>60381</v>
      </c>
      <c r="P39" s="88">
        <v>60425</v>
      </c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8">
        <v>60446</v>
      </c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93">
        <v>60426</v>
      </c>
      <c r="BD39" s="12"/>
      <c r="BE39" s="93">
        <v>60515</v>
      </c>
      <c r="BF39" s="93">
        <v>60397</v>
      </c>
      <c r="BG39" s="93"/>
      <c r="BH39" s="93"/>
    </row>
    <row r="40" spans="2:60" x14ac:dyDescent="0.2">
      <c r="B40" s="234" t="s">
        <v>253</v>
      </c>
      <c r="C40" s="160" t="s">
        <v>263</v>
      </c>
      <c r="N40" s="10">
        <v>38</v>
      </c>
      <c r="O40" s="366">
        <v>60383</v>
      </c>
      <c r="P40" s="88">
        <v>60426</v>
      </c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8">
        <v>60447</v>
      </c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93">
        <v>60427</v>
      </c>
      <c r="BD40" s="12"/>
      <c r="BE40" s="93"/>
      <c r="BF40" s="93">
        <v>60413</v>
      </c>
      <c r="BG40" s="93"/>
      <c r="BH40" s="93"/>
    </row>
    <row r="41" spans="2:60" x14ac:dyDescent="0.2">
      <c r="B41" s="237">
        <v>0</v>
      </c>
      <c r="C41" s="161" t="s">
        <v>254</v>
      </c>
      <c r="N41" s="10">
        <v>39</v>
      </c>
      <c r="O41" s="366">
        <v>60384</v>
      </c>
      <c r="P41" s="88">
        <v>60427</v>
      </c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8">
        <v>60448</v>
      </c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93">
        <v>60428</v>
      </c>
      <c r="BD41" s="12"/>
      <c r="BE41" s="93"/>
      <c r="BF41" s="93">
        <v>60435</v>
      </c>
      <c r="BG41" s="93"/>
      <c r="BH41" s="93"/>
    </row>
    <row r="42" spans="2:60" x14ac:dyDescent="0.2">
      <c r="B42" s="237">
        <v>29</v>
      </c>
      <c r="C42" s="161" t="s">
        <v>255</v>
      </c>
      <c r="N42" s="10">
        <v>40</v>
      </c>
      <c r="O42" s="366">
        <v>61686</v>
      </c>
      <c r="P42" s="88">
        <v>60428</v>
      </c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8">
        <v>60450</v>
      </c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93">
        <v>60429</v>
      </c>
      <c r="BD42" s="12"/>
      <c r="BE42" s="93"/>
      <c r="BF42" s="93">
        <v>60398</v>
      </c>
      <c r="BG42" s="93"/>
      <c r="BH42" s="93"/>
    </row>
    <row r="43" spans="2:60" x14ac:dyDescent="0.2">
      <c r="B43" s="237">
        <v>37</v>
      </c>
      <c r="C43" s="161" t="s">
        <v>256</v>
      </c>
      <c r="N43" s="10">
        <v>41</v>
      </c>
      <c r="O43" s="366">
        <v>60390</v>
      </c>
      <c r="P43" s="88">
        <v>60429</v>
      </c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93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93">
        <v>60433</v>
      </c>
      <c r="BD43" s="12"/>
      <c r="BE43" s="359"/>
      <c r="BF43" s="93">
        <v>60925</v>
      </c>
      <c r="BG43" s="93"/>
      <c r="BH43" s="93"/>
    </row>
    <row r="44" spans="2:60" x14ac:dyDescent="0.2">
      <c r="B44" s="237">
        <v>45</v>
      </c>
      <c r="C44" s="161" t="s">
        <v>257</v>
      </c>
      <c r="N44" s="10">
        <v>42</v>
      </c>
      <c r="O44" s="366">
        <v>60430</v>
      </c>
      <c r="P44" s="88">
        <v>60433</v>
      </c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93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93">
        <v>60434</v>
      </c>
      <c r="BD44" s="12"/>
      <c r="BE44" s="93"/>
      <c r="BF44" s="93">
        <v>60359</v>
      </c>
      <c r="BG44" s="93"/>
      <c r="BH44" s="93"/>
    </row>
    <row r="45" spans="2:60" x14ac:dyDescent="0.2">
      <c r="B45" s="237">
        <v>53</v>
      </c>
      <c r="C45" s="161" t="s">
        <v>258</v>
      </c>
      <c r="N45" s="10">
        <v>43</v>
      </c>
      <c r="O45" s="366">
        <v>60420</v>
      </c>
      <c r="P45" s="88">
        <v>60434</v>
      </c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93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93">
        <v>60396</v>
      </c>
      <c r="BD45" s="12"/>
      <c r="BE45" s="12"/>
      <c r="BF45" s="93">
        <v>60400</v>
      </c>
      <c r="BG45" s="93"/>
      <c r="BH45" s="93"/>
    </row>
    <row r="46" spans="2:60" x14ac:dyDescent="0.2">
      <c r="B46" s="237">
        <v>61</v>
      </c>
      <c r="C46" s="161" t="s">
        <v>259</v>
      </c>
      <c r="E46" s="19"/>
      <c r="N46" s="10">
        <v>44</v>
      </c>
      <c r="O46" s="366">
        <v>60388</v>
      </c>
      <c r="P46" s="88">
        <v>60396</v>
      </c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93">
        <v>60419</v>
      </c>
      <c r="BD46" s="12"/>
      <c r="BE46" s="12"/>
      <c r="BF46" s="93">
        <v>60436</v>
      </c>
      <c r="BG46" s="93"/>
      <c r="BH46" s="93"/>
    </row>
    <row r="47" spans="2:60" x14ac:dyDescent="0.2">
      <c r="B47" s="237">
        <v>69</v>
      </c>
      <c r="C47" s="161" t="s">
        <v>260</v>
      </c>
      <c r="E47" s="19"/>
      <c r="N47" s="10">
        <v>45</v>
      </c>
      <c r="O47" s="366">
        <v>60391</v>
      </c>
      <c r="P47" s="88">
        <v>60419</v>
      </c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93">
        <v>60397</v>
      </c>
      <c r="BD47" s="12"/>
      <c r="BE47" s="12"/>
      <c r="BF47" s="93">
        <v>60437</v>
      </c>
      <c r="BG47" s="93"/>
      <c r="BH47" s="93"/>
    </row>
    <row r="48" spans="2:60" x14ac:dyDescent="0.2">
      <c r="B48" s="237">
        <v>77</v>
      </c>
      <c r="C48" s="161" t="s">
        <v>14</v>
      </c>
      <c r="N48" s="10">
        <v>46</v>
      </c>
      <c r="O48" s="366">
        <v>60410</v>
      </c>
      <c r="P48" s="88">
        <v>60397</v>
      </c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93">
        <v>60413</v>
      </c>
      <c r="BD48" s="12"/>
      <c r="BE48" s="12"/>
      <c r="BF48" s="93">
        <v>69165</v>
      </c>
      <c r="BG48" s="93"/>
      <c r="BH48" s="93"/>
    </row>
    <row r="49" spans="2:60" x14ac:dyDescent="0.2">
      <c r="B49" s="237">
        <v>85</v>
      </c>
      <c r="C49" s="161" t="s">
        <v>261</v>
      </c>
      <c r="N49" s="10">
        <v>47</v>
      </c>
      <c r="O49" s="366">
        <v>60389</v>
      </c>
      <c r="P49" s="88">
        <v>60413</v>
      </c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93">
        <v>60435</v>
      </c>
      <c r="BD49" s="12"/>
      <c r="BE49" s="12"/>
      <c r="BF49" s="93">
        <v>60411</v>
      </c>
      <c r="BG49" s="93"/>
      <c r="BH49" s="93"/>
    </row>
    <row r="50" spans="2:60" x14ac:dyDescent="0.2">
      <c r="B50" s="238">
        <v>93</v>
      </c>
      <c r="C50" s="162" t="s">
        <v>262</v>
      </c>
      <c r="N50" s="10">
        <v>48</v>
      </c>
      <c r="O50" s="366">
        <v>60405</v>
      </c>
      <c r="P50" s="88">
        <v>60435</v>
      </c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93">
        <v>60398</v>
      </c>
      <c r="BD50" s="12"/>
      <c r="BE50" s="12"/>
      <c r="BF50" s="93">
        <v>60381</v>
      </c>
      <c r="BG50" s="93"/>
      <c r="BH50" s="93"/>
    </row>
    <row r="51" spans="2:60" x14ac:dyDescent="0.2">
      <c r="N51" s="10">
        <v>49</v>
      </c>
      <c r="O51" s="366">
        <v>60392</v>
      </c>
      <c r="P51" s="88">
        <v>60398</v>
      </c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93">
        <v>60925</v>
      </c>
      <c r="BD51" s="12"/>
      <c r="BE51" s="12"/>
      <c r="BF51" s="93"/>
      <c r="BG51" s="93"/>
      <c r="BH51" s="93"/>
    </row>
    <row r="52" spans="2:60" x14ac:dyDescent="0.2">
      <c r="N52" s="10">
        <v>50</v>
      </c>
      <c r="O52" s="366">
        <v>60387</v>
      </c>
      <c r="P52" s="88">
        <v>60925</v>
      </c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93">
        <v>60359</v>
      </c>
      <c r="BD52" s="12"/>
      <c r="BE52" s="12"/>
      <c r="BF52" s="12"/>
      <c r="BG52" s="93"/>
      <c r="BH52" s="93"/>
    </row>
    <row r="53" spans="2:60" x14ac:dyDescent="0.2">
      <c r="N53" s="10">
        <v>51</v>
      </c>
      <c r="O53" s="88">
        <v>60415</v>
      </c>
      <c r="P53" s="88">
        <v>60359</v>
      </c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93">
        <v>60400</v>
      </c>
      <c r="BD53" s="12"/>
      <c r="BE53" s="12"/>
      <c r="BF53" s="12"/>
      <c r="BG53" s="93"/>
      <c r="BH53" s="93"/>
    </row>
    <row r="54" spans="2:60" x14ac:dyDescent="0.2">
      <c r="N54" s="10">
        <v>52</v>
      </c>
      <c r="O54" s="88">
        <v>60393</v>
      </c>
      <c r="P54" s="88">
        <v>60400</v>
      </c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93">
        <v>60436</v>
      </c>
      <c r="BD54" s="12"/>
      <c r="BE54" s="12"/>
      <c r="BF54" s="12"/>
      <c r="BG54" s="93"/>
      <c r="BH54" s="93"/>
    </row>
    <row r="55" spans="2:60" x14ac:dyDescent="0.2">
      <c r="N55" s="10">
        <v>53</v>
      </c>
      <c r="O55" s="88">
        <v>60394</v>
      </c>
      <c r="P55" s="88">
        <v>60436</v>
      </c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93">
        <v>60437</v>
      </c>
      <c r="BD55" s="12"/>
      <c r="BE55" s="12"/>
      <c r="BF55" s="12"/>
      <c r="BG55" s="93"/>
      <c r="BH55" s="93"/>
    </row>
    <row r="56" spans="2:60" x14ac:dyDescent="0.2">
      <c r="N56" s="10">
        <v>54</v>
      </c>
      <c r="O56" s="88">
        <v>60412</v>
      </c>
      <c r="P56" s="88">
        <v>60437</v>
      </c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93">
        <v>69165</v>
      </c>
      <c r="BD56" s="12"/>
      <c r="BE56" s="12"/>
      <c r="BF56" s="12"/>
      <c r="BG56" s="93"/>
      <c r="BH56" s="93"/>
    </row>
    <row r="57" spans="2:60" x14ac:dyDescent="0.2">
      <c r="N57" s="10">
        <v>55</v>
      </c>
      <c r="O57" s="88">
        <v>60395</v>
      </c>
      <c r="P57" s="88">
        <v>69165</v>
      </c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93">
        <v>60411</v>
      </c>
      <c r="BD57" s="12"/>
      <c r="BE57" s="12"/>
      <c r="BF57" s="12"/>
      <c r="BG57" s="93"/>
      <c r="BH57" s="93"/>
    </row>
    <row r="58" spans="2:60" x14ac:dyDescent="0.2">
      <c r="N58" s="10">
        <v>56</v>
      </c>
      <c r="O58" s="88">
        <v>60402</v>
      </c>
      <c r="P58" s="88">
        <v>60411</v>
      </c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93">
        <v>60449</v>
      </c>
      <c r="BD58" s="12"/>
      <c r="BE58" s="12"/>
      <c r="BF58" s="12"/>
      <c r="BG58" s="93"/>
      <c r="BH58" s="93"/>
    </row>
    <row r="59" spans="2:60" x14ac:dyDescent="0.2">
      <c r="N59" s="10">
        <v>57</v>
      </c>
      <c r="O59" s="88">
        <v>60403</v>
      </c>
      <c r="P59" s="88">
        <v>60449</v>
      </c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93">
        <v>60385</v>
      </c>
      <c r="BD59" s="12"/>
      <c r="BE59" s="12"/>
      <c r="BF59" s="12"/>
      <c r="BG59" s="93"/>
      <c r="BH59" s="93"/>
    </row>
    <row r="60" spans="2:60" x14ac:dyDescent="0.2">
      <c r="N60" s="10">
        <v>58</v>
      </c>
      <c r="O60" s="88">
        <v>60404</v>
      </c>
      <c r="P60" s="88">
        <v>60385</v>
      </c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93">
        <v>60451</v>
      </c>
      <c r="BD60" s="12"/>
      <c r="BE60" s="12"/>
      <c r="BF60" s="12"/>
      <c r="BG60" s="93"/>
      <c r="BH60" s="93"/>
    </row>
    <row r="61" spans="2:60" x14ac:dyDescent="0.2">
      <c r="N61" s="10">
        <v>59</v>
      </c>
      <c r="O61" s="88">
        <v>60406</v>
      </c>
      <c r="P61" s="88">
        <v>60451</v>
      </c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93">
        <v>60514</v>
      </c>
      <c r="BD61" s="12"/>
      <c r="BE61" s="12"/>
      <c r="BF61" s="12"/>
      <c r="BG61" s="93"/>
      <c r="BH61" s="93"/>
    </row>
    <row r="62" spans="2:60" x14ac:dyDescent="0.2">
      <c r="N62" s="10">
        <v>60</v>
      </c>
      <c r="O62" s="88">
        <v>60407</v>
      </c>
      <c r="P62" s="88">
        <v>60316</v>
      </c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93">
        <v>60457</v>
      </c>
      <c r="BD62" s="12"/>
      <c r="BE62" s="12"/>
      <c r="BF62" s="12"/>
      <c r="BG62" s="93"/>
      <c r="BH62" s="93"/>
    </row>
    <row r="63" spans="2:60" x14ac:dyDescent="0.2">
      <c r="N63" s="10">
        <v>61</v>
      </c>
      <c r="O63" s="88">
        <v>60416</v>
      </c>
      <c r="P63" s="88">
        <v>60313</v>
      </c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93">
        <v>60458</v>
      </c>
      <c r="BD63" s="12"/>
      <c r="BE63" s="12"/>
      <c r="BF63" s="12"/>
      <c r="BG63" s="93"/>
      <c r="BH63" s="93"/>
    </row>
    <row r="64" spans="2:60" x14ac:dyDescent="0.2">
      <c r="N64" s="10">
        <v>62</v>
      </c>
      <c r="O64" s="88">
        <v>60417</v>
      </c>
      <c r="P64" s="88">
        <v>60323</v>
      </c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93">
        <v>60454</v>
      </c>
      <c r="BD64" s="12"/>
      <c r="BE64" s="12"/>
      <c r="BF64" s="12"/>
      <c r="BG64" s="93"/>
      <c r="BH64" s="93"/>
    </row>
    <row r="65" spans="14:60" x14ac:dyDescent="0.2">
      <c r="N65" s="10">
        <v>63</v>
      </c>
      <c r="O65" s="88">
        <v>61109</v>
      </c>
      <c r="P65" s="88">
        <v>60324</v>
      </c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93">
        <v>60928</v>
      </c>
      <c r="BD65" s="12"/>
      <c r="BE65" s="12"/>
      <c r="BF65" s="12"/>
      <c r="BG65" s="93"/>
      <c r="BH65" s="93"/>
    </row>
    <row r="66" spans="14:60" x14ac:dyDescent="0.2">
      <c r="N66" s="10">
        <v>64</v>
      </c>
      <c r="O66" s="88">
        <v>60421</v>
      </c>
      <c r="P66" s="88">
        <v>60306</v>
      </c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93">
        <v>60461</v>
      </c>
      <c r="BD66" s="12"/>
      <c r="BE66" s="12"/>
      <c r="BF66" s="12"/>
      <c r="BG66" s="93"/>
      <c r="BH66" s="93"/>
    </row>
    <row r="67" spans="14:60" x14ac:dyDescent="0.2">
      <c r="N67" s="10">
        <v>65</v>
      </c>
      <c r="O67" s="88">
        <v>60422</v>
      </c>
      <c r="P67" s="88">
        <v>60321</v>
      </c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93">
        <v>60463</v>
      </c>
      <c r="BD67" s="12"/>
      <c r="BE67" s="12"/>
      <c r="BF67" s="12"/>
      <c r="BG67" s="93"/>
      <c r="BH67" s="93"/>
    </row>
    <row r="68" spans="14:60" x14ac:dyDescent="0.2">
      <c r="N68" s="10">
        <v>66</v>
      </c>
      <c r="O68" s="88">
        <v>60423</v>
      </c>
      <c r="P68" s="88">
        <v>60312</v>
      </c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93">
        <v>60464</v>
      </c>
      <c r="BD68" s="12"/>
      <c r="BE68" s="12"/>
      <c r="BF68" s="12"/>
      <c r="BG68" s="93"/>
      <c r="BH68" s="93"/>
    </row>
    <row r="69" spans="14:60" x14ac:dyDescent="0.2">
      <c r="N69" s="10">
        <v>67</v>
      </c>
      <c r="O69" s="88">
        <v>60424</v>
      </c>
      <c r="P69" s="88">
        <v>60307</v>
      </c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93">
        <v>60465</v>
      </c>
      <c r="BD69" s="12"/>
      <c r="BE69" s="12"/>
      <c r="BF69" s="12"/>
      <c r="BG69" s="93"/>
      <c r="BH69" s="93"/>
    </row>
    <row r="70" spans="14:60" x14ac:dyDescent="0.2">
      <c r="N70" s="10">
        <v>68</v>
      </c>
      <c r="O70" s="88">
        <v>60425</v>
      </c>
      <c r="P70" s="88">
        <v>60322</v>
      </c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93">
        <v>60466</v>
      </c>
      <c r="BD70" s="12"/>
      <c r="BE70" s="12"/>
      <c r="BF70" s="12"/>
      <c r="BG70" s="93"/>
      <c r="BH70" s="93"/>
    </row>
    <row r="71" spans="14:60" x14ac:dyDescent="0.2">
      <c r="N71" s="10">
        <v>69</v>
      </c>
      <c r="O71" s="88">
        <v>60426</v>
      </c>
      <c r="P71" s="88">
        <v>60317</v>
      </c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93">
        <v>60468</v>
      </c>
      <c r="BD71" s="12"/>
      <c r="BE71" s="12"/>
      <c r="BF71" s="12"/>
      <c r="BG71" s="93"/>
      <c r="BH71" s="93"/>
    </row>
    <row r="72" spans="14:60" x14ac:dyDescent="0.2">
      <c r="N72" s="10">
        <v>70</v>
      </c>
      <c r="O72" s="88">
        <v>60427</v>
      </c>
      <c r="P72" s="88">
        <v>60303</v>
      </c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93">
        <v>60469</v>
      </c>
      <c r="BD72" s="12"/>
      <c r="BE72" s="12"/>
      <c r="BF72" s="12"/>
      <c r="BG72" s="93"/>
      <c r="BH72" s="93"/>
    </row>
    <row r="73" spans="14:60" x14ac:dyDescent="0.2">
      <c r="N73" s="10">
        <v>71</v>
      </c>
      <c r="O73" s="88">
        <v>60428</v>
      </c>
      <c r="P73" s="88">
        <v>60319</v>
      </c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93">
        <v>60471</v>
      </c>
      <c r="BD73" s="12"/>
      <c r="BE73" s="12"/>
      <c r="BF73" s="12"/>
      <c r="BG73" s="93"/>
      <c r="BH73" s="93"/>
    </row>
    <row r="74" spans="14:60" x14ac:dyDescent="0.2">
      <c r="N74" s="10">
        <v>72</v>
      </c>
      <c r="O74" s="88">
        <v>60429</v>
      </c>
      <c r="P74" s="88">
        <v>60358</v>
      </c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93">
        <v>60472</v>
      </c>
      <c r="BD74" s="12"/>
      <c r="BE74" s="12"/>
      <c r="BF74" s="12"/>
      <c r="BG74" s="93"/>
      <c r="BH74" s="93"/>
    </row>
    <row r="75" spans="14:60" x14ac:dyDescent="0.2">
      <c r="N75" s="10">
        <v>73</v>
      </c>
      <c r="O75" s="88">
        <v>60433</v>
      </c>
      <c r="P75" s="88">
        <v>60311</v>
      </c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93">
        <v>60473</v>
      </c>
      <c r="BD75" s="12"/>
      <c r="BE75" s="12"/>
      <c r="BF75" s="12"/>
      <c r="BG75" s="93"/>
      <c r="BH75" s="93"/>
    </row>
    <row r="76" spans="14:60" x14ac:dyDescent="0.2">
      <c r="N76" s="10">
        <v>74</v>
      </c>
      <c r="O76" s="88">
        <v>60434</v>
      </c>
      <c r="P76" s="88">
        <v>60926</v>
      </c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93">
        <v>60474</v>
      </c>
      <c r="BD76" s="12"/>
      <c r="BE76" s="12"/>
      <c r="BF76" s="12"/>
      <c r="BG76" s="93"/>
      <c r="BH76" s="93"/>
    </row>
    <row r="77" spans="14:60" x14ac:dyDescent="0.2">
      <c r="N77" s="10">
        <v>75</v>
      </c>
      <c r="O77" s="88">
        <v>60396</v>
      </c>
      <c r="P77" s="88">
        <v>60320</v>
      </c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93">
        <v>60500</v>
      </c>
      <c r="BD77" s="12"/>
      <c r="BE77" s="12"/>
      <c r="BF77" s="12"/>
      <c r="BG77" s="93"/>
      <c r="BH77" s="93"/>
    </row>
    <row r="78" spans="14:60" x14ac:dyDescent="0.2">
      <c r="N78" s="10">
        <v>76</v>
      </c>
      <c r="O78" s="88">
        <v>60419</v>
      </c>
      <c r="P78" s="88">
        <v>60318</v>
      </c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93">
        <v>60501</v>
      </c>
      <c r="BD78" s="12"/>
      <c r="BE78" s="12"/>
      <c r="BF78" s="12"/>
      <c r="BG78" s="93"/>
      <c r="BH78" s="93"/>
    </row>
    <row r="79" spans="14:60" x14ac:dyDescent="0.2">
      <c r="N79" s="10">
        <v>77</v>
      </c>
      <c r="O79" s="88">
        <v>60397</v>
      </c>
      <c r="P79" s="88">
        <v>60927</v>
      </c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93">
        <v>60470</v>
      </c>
      <c r="BD79" s="12"/>
      <c r="BE79" s="12"/>
      <c r="BF79" s="12"/>
      <c r="BG79" s="93"/>
      <c r="BH79" s="93"/>
    </row>
    <row r="80" spans="14:60" x14ac:dyDescent="0.2">
      <c r="N80" s="10">
        <v>78</v>
      </c>
      <c r="O80" s="88">
        <v>60413</v>
      </c>
      <c r="P80" s="88">
        <v>60305</v>
      </c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93">
        <v>60482</v>
      </c>
      <c r="BD80" s="12"/>
      <c r="BE80" s="12"/>
      <c r="BF80" s="12"/>
      <c r="BG80" s="93"/>
      <c r="BH80" s="93"/>
    </row>
    <row r="81" spans="14:60" x14ac:dyDescent="0.2">
      <c r="N81" s="10">
        <v>79</v>
      </c>
      <c r="O81" s="88">
        <v>60435</v>
      </c>
      <c r="P81" s="88">
        <v>60314</v>
      </c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93">
        <v>60483</v>
      </c>
      <c r="BD81" s="12"/>
      <c r="BE81" s="12"/>
      <c r="BF81" s="12"/>
      <c r="BG81" s="93"/>
      <c r="BH81" s="93"/>
    </row>
    <row r="82" spans="14:60" x14ac:dyDescent="0.2">
      <c r="N82" s="10">
        <v>80</v>
      </c>
      <c r="O82" s="88">
        <v>60398</v>
      </c>
      <c r="P82" s="88">
        <v>60310</v>
      </c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93">
        <v>60484</v>
      </c>
      <c r="BD82" s="12"/>
      <c r="BE82" s="12"/>
      <c r="BF82" s="12"/>
      <c r="BG82" s="93"/>
      <c r="BH82" s="93"/>
    </row>
    <row r="83" spans="14:60" x14ac:dyDescent="0.2">
      <c r="N83" s="10">
        <v>81</v>
      </c>
      <c r="O83" s="88">
        <v>60925</v>
      </c>
      <c r="P83" s="88">
        <v>60315</v>
      </c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93">
        <v>60485</v>
      </c>
      <c r="BD83" s="12"/>
      <c r="BE83" s="12"/>
      <c r="BF83" s="12"/>
      <c r="BG83" s="93"/>
      <c r="BH83" s="93"/>
    </row>
    <row r="84" spans="14:60" x14ac:dyDescent="0.2">
      <c r="N84" s="10">
        <v>82</v>
      </c>
      <c r="O84" s="88">
        <v>60359</v>
      </c>
      <c r="P84" s="88">
        <v>60308</v>
      </c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93">
        <v>60487</v>
      </c>
      <c r="BD84" s="12"/>
      <c r="BE84" s="12"/>
      <c r="BF84" s="12"/>
      <c r="BG84" s="93"/>
      <c r="BH84" s="93"/>
    </row>
    <row r="85" spans="14:60" x14ac:dyDescent="0.2">
      <c r="N85" s="10">
        <v>83</v>
      </c>
      <c r="O85" s="88">
        <v>60400</v>
      </c>
      <c r="P85" s="88">
        <v>60514</v>
      </c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93">
        <v>60488</v>
      </c>
      <c r="BD85" s="12"/>
      <c r="BE85" s="12"/>
      <c r="BF85" s="12"/>
      <c r="BG85" s="93"/>
      <c r="BH85" s="93"/>
    </row>
    <row r="86" spans="14:60" x14ac:dyDescent="0.2">
      <c r="N86" s="10">
        <v>84</v>
      </c>
      <c r="O86" s="88">
        <v>60436</v>
      </c>
      <c r="P86" s="88">
        <v>60457</v>
      </c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93">
        <v>60489</v>
      </c>
      <c r="BD86" s="12"/>
      <c r="BE86" s="12"/>
      <c r="BF86" s="12"/>
      <c r="BG86" s="93"/>
      <c r="BH86" s="93"/>
    </row>
    <row r="87" spans="14:60" x14ac:dyDescent="0.2">
      <c r="N87" s="10">
        <v>85</v>
      </c>
      <c r="O87" s="88">
        <v>60437</v>
      </c>
      <c r="P87" s="88">
        <v>60458</v>
      </c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93">
        <v>60490</v>
      </c>
      <c r="BD87" s="12"/>
      <c r="BE87" s="12"/>
      <c r="BF87" s="12"/>
      <c r="BG87" s="93"/>
      <c r="BH87" s="93"/>
    </row>
    <row r="88" spans="14:60" x14ac:dyDescent="0.2">
      <c r="N88" s="10">
        <v>86</v>
      </c>
      <c r="O88" s="88">
        <v>69165</v>
      </c>
      <c r="P88" s="88">
        <v>60454</v>
      </c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93">
        <v>60491</v>
      </c>
      <c r="BD88" s="12"/>
      <c r="BE88" s="12"/>
      <c r="BF88" s="12"/>
      <c r="BG88" s="93"/>
      <c r="BH88" s="93"/>
    </row>
    <row r="89" spans="14:60" x14ac:dyDescent="0.2">
      <c r="N89" s="10">
        <v>87</v>
      </c>
      <c r="O89" s="88">
        <v>60411</v>
      </c>
      <c r="P89" s="88">
        <v>60928</v>
      </c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93">
        <v>60475</v>
      </c>
      <c r="BD89" s="12"/>
      <c r="BE89" s="12"/>
      <c r="BF89" s="12"/>
      <c r="BG89" s="93"/>
      <c r="BH89" s="93"/>
    </row>
    <row r="90" spans="14:60" x14ac:dyDescent="0.2">
      <c r="N90" s="10">
        <v>88</v>
      </c>
      <c r="O90" s="88">
        <v>60440</v>
      </c>
      <c r="P90" s="88">
        <v>60461</v>
      </c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93">
        <v>60492</v>
      </c>
      <c r="BD90" s="12"/>
      <c r="BE90" s="12"/>
      <c r="BF90" s="12"/>
      <c r="BG90" s="93"/>
      <c r="BH90" s="93"/>
    </row>
    <row r="91" spans="14:60" x14ac:dyDescent="0.2">
      <c r="N91" s="10">
        <v>89</v>
      </c>
      <c r="O91" s="88">
        <v>60441</v>
      </c>
      <c r="P91" s="88">
        <v>60463</v>
      </c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93">
        <v>60493</v>
      </c>
      <c r="BD91" s="12"/>
      <c r="BE91" s="12"/>
      <c r="BF91" s="12"/>
      <c r="BG91" s="93"/>
      <c r="BH91" s="93"/>
    </row>
    <row r="92" spans="14:60" x14ac:dyDescent="0.2">
      <c r="N92" s="10">
        <v>90</v>
      </c>
      <c r="O92" s="88">
        <v>60442</v>
      </c>
      <c r="P92" s="88">
        <v>60464</v>
      </c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93">
        <v>60494</v>
      </c>
      <c r="BD92" s="12"/>
      <c r="BE92" s="12"/>
      <c r="BF92" s="12"/>
      <c r="BG92" s="93"/>
      <c r="BH92" s="93"/>
    </row>
    <row r="93" spans="14:60" x14ac:dyDescent="0.2">
      <c r="N93" s="10">
        <v>91</v>
      </c>
      <c r="O93" s="88">
        <v>60443</v>
      </c>
      <c r="P93" s="88">
        <v>60465</v>
      </c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93">
        <v>60495</v>
      </c>
      <c r="BD93" s="12"/>
      <c r="BE93" s="12"/>
      <c r="BF93" s="12"/>
      <c r="BG93" s="93"/>
      <c r="BH93" s="93"/>
    </row>
    <row r="94" spans="14:60" x14ac:dyDescent="0.2">
      <c r="N94" s="10">
        <v>92</v>
      </c>
      <c r="O94" s="88">
        <v>60444</v>
      </c>
      <c r="P94" s="88">
        <v>60466</v>
      </c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93">
        <v>60496</v>
      </c>
      <c r="BD94" s="12"/>
      <c r="BE94" s="12"/>
      <c r="BF94" s="12"/>
      <c r="BG94" s="93"/>
      <c r="BH94" s="93"/>
    </row>
    <row r="95" spans="14:60" x14ac:dyDescent="0.2">
      <c r="N95" s="10">
        <v>93</v>
      </c>
      <c r="O95" s="88">
        <v>60446</v>
      </c>
      <c r="P95" s="88">
        <v>60468</v>
      </c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93">
        <v>60929</v>
      </c>
      <c r="BD95" s="12"/>
      <c r="BE95" s="12"/>
      <c r="BF95" s="12"/>
      <c r="BG95" s="93"/>
      <c r="BH95" s="93"/>
    </row>
    <row r="96" spans="14:60" x14ac:dyDescent="0.2">
      <c r="N96" s="10">
        <v>94</v>
      </c>
      <c r="O96" s="88">
        <v>60447</v>
      </c>
      <c r="P96" s="88">
        <v>60469</v>
      </c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93">
        <v>60498</v>
      </c>
      <c r="BD96" s="12"/>
      <c r="BE96" s="12"/>
      <c r="BF96" s="12"/>
      <c r="BG96" s="93"/>
      <c r="BH96" s="93"/>
    </row>
    <row r="97" spans="14:60" x14ac:dyDescent="0.2">
      <c r="N97" s="10">
        <v>95</v>
      </c>
      <c r="O97" s="88">
        <v>60448</v>
      </c>
      <c r="P97" s="88">
        <v>60471</v>
      </c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93">
        <v>60930</v>
      </c>
      <c r="BD97" s="12"/>
      <c r="BE97" s="12"/>
      <c r="BF97" s="12"/>
      <c r="BG97" s="93"/>
      <c r="BH97" s="93"/>
    </row>
    <row r="98" spans="14:60" x14ac:dyDescent="0.2">
      <c r="N98" s="10">
        <v>96</v>
      </c>
      <c r="O98" s="88">
        <v>60449</v>
      </c>
      <c r="P98" s="88">
        <v>60472</v>
      </c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93">
        <v>60931</v>
      </c>
      <c r="BD98" s="12"/>
      <c r="BE98" s="12"/>
      <c r="BF98" s="12"/>
      <c r="BG98" s="93"/>
      <c r="BH98" s="93"/>
    </row>
    <row r="99" spans="14:60" x14ac:dyDescent="0.2">
      <c r="N99" s="10">
        <v>97</v>
      </c>
      <c r="O99" s="88">
        <v>60385</v>
      </c>
      <c r="P99" s="88">
        <v>60473</v>
      </c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93">
        <v>60932</v>
      </c>
      <c r="BD99" s="12"/>
      <c r="BE99" s="12"/>
      <c r="BF99" s="12"/>
      <c r="BG99" s="93"/>
      <c r="BH99" s="93"/>
    </row>
    <row r="100" spans="14:60" x14ac:dyDescent="0.2">
      <c r="N100" s="10">
        <v>98</v>
      </c>
      <c r="O100" s="88">
        <v>60450</v>
      </c>
      <c r="P100" s="88">
        <v>60474</v>
      </c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93">
        <v>60505</v>
      </c>
      <c r="BD100" s="12"/>
      <c r="BE100" s="12"/>
      <c r="BF100" s="12"/>
      <c r="BG100" s="93"/>
      <c r="BH100" s="93"/>
    </row>
    <row r="101" spans="14:60" x14ac:dyDescent="0.2">
      <c r="N101" s="10">
        <v>99</v>
      </c>
      <c r="O101" s="88">
        <v>60451</v>
      </c>
      <c r="P101" s="88">
        <v>60500</v>
      </c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93">
        <v>60508</v>
      </c>
      <c r="BD101" s="12"/>
      <c r="BE101" s="12"/>
      <c r="BF101" s="12"/>
      <c r="BG101" s="93"/>
      <c r="BH101" s="93"/>
    </row>
    <row r="102" spans="14:60" x14ac:dyDescent="0.2">
      <c r="N102" s="10">
        <v>100</v>
      </c>
      <c r="O102" s="88">
        <v>60316</v>
      </c>
      <c r="P102" s="88">
        <v>60501</v>
      </c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93">
        <v>60510</v>
      </c>
      <c r="BD102" s="12"/>
      <c r="BE102" s="12"/>
      <c r="BF102" s="12"/>
      <c r="BG102" s="93"/>
      <c r="BH102" s="93"/>
    </row>
    <row r="103" spans="14:60" x14ac:dyDescent="0.2">
      <c r="N103" s="10">
        <v>101</v>
      </c>
      <c r="O103" s="88">
        <v>60313</v>
      </c>
      <c r="P103" s="88">
        <v>60470</v>
      </c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93">
        <v>60467</v>
      </c>
      <c r="BD103" s="12"/>
      <c r="BE103" s="12"/>
      <c r="BF103" s="12"/>
      <c r="BG103" s="93"/>
      <c r="BH103" s="93"/>
    </row>
    <row r="104" spans="14:60" x14ac:dyDescent="0.2">
      <c r="N104" s="10">
        <v>102</v>
      </c>
      <c r="O104" s="88">
        <v>60323</v>
      </c>
      <c r="P104" s="88">
        <v>60482</v>
      </c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93">
        <v>60511</v>
      </c>
      <c r="BD104" s="12"/>
      <c r="BE104" s="12"/>
      <c r="BF104" s="12"/>
      <c r="BG104" s="93"/>
      <c r="BH104" s="93"/>
    </row>
    <row r="105" spans="14:60" x14ac:dyDescent="0.2">
      <c r="N105" s="10">
        <v>103</v>
      </c>
      <c r="O105" s="88">
        <v>60324</v>
      </c>
      <c r="P105" s="88">
        <v>60483</v>
      </c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93">
        <v>60512</v>
      </c>
      <c r="BD105" s="12"/>
      <c r="BE105" s="12"/>
      <c r="BF105" s="12"/>
      <c r="BG105" s="93"/>
      <c r="BH105" s="93"/>
    </row>
    <row r="106" spans="14:60" x14ac:dyDescent="0.2">
      <c r="N106" s="10">
        <v>104</v>
      </c>
      <c r="O106" s="88">
        <v>60306</v>
      </c>
      <c r="P106" s="88">
        <v>60484</v>
      </c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93">
        <v>60476</v>
      </c>
      <c r="BD106" s="12"/>
      <c r="BE106" s="12"/>
      <c r="BF106" s="12"/>
      <c r="BG106" s="93"/>
      <c r="BH106" s="93"/>
    </row>
    <row r="107" spans="14:60" x14ac:dyDescent="0.2">
      <c r="N107" s="10">
        <v>105</v>
      </c>
      <c r="O107" s="88">
        <v>60321</v>
      </c>
      <c r="P107" s="88">
        <v>60485</v>
      </c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93">
        <v>60477</v>
      </c>
      <c r="BD107" s="12"/>
      <c r="BE107" s="12"/>
      <c r="BF107" s="12"/>
      <c r="BG107" s="93"/>
      <c r="BH107" s="93"/>
    </row>
    <row r="108" spans="14:60" x14ac:dyDescent="0.2">
      <c r="N108" s="10">
        <v>106</v>
      </c>
      <c r="O108" s="88">
        <v>60312</v>
      </c>
      <c r="P108" s="88">
        <v>60487</v>
      </c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93">
        <v>60480</v>
      </c>
      <c r="BD108" s="12"/>
      <c r="BE108" s="12"/>
      <c r="BF108" s="12"/>
      <c r="BG108" s="93"/>
      <c r="BH108" s="93"/>
    </row>
    <row r="109" spans="14:60" x14ac:dyDescent="0.2">
      <c r="N109" s="10">
        <v>107</v>
      </c>
      <c r="O109" s="88">
        <v>60307</v>
      </c>
      <c r="P109" s="88">
        <v>60488</v>
      </c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93">
        <v>61067</v>
      </c>
      <c r="BD109" s="12"/>
      <c r="BE109" s="12"/>
      <c r="BF109" s="12"/>
      <c r="BG109" s="93"/>
      <c r="BH109" s="93"/>
    </row>
    <row r="110" spans="14:60" x14ac:dyDescent="0.2">
      <c r="N110" s="10">
        <v>108</v>
      </c>
      <c r="O110" s="88">
        <v>60322</v>
      </c>
      <c r="P110" s="88">
        <v>60489</v>
      </c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93">
        <v>60506</v>
      </c>
      <c r="BD110" s="12"/>
      <c r="BE110" s="12"/>
      <c r="BF110" s="12"/>
      <c r="BG110" s="93"/>
      <c r="BH110" s="93"/>
    </row>
    <row r="111" spans="14:60" x14ac:dyDescent="0.2">
      <c r="N111" s="10">
        <v>109</v>
      </c>
      <c r="O111" s="88">
        <v>60317</v>
      </c>
      <c r="P111" s="88">
        <v>60490</v>
      </c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93">
        <v>60507</v>
      </c>
      <c r="BD111" s="12"/>
      <c r="BE111" s="12"/>
      <c r="BF111" s="12"/>
      <c r="BG111" s="93"/>
      <c r="BH111" s="93"/>
    </row>
    <row r="112" spans="14:60" x14ac:dyDescent="0.2">
      <c r="N112" s="10">
        <v>110</v>
      </c>
      <c r="O112" s="88">
        <v>60303</v>
      </c>
      <c r="P112" s="88">
        <v>60491</v>
      </c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93">
        <v>60515</v>
      </c>
      <c r="BD112" s="12"/>
      <c r="BE112" s="12"/>
      <c r="BF112" s="12"/>
      <c r="BG112" s="93"/>
      <c r="BH112" s="93"/>
    </row>
    <row r="113" spans="14:60" x14ac:dyDescent="0.2">
      <c r="N113" s="10">
        <v>111</v>
      </c>
      <c r="O113" s="88">
        <v>60319</v>
      </c>
      <c r="P113" s="88">
        <v>60475</v>
      </c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93"/>
      <c r="BD113" s="12"/>
      <c r="BE113" s="12"/>
      <c r="BF113" s="12"/>
      <c r="BG113" s="93"/>
      <c r="BH113" s="93"/>
    </row>
    <row r="114" spans="14:60" x14ac:dyDescent="0.2">
      <c r="N114" s="10">
        <v>112</v>
      </c>
      <c r="O114" s="88">
        <v>60358</v>
      </c>
      <c r="P114" s="88">
        <v>60492</v>
      </c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93"/>
      <c r="BD114" s="12"/>
      <c r="BE114" s="12"/>
      <c r="BF114" s="12"/>
      <c r="BG114" s="93"/>
      <c r="BH114" s="93"/>
    </row>
    <row r="115" spans="14:60" x14ac:dyDescent="0.2">
      <c r="N115" s="10">
        <v>113</v>
      </c>
      <c r="O115" s="88">
        <v>60311</v>
      </c>
      <c r="P115" s="88">
        <v>60493</v>
      </c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93"/>
      <c r="BD115" s="12"/>
      <c r="BE115" s="12"/>
      <c r="BF115" s="12"/>
      <c r="BG115" s="93"/>
      <c r="BH115" s="93"/>
    </row>
    <row r="116" spans="14:60" x14ac:dyDescent="0.2">
      <c r="N116" s="10">
        <v>114</v>
      </c>
      <c r="O116" s="88">
        <v>60926</v>
      </c>
      <c r="P116" s="88">
        <v>60494</v>
      </c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93"/>
      <c r="BD116" s="12"/>
      <c r="BE116" s="12"/>
      <c r="BF116" s="12"/>
      <c r="BG116" s="93"/>
      <c r="BH116" s="93"/>
    </row>
    <row r="117" spans="14:60" x14ac:dyDescent="0.2">
      <c r="N117" s="10">
        <v>115</v>
      </c>
      <c r="O117" s="88">
        <v>60320</v>
      </c>
      <c r="P117" s="88">
        <v>60495</v>
      </c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93"/>
      <c r="BD117" s="12"/>
      <c r="BE117" s="12"/>
      <c r="BF117" s="12"/>
      <c r="BG117" s="93"/>
      <c r="BH117" s="93"/>
    </row>
    <row r="118" spans="14:60" x14ac:dyDescent="0.2">
      <c r="N118" s="10">
        <v>116</v>
      </c>
      <c r="O118" s="88">
        <v>60318</v>
      </c>
      <c r="P118" s="88">
        <v>60496</v>
      </c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93"/>
      <c r="BD118" s="12"/>
      <c r="BE118" s="12"/>
      <c r="BF118" s="12"/>
      <c r="BG118" s="93"/>
      <c r="BH118" s="93"/>
    </row>
    <row r="119" spans="14:60" x14ac:dyDescent="0.2">
      <c r="N119" s="10">
        <v>117</v>
      </c>
      <c r="O119" s="88">
        <v>60927</v>
      </c>
      <c r="P119" s="88">
        <v>60929</v>
      </c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93"/>
      <c r="BD119" s="12"/>
      <c r="BE119" s="12"/>
      <c r="BF119" s="12"/>
      <c r="BG119" s="93"/>
      <c r="BH119" s="93"/>
    </row>
    <row r="120" spans="14:60" x14ac:dyDescent="0.2">
      <c r="N120" s="10">
        <v>118</v>
      </c>
      <c r="O120" s="88">
        <v>60305</v>
      </c>
      <c r="P120" s="88">
        <v>60498</v>
      </c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93"/>
      <c r="BD120" s="12"/>
      <c r="BE120" s="12"/>
      <c r="BF120" s="12"/>
      <c r="BG120" s="93"/>
      <c r="BH120" s="93"/>
    </row>
    <row r="121" spans="14:60" x14ac:dyDescent="0.2">
      <c r="N121" s="10">
        <v>119</v>
      </c>
      <c r="O121" s="88">
        <v>60314</v>
      </c>
      <c r="P121" s="88">
        <v>60930</v>
      </c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93"/>
      <c r="BD121" s="12"/>
      <c r="BE121" s="12"/>
      <c r="BF121" s="12"/>
      <c r="BG121" s="93"/>
      <c r="BH121" s="93"/>
    </row>
    <row r="122" spans="14:60" x14ac:dyDescent="0.2">
      <c r="N122" s="10">
        <v>120</v>
      </c>
      <c r="O122" s="88">
        <v>60310</v>
      </c>
      <c r="P122" s="88">
        <v>60931</v>
      </c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93"/>
      <c r="BD122" s="12"/>
      <c r="BE122" s="12"/>
      <c r="BF122" s="12"/>
      <c r="BG122" s="93"/>
      <c r="BH122" s="93"/>
    </row>
    <row r="123" spans="14:60" x14ac:dyDescent="0.2">
      <c r="N123" s="10">
        <v>121</v>
      </c>
      <c r="O123" s="88">
        <v>60315</v>
      </c>
      <c r="P123" s="88">
        <v>60932</v>
      </c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93"/>
      <c r="BD123" s="12"/>
      <c r="BE123" s="12"/>
      <c r="BF123" s="12"/>
      <c r="BG123" s="93"/>
      <c r="BH123" s="93"/>
    </row>
    <row r="124" spans="14:60" x14ac:dyDescent="0.2">
      <c r="N124" s="10">
        <v>122</v>
      </c>
      <c r="O124" s="88">
        <v>60308</v>
      </c>
      <c r="P124" s="88">
        <v>60505</v>
      </c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93"/>
      <c r="BH124" s="93"/>
    </row>
    <row r="125" spans="14:60" x14ac:dyDescent="0.2">
      <c r="N125" s="10">
        <v>123</v>
      </c>
      <c r="O125" s="88">
        <v>60514</v>
      </c>
      <c r="P125" s="88">
        <v>60508</v>
      </c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93"/>
      <c r="BH125" s="93"/>
    </row>
    <row r="126" spans="14:60" x14ac:dyDescent="0.2">
      <c r="N126" s="10">
        <v>124</v>
      </c>
      <c r="O126" s="88">
        <v>60457</v>
      </c>
      <c r="P126" s="88">
        <v>60510</v>
      </c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93"/>
      <c r="BH126" s="93"/>
    </row>
    <row r="127" spans="14:60" x14ac:dyDescent="0.2">
      <c r="N127" s="10">
        <v>125</v>
      </c>
      <c r="O127" s="88">
        <v>60458</v>
      </c>
      <c r="P127" s="88">
        <v>60467</v>
      </c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93"/>
      <c r="BH127" s="93"/>
    </row>
    <row r="128" spans="14:60" x14ac:dyDescent="0.2">
      <c r="N128" s="10">
        <v>126</v>
      </c>
      <c r="O128" s="88">
        <v>60454</v>
      </c>
      <c r="P128" s="88">
        <v>60511</v>
      </c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93"/>
      <c r="BH128" s="93"/>
    </row>
    <row r="129" spans="14:60" x14ac:dyDescent="0.2">
      <c r="N129" s="10">
        <v>127</v>
      </c>
      <c r="O129" s="88">
        <v>60928</v>
      </c>
      <c r="P129" s="88">
        <v>60512</v>
      </c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93"/>
      <c r="BH129" s="93"/>
    </row>
    <row r="130" spans="14:60" x14ac:dyDescent="0.2">
      <c r="N130" s="10">
        <v>128</v>
      </c>
      <c r="O130" s="88">
        <v>60461</v>
      </c>
      <c r="P130" s="88">
        <v>60476</v>
      </c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93"/>
      <c r="BH130" s="93"/>
    </row>
    <row r="131" spans="14:60" x14ac:dyDescent="0.2">
      <c r="N131" s="10">
        <v>129</v>
      </c>
      <c r="O131" s="88">
        <v>60463</v>
      </c>
      <c r="P131" s="88">
        <v>60477</v>
      </c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93"/>
      <c r="BH131" s="93"/>
    </row>
    <row r="132" spans="14:60" x14ac:dyDescent="0.2">
      <c r="N132" s="10">
        <v>130</v>
      </c>
      <c r="O132" s="88">
        <v>60464</v>
      </c>
      <c r="P132" s="88">
        <v>60480</v>
      </c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93"/>
      <c r="BH132" s="93"/>
    </row>
    <row r="133" spans="14:60" x14ac:dyDescent="0.2">
      <c r="N133" s="10">
        <v>131</v>
      </c>
      <c r="O133" s="88">
        <v>60465</v>
      </c>
      <c r="P133" s="88">
        <v>61067</v>
      </c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93"/>
      <c r="BH133" s="93"/>
    </row>
    <row r="134" spans="14:60" x14ac:dyDescent="0.2">
      <c r="N134" s="10">
        <v>132</v>
      </c>
      <c r="O134" s="88">
        <v>60466</v>
      </c>
      <c r="P134" s="88">
        <v>60506</v>
      </c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93"/>
      <c r="BH134" s="93"/>
    </row>
    <row r="135" spans="14:60" x14ac:dyDescent="0.2">
      <c r="N135" s="10">
        <v>133</v>
      </c>
      <c r="O135" s="88">
        <v>60468</v>
      </c>
      <c r="P135" s="88">
        <v>60507</v>
      </c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93"/>
      <c r="BH135" s="93"/>
    </row>
    <row r="136" spans="14:60" x14ac:dyDescent="0.2">
      <c r="N136" s="10">
        <v>134</v>
      </c>
      <c r="O136" s="88">
        <v>60469</v>
      </c>
      <c r="P136" s="88">
        <v>60515</v>
      </c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93"/>
      <c r="BH136" s="93"/>
    </row>
    <row r="137" spans="14:60" x14ac:dyDescent="0.2">
      <c r="N137" s="10">
        <v>135</v>
      </c>
      <c r="O137" s="88">
        <v>60471</v>
      </c>
      <c r="P137" s="8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93"/>
      <c r="BH137" s="93"/>
    </row>
    <row r="138" spans="14:60" x14ac:dyDescent="0.2">
      <c r="N138" s="10">
        <v>136</v>
      </c>
      <c r="O138" s="88">
        <v>60472</v>
      </c>
      <c r="P138" s="93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93"/>
      <c r="BH138" s="93"/>
    </row>
    <row r="139" spans="14:60" x14ac:dyDescent="0.2">
      <c r="N139" s="10">
        <v>137</v>
      </c>
      <c r="O139" s="88">
        <v>60473</v>
      </c>
      <c r="P139" s="93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93"/>
      <c r="BH139" s="93"/>
    </row>
    <row r="140" spans="14:60" x14ac:dyDescent="0.2">
      <c r="N140" s="10">
        <v>138</v>
      </c>
      <c r="O140" s="88">
        <v>60474</v>
      </c>
      <c r="P140" s="93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93"/>
      <c r="BH140" s="93"/>
    </row>
    <row r="141" spans="14:60" x14ac:dyDescent="0.2">
      <c r="N141" s="10">
        <v>139</v>
      </c>
      <c r="O141" s="88">
        <v>60500</v>
      </c>
      <c r="P141" s="93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93"/>
      <c r="BH141" s="93"/>
    </row>
    <row r="142" spans="14:60" x14ac:dyDescent="0.2">
      <c r="N142" s="10">
        <v>140</v>
      </c>
      <c r="O142" s="88">
        <v>60501</v>
      </c>
      <c r="P142" s="93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93"/>
      <c r="BH142" s="93"/>
    </row>
    <row r="143" spans="14:60" x14ac:dyDescent="0.2">
      <c r="N143" s="10">
        <v>141</v>
      </c>
      <c r="O143" s="88">
        <v>60470</v>
      </c>
      <c r="P143" s="93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93"/>
      <c r="BH143" s="93"/>
    </row>
    <row r="144" spans="14:60" x14ac:dyDescent="0.2">
      <c r="N144" s="10">
        <v>142</v>
      </c>
      <c r="O144" s="88">
        <v>60482</v>
      </c>
      <c r="P144" s="93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93"/>
      <c r="BH144" s="93"/>
    </row>
    <row r="145" spans="14:60" x14ac:dyDescent="0.2">
      <c r="N145" s="10">
        <v>143</v>
      </c>
      <c r="O145" s="88">
        <v>60483</v>
      </c>
      <c r="P145" s="15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93"/>
      <c r="BH145" s="93"/>
    </row>
    <row r="146" spans="14:60" x14ac:dyDescent="0.2">
      <c r="N146" s="10">
        <v>144</v>
      </c>
      <c r="O146" s="88">
        <v>60484</v>
      </c>
      <c r="P146" s="15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93"/>
      <c r="BH146" s="93"/>
    </row>
    <row r="147" spans="14:60" x14ac:dyDescent="0.2">
      <c r="N147" s="10">
        <v>145</v>
      </c>
      <c r="O147" s="88">
        <v>60485</v>
      </c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93"/>
      <c r="BH147" s="93"/>
    </row>
    <row r="148" spans="14:60" x14ac:dyDescent="0.2">
      <c r="N148" s="10">
        <v>146</v>
      </c>
      <c r="O148" s="88">
        <v>60487</v>
      </c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93"/>
      <c r="BH148" s="93"/>
    </row>
    <row r="149" spans="14:60" x14ac:dyDescent="0.2">
      <c r="N149" s="10">
        <v>147</v>
      </c>
      <c r="O149" s="88">
        <v>60488</v>
      </c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93"/>
      <c r="BH149" s="93"/>
    </row>
    <row r="150" spans="14:60" x14ac:dyDescent="0.2">
      <c r="N150" s="10">
        <v>148</v>
      </c>
      <c r="O150" s="88">
        <v>60489</v>
      </c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93"/>
      <c r="BH150" s="93"/>
    </row>
    <row r="151" spans="14:60" x14ac:dyDescent="0.2">
      <c r="N151" s="10">
        <v>149</v>
      </c>
      <c r="O151" s="88">
        <v>60490</v>
      </c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93"/>
      <c r="BH151" s="93"/>
    </row>
    <row r="152" spans="14:60" x14ac:dyDescent="0.2">
      <c r="N152" s="10">
        <v>150</v>
      </c>
      <c r="O152" s="88">
        <v>60491</v>
      </c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93"/>
      <c r="BH152" s="93"/>
    </row>
    <row r="153" spans="14:60" x14ac:dyDescent="0.2">
      <c r="N153" s="10">
        <v>151</v>
      </c>
      <c r="O153" s="88">
        <v>60475</v>
      </c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93"/>
      <c r="BH153" s="93"/>
    </row>
    <row r="154" spans="14:60" x14ac:dyDescent="0.2">
      <c r="N154" s="10">
        <v>152</v>
      </c>
      <c r="O154" s="88">
        <v>60492</v>
      </c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93"/>
      <c r="BH154" s="93"/>
    </row>
    <row r="155" spans="14:60" x14ac:dyDescent="0.2">
      <c r="N155" s="10">
        <v>153</v>
      </c>
      <c r="O155" s="88">
        <v>60493</v>
      </c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93"/>
      <c r="BH155" s="93"/>
    </row>
    <row r="156" spans="14:60" x14ac:dyDescent="0.2">
      <c r="N156" s="10">
        <v>154</v>
      </c>
      <c r="O156" s="88">
        <v>60494</v>
      </c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93"/>
      <c r="BH156" s="93"/>
    </row>
    <row r="157" spans="14:60" x14ac:dyDescent="0.2">
      <c r="N157" s="10">
        <v>155</v>
      </c>
      <c r="O157" s="88">
        <v>60495</v>
      </c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93"/>
      <c r="BH157" s="93"/>
    </row>
    <row r="158" spans="14:60" x14ac:dyDescent="0.2">
      <c r="N158" s="10">
        <v>156</v>
      </c>
      <c r="O158" s="88">
        <v>60496</v>
      </c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93"/>
      <c r="BH158" s="93"/>
    </row>
    <row r="159" spans="14:60" x14ac:dyDescent="0.2">
      <c r="N159" s="10">
        <v>157</v>
      </c>
      <c r="O159" s="88">
        <v>60929</v>
      </c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93"/>
      <c r="BH159" s="93"/>
    </row>
    <row r="160" spans="14:60" x14ac:dyDescent="0.2">
      <c r="N160" s="10">
        <v>158</v>
      </c>
      <c r="O160" s="88">
        <v>60498</v>
      </c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93"/>
      <c r="BH160" s="93"/>
    </row>
    <row r="161" spans="14:60" x14ac:dyDescent="0.2">
      <c r="N161" s="10">
        <v>159</v>
      </c>
      <c r="O161" s="88">
        <v>60930</v>
      </c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93"/>
      <c r="BH161" s="93"/>
    </row>
    <row r="162" spans="14:60" x14ac:dyDescent="0.2">
      <c r="N162" s="10">
        <v>160</v>
      </c>
      <c r="O162" s="88">
        <v>60931</v>
      </c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93"/>
      <c r="BH162" s="93"/>
    </row>
    <row r="163" spans="14:60" x14ac:dyDescent="0.2">
      <c r="N163" s="10">
        <v>161</v>
      </c>
      <c r="O163" s="88">
        <v>60932</v>
      </c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93"/>
      <c r="BH163" s="93"/>
    </row>
    <row r="164" spans="14:60" x14ac:dyDescent="0.2">
      <c r="N164" s="10">
        <v>162</v>
      </c>
      <c r="O164" s="88">
        <v>60505</v>
      </c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93"/>
      <c r="BH164" s="93"/>
    </row>
    <row r="165" spans="14:60" x14ac:dyDescent="0.2">
      <c r="N165" s="10">
        <v>163</v>
      </c>
      <c r="O165" s="88">
        <v>60508</v>
      </c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93"/>
      <c r="BH165" s="93"/>
    </row>
    <row r="166" spans="14:60" x14ac:dyDescent="0.2">
      <c r="N166" s="10">
        <v>164</v>
      </c>
      <c r="O166" s="88">
        <v>60510</v>
      </c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93"/>
      <c r="BH166" s="93"/>
    </row>
    <row r="167" spans="14:60" x14ac:dyDescent="0.2">
      <c r="N167" s="10">
        <v>165</v>
      </c>
      <c r="O167" s="88">
        <v>60467</v>
      </c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93"/>
      <c r="BH167" s="93"/>
    </row>
    <row r="168" spans="14:60" x14ac:dyDescent="0.2">
      <c r="N168" s="10">
        <v>166</v>
      </c>
      <c r="O168" s="88">
        <v>60511</v>
      </c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93"/>
      <c r="BH168" s="93"/>
    </row>
    <row r="169" spans="14:60" x14ac:dyDescent="0.2">
      <c r="N169" s="10">
        <v>167</v>
      </c>
      <c r="O169" s="88">
        <v>60512</v>
      </c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93"/>
      <c r="BH169" s="93"/>
    </row>
    <row r="170" spans="14:60" x14ac:dyDescent="0.2">
      <c r="N170" s="10">
        <v>168</v>
      </c>
      <c r="O170" s="88">
        <v>60476</v>
      </c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93"/>
      <c r="BH170" s="93"/>
    </row>
    <row r="171" spans="14:60" x14ac:dyDescent="0.2">
      <c r="N171" s="10">
        <v>169</v>
      </c>
      <c r="O171" s="88">
        <v>60477</v>
      </c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93"/>
      <c r="BH171" s="93"/>
    </row>
    <row r="172" spans="14:60" x14ac:dyDescent="0.2">
      <c r="N172" s="10">
        <v>170</v>
      </c>
      <c r="O172" s="88">
        <v>60480</v>
      </c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93"/>
      <c r="BH172" s="93"/>
    </row>
    <row r="173" spans="14:60" x14ac:dyDescent="0.2">
      <c r="N173" s="10">
        <v>171</v>
      </c>
      <c r="O173" s="88">
        <v>61067</v>
      </c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93"/>
      <c r="BH173" s="93"/>
    </row>
    <row r="174" spans="14:60" x14ac:dyDescent="0.2">
      <c r="N174" s="10">
        <v>172</v>
      </c>
      <c r="O174" s="88">
        <v>60506</v>
      </c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93"/>
      <c r="BH174" s="93"/>
    </row>
    <row r="175" spans="14:60" x14ac:dyDescent="0.2">
      <c r="N175" s="10">
        <v>173</v>
      </c>
      <c r="O175" s="88">
        <v>60507</v>
      </c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93"/>
      <c r="BH175" s="93"/>
    </row>
    <row r="176" spans="14:60" x14ac:dyDescent="0.2">
      <c r="N176" s="10">
        <v>174</v>
      </c>
      <c r="O176" s="88">
        <v>60515</v>
      </c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93"/>
      <c r="BH176" s="93"/>
    </row>
    <row r="177" spans="14:60" x14ac:dyDescent="0.2">
      <c r="N177" s="10">
        <v>175</v>
      </c>
      <c r="O177" s="369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93"/>
      <c r="BH177" s="93"/>
    </row>
    <row r="178" spans="14:60" x14ac:dyDescent="0.2">
      <c r="N178" s="10">
        <v>176</v>
      </c>
      <c r="O178" s="369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93"/>
      <c r="BH178" s="93"/>
    </row>
    <row r="179" spans="14:60" x14ac:dyDescent="0.2">
      <c r="N179" s="10">
        <v>177</v>
      </c>
      <c r="O179" s="369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93"/>
      <c r="BH179" s="93"/>
    </row>
    <row r="180" spans="14:60" x14ac:dyDescent="0.2">
      <c r="N180" s="10">
        <v>178</v>
      </c>
      <c r="O180" s="367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93"/>
      <c r="BH180" s="93"/>
    </row>
    <row r="182" spans="14:60" x14ac:dyDescent="0.2">
      <c r="N182" s="10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</row>
    <row r="183" spans="14:60" x14ac:dyDescent="0.2">
      <c r="N183" s="10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</row>
    <row r="184" spans="14:60" x14ac:dyDescent="0.2">
      <c r="N184" s="10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</row>
    <row r="185" spans="14:60" x14ac:dyDescent="0.2">
      <c r="N185" s="10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</row>
    <row r="186" spans="14:60" x14ac:dyDescent="0.2">
      <c r="N186" s="10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</row>
    <row r="187" spans="14:60" x14ac:dyDescent="0.2">
      <c r="N187" s="10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</row>
    <row r="188" spans="14:60" x14ac:dyDescent="0.2">
      <c r="N188" s="10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</row>
    <row r="189" spans="14:60" x14ac:dyDescent="0.2">
      <c r="N189" s="10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</row>
    <row r="190" spans="14:60" x14ac:dyDescent="0.2"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</row>
    <row r="191" spans="14:60" x14ac:dyDescent="0.2"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</row>
    <row r="192" spans="14:60" x14ac:dyDescent="0.2"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</row>
    <row r="193" spans="2:38" x14ac:dyDescent="0.2"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</row>
    <row r="194" spans="2:38" x14ac:dyDescent="0.2"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2:38" x14ac:dyDescent="0.2"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2:38" x14ac:dyDescent="0.2"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2:38" x14ac:dyDescent="0.2">
      <c r="B197">
        <f ca="1">IF(jakaKS=1,INDIRECT("pict!B2"),IF(jakaKS=2,INDIRECT("pict!D2"),IF(jakaKS=3,INDIRECT("pict!F2"))))</f>
        <v>0</v>
      </c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</sheetData>
  <sheetProtection selectLockedCells="1"/>
  <phoneticPr fontId="4" type="noConversion"/>
  <pageMargins left="0.7" right="0.7" top="0.78740157499999996" bottom="0.78740157499999996" header="0.3" footer="0.3"/>
  <pageSetup paperSize="9" orientation="portrait" horizontalDpi="300" verticalDpi="30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workbookViewId="0"/>
  </sheetViews>
  <sheetFormatPr defaultRowHeight="11.25" x14ac:dyDescent="0.2"/>
  <cols>
    <col min="1" max="1" width="5" customWidth="1"/>
    <col min="2" max="2" width="40.83203125" customWidth="1"/>
    <col min="3" max="3" width="5.33203125" customWidth="1"/>
    <col min="4" max="4" width="40.83203125" customWidth="1"/>
    <col min="5" max="5" width="5.5" customWidth="1"/>
    <col min="6" max="6" width="40.83203125" customWidth="1"/>
  </cols>
  <sheetData>
    <row r="2" ht="106.5" customHeight="1" x14ac:dyDescent="0.2"/>
  </sheetData>
  <phoneticPr fontId="4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</sheetPr>
  <dimension ref="A1:N125"/>
  <sheetViews>
    <sheetView showGridLines="0" showRowColHeaders="0" zoomScale="90" zoomScaleNormal="90" workbookViewId="0">
      <selection activeCell="C12" sqref="C12"/>
    </sheetView>
  </sheetViews>
  <sheetFormatPr defaultColWidth="0" defaultRowHeight="12" zeroHeight="1" x14ac:dyDescent="0.2"/>
  <cols>
    <col min="1" max="2" width="1.6640625" style="556" customWidth="1"/>
    <col min="3" max="3" width="48.33203125" style="521" customWidth="1"/>
    <col min="4" max="4" width="6.33203125" style="521" customWidth="1"/>
    <col min="5" max="5" width="7.83203125" style="521" customWidth="1"/>
    <col min="6" max="6" width="6" style="521" customWidth="1"/>
    <col min="7" max="7" width="6.33203125" style="521" customWidth="1"/>
    <col min="8" max="8" width="8.83203125" style="521" customWidth="1"/>
    <col min="9" max="9" width="6.33203125" style="521" customWidth="1"/>
    <col min="10" max="10" width="2.83203125" style="521" customWidth="1"/>
    <col min="11" max="11" width="4.5" style="521" customWidth="1"/>
    <col min="12" max="12" width="4.6640625" style="521" customWidth="1"/>
    <col min="13" max="13" width="6.1640625" style="521" customWidth="1"/>
    <col min="14" max="14" width="2.6640625" style="521" customWidth="1"/>
    <col min="15" max="16384" width="9.33203125" style="521" hidden="1"/>
  </cols>
  <sheetData>
    <row r="1" spans="1:13" x14ac:dyDescent="0.2"/>
    <row r="2" spans="1:13" s="556" customFormat="1" ht="20.100000000000001" customHeight="1" x14ac:dyDescent="0.2">
      <c r="A2" s="704"/>
      <c r="B2" s="704"/>
      <c r="C2" s="705" t="s">
        <v>474</v>
      </c>
      <c r="D2" s="705"/>
      <c r="E2" s="705"/>
      <c r="F2" s="705"/>
      <c r="G2" s="705"/>
      <c r="H2" s="705"/>
      <c r="I2" s="705"/>
      <c r="J2" s="705"/>
      <c r="K2" s="705"/>
      <c r="L2" s="705"/>
      <c r="M2" s="705"/>
    </row>
    <row r="3" spans="1:13" s="524" customFormat="1" ht="15" customHeight="1" x14ac:dyDescent="0.25">
      <c r="A3" s="704"/>
      <c r="B3" s="704"/>
      <c r="C3" s="555"/>
      <c r="D3" s="555"/>
      <c r="E3" s="555"/>
      <c r="F3" s="555"/>
      <c r="G3" s="555"/>
      <c r="H3" s="555"/>
      <c r="I3" s="555"/>
    </row>
    <row r="4" spans="1:13" s="524" customFormat="1" ht="20.100000000000001" customHeight="1" x14ac:dyDescent="0.2">
      <c r="A4" s="704"/>
      <c r="B4" s="704"/>
      <c r="C4" s="706" t="s">
        <v>473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</row>
    <row r="5" spans="1:13" s="524" customFormat="1" ht="5.0999999999999996" customHeight="1" x14ac:dyDescent="0.2">
      <c r="A5" s="704"/>
      <c r="B5" s="704"/>
      <c r="C5" s="554"/>
      <c r="D5" s="554"/>
      <c r="E5" s="554"/>
      <c r="F5" s="554"/>
      <c r="G5" s="554"/>
      <c r="H5" s="554"/>
      <c r="I5" s="554"/>
    </row>
    <row r="6" spans="1:13" s="524" customFormat="1" ht="20.100000000000001" customHeight="1" x14ac:dyDescent="0.2">
      <c r="A6" s="704"/>
      <c r="B6" s="704"/>
      <c r="C6" s="701" t="s">
        <v>472</v>
      </c>
      <c r="D6" s="701"/>
      <c r="E6" s="701"/>
      <c r="F6" s="701"/>
      <c r="G6" s="701"/>
      <c r="H6" s="702" t="s">
        <v>471</v>
      </c>
      <c r="I6" s="702"/>
      <c r="J6" s="702"/>
      <c r="K6" s="702"/>
      <c r="L6" s="702"/>
      <c r="M6" s="702"/>
    </row>
    <row r="7" spans="1:13" s="524" customFormat="1" ht="5.0999999999999996" customHeight="1" x14ac:dyDescent="0.2">
      <c r="A7" s="704"/>
      <c r="B7" s="704"/>
      <c r="C7" s="553"/>
      <c r="D7" s="553"/>
      <c r="E7" s="553"/>
      <c r="F7" s="553"/>
      <c r="G7" s="553"/>
      <c r="H7" s="552"/>
    </row>
    <row r="8" spans="1:13" s="524" customFormat="1" ht="20.100000000000001" customHeight="1" x14ac:dyDescent="0.2">
      <c r="A8" s="704"/>
      <c r="B8" s="704"/>
      <c r="C8" s="701" t="s">
        <v>470</v>
      </c>
      <c r="D8" s="701"/>
      <c r="E8" s="701"/>
      <c r="F8" s="701"/>
      <c r="G8" s="701"/>
      <c r="H8" s="702" t="s">
        <v>469</v>
      </c>
      <c r="I8" s="702"/>
      <c r="J8" s="702"/>
      <c r="K8" s="702"/>
      <c r="L8" s="702"/>
      <c r="M8" s="702"/>
    </row>
    <row r="9" spans="1:13" s="524" customFormat="1" ht="5.0999999999999996" customHeight="1" x14ac:dyDescent="0.2">
      <c r="A9" s="704"/>
      <c r="B9" s="704"/>
      <c r="C9" s="553"/>
      <c r="D9" s="553"/>
      <c r="E9" s="553"/>
      <c r="F9" s="553"/>
      <c r="G9" s="553"/>
      <c r="H9" s="552"/>
    </row>
    <row r="10" spans="1:13" s="524" customFormat="1" ht="20.100000000000001" customHeight="1" x14ac:dyDescent="0.2">
      <c r="A10" s="704"/>
      <c r="B10" s="704"/>
      <c r="C10" s="701" t="s">
        <v>468</v>
      </c>
      <c r="D10" s="701"/>
      <c r="E10" s="701"/>
      <c r="F10" s="701"/>
      <c r="G10" s="701"/>
      <c r="H10" s="702" t="s">
        <v>467</v>
      </c>
      <c r="I10" s="702"/>
      <c r="J10" s="702"/>
      <c r="K10" s="702"/>
      <c r="L10" s="702"/>
      <c r="M10" s="702"/>
    </row>
    <row r="11" spans="1:13" s="524" customFormat="1" ht="5.0999999999999996" customHeight="1" x14ac:dyDescent="0.2">
      <c r="A11" s="704"/>
      <c r="B11" s="704"/>
      <c r="C11" s="551"/>
      <c r="D11" s="551"/>
      <c r="E11" s="551"/>
      <c r="F11" s="551"/>
      <c r="G11" s="551"/>
      <c r="H11" s="551"/>
      <c r="I11" s="551"/>
    </row>
    <row r="12" spans="1:13" s="524" customFormat="1" ht="20.100000000000001" customHeight="1" x14ac:dyDescent="0.25">
      <c r="A12" s="704"/>
      <c r="B12" s="704"/>
      <c r="C12" s="665" t="str">
        <f>"období : "&amp;obdobi</f>
        <v>období : LEDEN-ZÁŘÍ 2016</v>
      </c>
      <c r="D12" s="550"/>
      <c r="E12" s="703" t="s">
        <v>362</v>
      </c>
      <c r="F12" s="703"/>
      <c r="G12" s="522"/>
      <c r="H12" s="549" t="s">
        <v>466</v>
      </c>
      <c r="I12" s="523"/>
      <c r="J12" s="703" t="s">
        <v>465</v>
      </c>
      <c r="K12" s="703"/>
      <c r="L12" s="703"/>
      <c r="M12" s="703"/>
    </row>
    <row r="13" spans="1:13" s="524" customFormat="1" ht="5.0999999999999996" customHeight="1" x14ac:dyDescent="0.25">
      <c r="A13" s="704"/>
      <c r="B13" s="704"/>
      <c r="C13" s="546"/>
      <c r="D13" s="546"/>
      <c r="E13" s="548"/>
      <c r="F13" s="548"/>
      <c r="G13" s="548"/>
      <c r="H13" s="548"/>
      <c r="I13" s="547"/>
      <c r="J13" s="546"/>
      <c r="K13" s="546"/>
      <c r="L13" s="546"/>
      <c r="M13" s="546"/>
    </row>
    <row r="14" spans="1:13" s="522" customFormat="1" ht="5.0999999999999996" customHeight="1" thickBot="1" x14ac:dyDescent="0.25">
      <c r="A14" s="704"/>
      <c r="B14" s="704"/>
      <c r="C14" s="523"/>
      <c r="D14" s="523"/>
      <c r="E14" s="523"/>
      <c r="F14" s="523"/>
      <c r="G14" s="523"/>
      <c r="H14" s="523"/>
      <c r="I14" s="523"/>
    </row>
    <row r="15" spans="1:13" s="522" customFormat="1" ht="20.100000000000001" customHeight="1" thickBot="1" x14ac:dyDescent="0.25">
      <c r="A15" s="704"/>
      <c r="B15" s="704"/>
      <c r="C15" s="638" t="s">
        <v>464</v>
      </c>
      <c r="D15" s="545"/>
      <c r="E15" s="639">
        <f>VLOOKUP($C15,datarep!C:U,18,0)</f>
        <v>68.832860562308468</v>
      </c>
      <c r="F15" s="640" t="str">
        <f>VLOOKUP(E15,RAT,2,1)</f>
        <v>B+</v>
      </c>
      <c r="G15" s="532"/>
      <c r="H15" s="641">
        <f>IF(F15&lt;&gt;L15,(E15-K15)*1000,E15-K15)</f>
        <v>0.15380226280538523</v>
      </c>
      <c r="I15" s="532"/>
      <c r="J15" s="642" t="s">
        <v>460</v>
      </c>
      <c r="K15" s="643">
        <f>VLOOKUP($C15,datarep!$C:$U,15,0)</f>
        <v>68.679058299503083</v>
      </c>
      <c r="L15" s="644" t="str">
        <f>VLOOKUP(K15,RAT,2,1)</f>
        <v>B+</v>
      </c>
      <c r="M15" s="645" t="s">
        <v>459</v>
      </c>
    </row>
    <row r="16" spans="1:13" s="524" customFormat="1" ht="5.0999999999999996" customHeight="1" x14ac:dyDescent="0.2">
      <c r="A16" s="704"/>
      <c r="B16" s="704"/>
      <c r="C16" s="525"/>
      <c r="D16" s="525"/>
      <c r="E16" s="527"/>
      <c r="F16" s="527"/>
      <c r="G16" s="527"/>
      <c r="H16" s="527"/>
      <c r="I16" s="526"/>
      <c r="J16" s="525"/>
      <c r="K16" s="525"/>
      <c r="L16" s="525"/>
      <c r="M16" s="525"/>
    </row>
    <row r="17" spans="1:13" s="522" customFormat="1" ht="5.0999999999999996" customHeight="1" thickBot="1" x14ac:dyDescent="0.25">
      <c r="A17" s="704"/>
      <c r="B17" s="704"/>
      <c r="C17" s="523"/>
      <c r="D17" s="523"/>
      <c r="E17" s="523"/>
      <c r="F17" s="523"/>
      <c r="G17" s="523"/>
      <c r="H17" s="523"/>
      <c r="I17" s="523"/>
      <c r="J17" s="532"/>
      <c r="K17" s="532"/>
      <c r="L17" s="532"/>
      <c r="M17" s="532"/>
    </row>
    <row r="18" spans="1:13" s="522" customFormat="1" ht="20.100000000000001" customHeight="1" thickBot="1" x14ac:dyDescent="0.25">
      <c r="A18" s="704"/>
      <c r="B18" s="704"/>
      <c r="C18" s="638" t="s">
        <v>463</v>
      </c>
      <c r="D18" s="545"/>
      <c r="E18" s="639">
        <f>VLOOKUP($C18,datarep!C:U,18,0)</f>
        <v>73.278475327980999</v>
      </c>
      <c r="F18" s="640" t="str">
        <f>VLOOKUP(E18,RAT,2,1)</f>
        <v>B++</v>
      </c>
      <c r="G18" s="532"/>
      <c r="H18" s="641">
        <f>IF(F18&lt;&gt;L18,(E18-K18)*1000,E18-K18)</f>
        <v>0.35666841311649478</v>
      </c>
      <c r="I18" s="532"/>
      <c r="J18" s="642" t="s">
        <v>460</v>
      </c>
      <c r="K18" s="643">
        <f>VLOOKUP($C18,datarep!$C:$U,15,0)</f>
        <v>72.921806914864504</v>
      </c>
      <c r="L18" s="644" t="str">
        <f>VLOOKUP(K18,RAT,2,1)</f>
        <v>B++</v>
      </c>
      <c r="M18" s="645" t="s">
        <v>459</v>
      </c>
    </row>
    <row r="19" spans="1:13" s="522" customFormat="1" ht="5.0999999999999996" customHeight="1" thickBot="1" x14ac:dyDescent="0.25">
      <c r="A19" s="704"/>
      <c r="B19" s="704"/>
      <c r="C19" s="544"/>
      <c r="D19" s="543"/>
      <c r="E19" s="542"/>
      <c r="F19" s="523"/>
      <c r="G19" s="532"/>
      <c r="H19" s="523"/>
      <c r="I19" s="532"/>
      <c r="J19" s="523"/>
      <c r="K19" s="532"/>
      <c r="L19" s="532"/>
      <c r="M19" s="523"/>
    </row>
    <row r="20" spans="1:13" s="540" customFormat="1" ht="15.95" customHeight="1" thickBot="1" x14ac:dyDescent="0.25">
      <c r="A20" s="704"/>
      <c r="B20" s="704"/>
      <c r="C20" s="537" t="s">
        <v>5</v>
      </c>
      <c r="D20" s="536" t="s">
        <v>462</v>
      </c>
      <c r="E20" s="535">
        <f>VLOOKUP($C20,datarep!C:U,18,0)</f>
        <v>94.784509175738393</v>
      </c>
      <c r="F20" s="534" t="str">
        <f t="shared" ref="F20:F26" si="0">VLOOKUP(E20,RAT,2,1)</f>
        <v>A++</v>
      </c>
      <c r="G20" s="541"/>
      <c r="H20" s="533">
        <f t="shared" ref="H20:H26" si="1">IF(F20&lt;&gt;L20,(E20-K20)*1000,E20-K20)</f>
        <v>3207.2688949294984</v>
      </c>
      <c r="I20" s="541"/>
      <c r="J20" s="531" t="s">
        <v>460</v>
      </c>
      <c r="K20" s="530">
        <f>VLOOKUP($C20,datarep!$C:$U,15,0)</f>
        <v>91.577240280808894</v>
      </c>
      <c r="L20" s="529" t="str">
        <f t="shared" ref="L20:L26" si="2">VLOOKUP(K20,RAT,2,1)</f>
        <v>A+</v>
      </c>
      <c r="M20" s="528" t="s">
        <v>459</v>
      </c>
    </row>
    <row r="21" spans="1:13" s="540" customFormat="1" ht="15.95" customHeight="1" thickBot="1" x14ac:dyDescent="0.25">
      <c r="A21" s="704"/>
      <c r="B21" s="704"/>
      <c r="C21" s="537" t="s">
        <v>577</v>
      </c>
      <c r="D21" s="536"/>
      <c r="E21" s="535">
        <f>VLOOKUP($C21,datarep!C:U,18,0)</f>
        <v>81.735096363327216</v>
      </c>
      <c r="F21" s="534" t="str">
        <f t="shared" si="0"/>
        <v>A</v>
      </c>
      <c r="G21" s="541"/>
      <c r="H21" s="533">
        <f t="shared" si="1"/>
        <v>-2.4970284439566797</v>
      </c>
      <c r="I21" s="541"/>
      <c r="J21" s="531" t="s">
        <v>460</v>
      </c>
      <c r="K21" s="530">
        <f>VLOOKUP($C21,datarep!$C:$U,15,0)</f>
        <v>84.232124807283896</v>
      </c>
      <c r="L21" s="529" t="str">
        <f t="shared" si="2"/>
        <v>A</v>
      </c>
      <c r="M21" s="528" t="s">
        <v>459</v>
      </c>
    </row>
    <row r="22" spans="1:13" s="540" customFormat="1" ht="15.95" customHeight="1" thickBot="1" x14ac:dyDescent="0.25">
      <c r="A22" s="704"/>
      <c r="B22" s="704"/>
      <c r="C22" s="537" t="s">
        <v>582</v>
      </c>
      <c r="D22" s="536"/>
      <c r="E22" s="535">
        <f>VLOOKUP($C22,datarep!C:U,18,0)</f>
        <v>74.564928724583098</v>
      </c>
      <c r="F22" s="534" t="str">
        <f t="shared" si="0"/>
        <v>B++</v>
      </c>
      <c r="G22" s="541"/>
      <c r="H22" s="533">
        <f t="shared" si="1"/>
        <v>-3148.9291119463587</v>
      </c>
      <c r="I22" s="541"/>
      <c r="J22" s="531" t="s">
        <v>460</v>
      </c>
      <c r="K22" s="530">
        <f>VLOOKUP($C22,datarep!$C:$U,15,0)</f>
        <v>77.713857836529456</v>
      </c>
      <c r="L22" s="529" t="str">
        <f t="shared" si="2"/>
        <v>A</v>
      </c>
      <c r="M22" s="528" t="s">
        <v>459</v>
      </c>
    </row>
    <row r="23" spans="1:13" s="540" customFormat="1" ht="15.95" customHeight="1" thickBot="1" x14ac:dyDescent="0.25">
      <c r="A23" s="704"/>
      <c r="B23" s="704"/>
      <c r="C23" s="537" t="s">
        <v>290</v>
      </c>
      <c r="D23" s="536"/>
      <c r="E23" s="535">
        <f>VLOOKUP($C23,datarep!C:U,18,0)</f>
        <v>73.568894130455902</v>
      </c>
      <c r="F23" s="534" t="str">
        <f t="shared" si="0"/>
        <v>B++</v>
      </c>
      <c r="G23" s="541"/>
      <c r="H23" s="533">
        <f t="shared" si="1"/>
        <v>0.78912821506492037</v>
      </c>
      <c r="I23" s="541"/>
      <c r="J23" s="531" t="s">
        <v>460</v>
      </c>
      <c r="K23" s="530">
        <f>VLOOKUP($C23,datarep!$C:$U,15,0)</f>
        <v>72.779765915390982</v>
      </c>
      <c r="L23" s="529" t="str">
        <f t="shared" si="2"/>
        <v>B++</v>
      </c>
      <c r="M23" s="528" t="s">
        <v>459</v>
      </c>
    </row>
    <row r="24" spans="1:13" s="540" customFormat="1" ht="15.95" customHeight="1" thickBot="1" x14ac:dyDescent="0.25">
      <c r="A24" s="704"/>
      <c r="B24" s="704"/>
      <c r="C24" s="537" t="s">
        <v>289</v>
      </c>
      <c r="D24" s="536"/>
      <c r="E24" s="535">
        <f>VLOOKUP($C24,datarep!C:U,18,0)</f>
        <v>72.532996079729656</v>
      </c>
      <c r="F24" s="534" t="str">
        <f t="shared" si="0"/>
        <v>B++</v>
      </c>
      <c r="G24" s="541"/>
      <c r="H24" s="533">
        <f t="shared" si="1"/>
        <v>1.4869371709373951</v>
      </c>
      <c r="I24" s="541"/>
      <c r="J24" s="531" t="s">
        <v>460</v>
      </c>
      <c r="K24" s="530">
        <f>VLOOKUP($C24,datarep!$C:$U,15,0)</f>
        <v>71.046058908792261</v>
      </c>
      <c r="L24" s="529" t="str">
        <f t="shared" si="2"/>
        <v>B++</v>
      </c>
      <c r="M24" s="528" t="s">
        <v>459</v>
      </c>
    </row>
    <row r="25" spans="1:13" s="540" customFormat="1" ht="15.95" customHeight="1" thickBot="1" x14ac:dyDescent="0.25">
      <c r="A25" s="704"/>
      <c r="B25" s="704"/>
      <c r="C25" s="537" t="s">
        <v>444</v>
      </c>
      <c r="D25" s="536"/>
      <c r="E25" s="535">
        <f>VLOOKUP($C25,datarep!C:U,18,0)</f>
        <v>70.312949721632293</v>
      </c>
      <c r="F25" s="534" t="str">
        <f t="shared" si="0"/>
        <v>B++</v>
      </c>
      <c r="G25" s="541"/>
      <c r="H25" s="533">
        <f t="shared" si="1"/>
        <v>0.80362995351899258</v>
      </c>
      <c r="I25" s="541"/>
      <c r="J25" s="531" t="s">
        <v>460</v>
      </c>
      <c r="K25" s="530">
        <f>VLOOKUP($C25,datarep!$C:$U,15,0)</f>
        <v>69.509319768113301</v>
      </c>
      <c r="L25" s="529" t="str">
        <f t="shared" si="2"/>
        <v>B++</v>
      </c>
      <c r="M25" s="528" t="s">
        <v>459</v>
      </c>
    </row>
    <row r="26" spans="1:13" s="540" customFormat="1" ht="15.95" customHeight="1" thickBot="1" x14ac:dyDescent="0.25">
      <c r="A26" s="704"/>
      <c r="B26" s="704"/>
      <c r="C26" s="537" t="s">
        <v>575</v>
      </c>
      <c r="D26" s="536"/>
      <c r="E26" s="535">
        <f>VLOOKUP($C26,datarep!C:U,18,0)</f>
        <v>66.223960937969309</v>
      </c>
      <c r="F26" s="534" t="str">
        <f t="shared" si="0"/>
        <v>B+</v>
      </c>
      <c r="G26" s="541"/>
      <c r="H26" s="533">
        <f t="shared" si="1"/>
        <v>-1.2389124484284935</v>
      </c>
      <c r="I26" s="541"/>
      <c r="J26" s="531" t="s">
        <v>460</v>
      </c>
      <c r="K26" s="530">
        <f>VLOOKUP($C26,datarep!$C:$U,15,0)</f>
        <v>67.462873386397803</v>
      </c>
      <c r="L26" s="529" t="str">
        <f t="shared" si="2"/>
        <v>B+</v>
      </c>
      <c r="M26" s="528" t="s">
        <v>459</v>
      </c>
    </row>
    <row r="27" spans="1:13" s="524" customFormat="1" ht="5.0999999999999996" customHeight="1" x14ac:dyDescent="0.2">
      <c r="A27" s="704"/>
      <c r="B27" s="704"/>
      <c r="C27" s="525"/>
      <c r="D27" s="525"/>
      <c r="E27" s="527"/>
      <c r="F27" s="527"/>
      <c r="G27" s="527"/>
      <c r="H27" s="527"/>
      <c r="I27" s="526"/>
      <c r="J27" s="525"/>
      <c r="K27" s="525"/>
      <c r="L27" s="525"/>
      <c r="M27" s="525"/>
    </row>
    <row r="28" spans="1:13" s="522" customFormat="1" ht="5.0999999999999996" customHeight="1" thickBot="1" x14ac:dyDescent="0.25">
      <c r="A28" s="704"/>
      <c r="B28" s="704"/>
      <c r="C28" s="523"/>
      <c r="D28" s="523"/>
      <c r="E28" s="523"/>
      <c r="F28" s="523"/>
      <c r="G28" s="523"/>
      <c r="H28" s="523"/>
      <c r="I28" s="523"/>
      <c r="J28" s="532"/>
      <c r="K28" s="532"/>
      <c r="L28" s="532"/>
      <c r="M28" s="532"/>
    </row>
    <row r="29" spans="1:13" s="522" customFormat="1" ht="20.100000000000001" customHeight="1" thickBot="1" x14ac:dyDescent="0.25">
      <c r="A29" s="704"/>
      <c r="B29" s="704"/>
      <c r="C29" s="646" t="s">
        <v>461</v>
      </c>
      <c r="D29" s="539"/>
      <c r="E29" s="639">
        <f>VLOOKUP($C29,datarep!C:U,18,0)</f>
        <v>57.731135334644421</v>
      </c>
      <c r="F29" s="640" t="str">
        <f>VLOOKUP(E29,RAT,2,1)</f>
        <v>B</v>
      </c>
      <c r="G29" s="532"/>
      <c r="H29" s="641">
        <f>IF(F29&lt;&gt;L29,(E29-K29)*1000,E29-K29)</f>
        <v>-0.26292647154839699</v>
      </c>
      <c r="I29" s="532"/>
      <c r="J29" s="642" t="s">
        <v>460</v>
      </c>
      <c r="K29" s="643">
        <f>VLOOKUP($C29,datarep!$C:$U,15,0)</f>
        <v>57.994061806192818</v>
      </c>
      <c r="L29" s="644" t="str">
        <f>VLOOKUP(K29,RAT,2,1)</f>
        <v>B</v>
      </c>
      <c r="M29" s="645" t="s">
        <v>459</v>
      </c>
    </row>
    <row r="30" spans="1:13" s="522" customFormat="1" ht="5.0999999999999996" customHeight="1" thickBot="1" x14ac:dyDescent="0.25">
      <c r="A30" s="704"/>
      <c r="B30" s="704"/>
      <c r="C30" s="523"/>
      <c r="D30" s="538"/>
      <c r="E30" s="523"/>
      <c r="F30" s="523"/>
      <c r="G30" s="532"/>
      <c r="H30" s="523"/>
      <c r="I30" s="532"/>
      <c r="J30" s="523"/>
      <c r="K30" s="523"/>
      <c r="L30" s="523"/>
      <c r="M30" s="532"/>
    </row>
    <row r="31" spans="1:13" s="522" customFormat="1" ht="15.6" customHeight="1" thickBot="1" x14ac:dyDescent="0.25">
      <c r="A31" s="704"/>
      <c r="B31" s="704"/>
      <c r="C31" s="537" t="s">
        <v>10</v>
      </c>
      <c r="D31" s="536"/>
      <c r="E31" s="535">
        <f>VLOOKUP($C31,datarep!C:U,18,0)</f>
        <v>78.105258932310477</v>
      </c>
      <c r="F31" s="534" t="str">
        <f t="shared" ref="F31:F53" si="3">VLOOKUP(E31,RAT,2,1)</f>
        <v>A</v>
      </c>
      <c r="G31" s="532"/>
      <c r="H31" s="533">
        <f t="shared" ref="H31:H53" si="4">IF(F31&lt;&gt;L31,(E31-K31)*1000,E31-K31)</f>
        <v>-0.51945108100862569</v>
      </c>
      <c r="I31" s="532"/>
      <c r="J31" s="531" t="s">
        <v>460</v>
      </c>
      <c r="K31" s="530">
        <f>VLOOKUP($C31,datarep!$C:$U,15,0)</f>
        <v>78.624710013319103</v>
      </c>
      <c r="L31" s="529" t="str">
        <f t="shared" ref="L31:L53" si="5">VLOOKUP(K31,RAT,2,1)</f>
        <v>A</v>
      </c>
      <c r="M31" s="528" t="s">
        <v>459</v>
      </c>
    </row>
    <row r="32" spans="1:13" s="522" customFormat="1" ht="15.6" customHeight="1" thickBot="1" x14ac:dyDescent="0.25">
      <c r="A32" s="704"/>
      <c r="B32" s="704"/>
      <c r="C32" s="537" t="s">
        <v>35</v>
      </c>
      <c r="D32" s="536"/>
      <c r="E32" s="535">
        <f>VLOOKUP($C32,datarep!C:U,18,0)</f>
        <v>76.229476646134685</v>
      </c>
      <c r="F32" s="534" t="str">
        <f t="shared" si="3"/>
        <v>B++</v>
      </c>
      <c r="G32" s="532"/>
      <c r="H32" s="533">
        <f t="shared" si="4"/>
        <v>2.3059522573560827</v>
      </c>
      <c r="I32" s="532"/>
      <c r="J32" s="531" t="s">
        <v>460</v>
      </c>
      <c r="K32" s="530">
        <f>VLOOKUP($C32,datarep!$C:$U,15,0)</f>
        <v>73.923524388778603</v>
      </c>
      <c r="L32" s="529" t="str">
        <f t="shared" si="5"/>
        <v>B++</v>
      </c>
      <c r="M32" s="528" t="s">
        <v>459</v>
      </c>
    </row>
    <row r="33" spans="1:13" s="522" customFormat="1" ht="15.6" customHeight="1" thickBot="1" x14ac:dyDescent="0.25">
      <c r="A33" s="704"/>
      <c r="B33" s="704"/>
      <c r="C33" s="537" t="s">
        <v>49</v>
      </c>
      <c r="D33" s="536"/>
      <c r="E33" s="535">
        <f>VLOOKUP($C33,datarep!C:U,18,0)</f>
        <v>68.169145576413669</v>
      </c>
      <c r="F33" s="534" t="str">
        <f t="shared" si="3"/>
        <v>B+</v>
      </c>
      <c r="G33" s="532"/>
      <c r="H33" s="533">
        <f t="shared" si="4"/>
        <v>0.31310261448835774</v>
      </c>
      <c r="I33" s="532"/>
      <c r="J33" s="531" t="s">
        <v>460</v>
      </c>
      <c r="K33" s="530">
        <f>VLOOKUP($C33,datarep!$C:$U,15,0)</f>
        <v>67.856042961925311</v>
      </c>
      <c r="L33" s="529" t="str">
        <f t="shared" si="5"/>
        <v>B+</v>
      </c>
      <c r="M33" s="528" t="s">
        <v>459</v>
      </c>
    </row>
    <row r="34" spans="1:13" s="522" customFormat="1" ht="15.6" customHeight="1" thickBot="1" x14ac:dyDescent="0.25">
      <c r="A34" s="704"/>
      <c r="B34" s="704"/>
      <c r="C34" s="537" t="s">
        <v>47</v>
      </c>
      <c r="D34" s="536"/>
      <c r="E34" s="535">
        <f>VLOOKUP($C34,datarep!C:U,18,0)</f>
        <v>64.071598248597311</v>
      </c>
      <c r="F34" s="534" t="str">
        <f t="shared" si="3"/>
        <v>B+</v>
      </c>
      <c r="G34" s="532"/>
      <c r="H34" s="533">
        <f t="shared" si="4"/>
        <v>-1.3476505276468771</v>
      </c>
      <c r="I34" s="532"/>
      <c r="J34" s="531" t="s">
        <v>460</v>
      </c>
      <c r="K34" s="530">
        <f>VLOOKUP($C34,datarep!$C:$U,15,0)</f>
        <v>65.419248776244189</v>
      </c>
      <c r="L34" s="529" t="str">
        <f t="shared" si="5"/>
        <v>B+</v>
      </c>
      <c r="M34" s="528" t="s">
        <v>459</v>
      </c>
    </row>
    <row r="35" spans="1:13" s="522" customFormat="1" ht="15.6" customHeight="1" thickBot="1" x14ac:dyDescent="0.25">
      <c r="A35" s="704"/>
      <c r="B35" s="704"/>
      <c r="C35" s="537" t="s">
        <v>46</v>
      </c>
      <c r="D35" s="536"/>
      <c r="E35" s="535">
        <f>VLOOKUP($C35,datarep!C:U,18,0)</f>
        <v>61.482174376798284</v>
      </c>
      <c r="F35" s="534" t="str">
        <f t="shared" si="3"/>
        <v>B+</v>
      </c>
      <c r="G35" s="532"/>
      <c r="H35" s="533">
        <f t="shared" si="4"/>
        <v>2757.4035277701228</v>
      </c>
      <c r="I35" s="532"/>
      <c r="J35" s="531" t="s">
        <v>460</v>
      </c>
      <c r="K35" s="530">
        <f>VLOOKUP($C35,datarep!$C:$U,15,0)</f>
        <v>58.724770849028161</v>
      </c>
      <c r="L35" s="529" t="str">
        <f t="shared" si="5"/>
        <v>B</v>
      </c>
      <c r="M35" s="528" t="s">
        <v>459</v>
      </c>
    </row>
    <row r="36" spans="1:13" s="522" customFormat="1" ht="15.6" customHeight="1" thickBot="1" x14ac:dyDescent="0.25">
      <c r="A36" s="704"/>
      <c r="B36" s="704"/>
      <c r="C36" s="537" t="s">
        <v>45</v>
      </c>
      <c r="D36" s="536"/>
      <c r="E36" s="535">
        <f>VLOOKUP($C36,datarep!C:U,18,0)</f>
        <v>60.133179034630295</v>
      </c>
      <c r="F36" s="534" t="str">
        <f t="shared" si="3"/>
        <v>B</v>
      </c>
      <c r="G36" s="532"/>
      <c r="H36" s="533">
        <f t="shared" si="4"/>
        <v>-1.6647379328787792E-2</v>
      </c>
      <c r="I36" s="532"/>
      <c r="J36" s="531" t="s">
        <v>460</v>
      </c>
      <c r="K36" s="530">
        <f>VLOOKUP($C36,datarep!$C:$U,15,0)</f>
        <v>60.149826413959083</v>
      </c>
      <c r="L36" s="529" t="str">
        <f t="shared" si="5"/>
        <v>B</v>
      </c>
      <c r="M36" s="528" t="s">
        <v>459</v>
      </c>
    </row>
    <row r="37" spans="1:13" s="522" customFormat="1" ht="15.6" customHeight="1" thickBot="1" x14ac:dyDescent="0.25">
      <c r="A37" s="704"/>
      <c r="B37" s="704"/>
      <c r="C37" s="537" t="s">
        <v>8</v>
      </c>
      <c r="D37" s="536"/>
      <c r="E37" s="535">
        <f>VLOOKUP($C37,datarep!C:U,18,0)</f>
        <v>58.078296977905993</v>
      </c>
      <c r="F37" s="534" t="str">
        <f t="shared" si="3"/>
        <v>B</v>
      </c>
      <c r="G37" s="532"/>
      <c r="H37" s="533">
        <f t="shared" si="4"/>
        <v>0.67850112163392851</v>
      </c>
      <c r="I37" s="532"/>
      <c r="J37" s="531" t="s">
        <v>460</v>
      </c>
      <c r="K37" s="530">
        <f>VLOOKUP($C37,datarep!$C:$U,15,0)</f>
        <v>57.399795856272064</v>
      </c>
      <c r="L37" s="529" t="str">
        <f t="shared" si="5"/>
        <v>B</v>
      </c>
      <c r="M37" s="528" t="s">
        <v>459</v>
      </c>
    </row>
    <row r="38" spans="1:13" s="522" customFormat="1" ht="15.6" customHeight="1" thickBot="1" x14ac:dyDescent="0.25">
      <c r="A38" s="704"/>
      <c r="B38" s="704"/>
      <c r="C38" s="537" t="s">
        <v>12</v>
      </c>
      <c r="D38" s="536"/>
      <c r="E38" s="535">
        <f>VLOOKUP($C38,datarep!C:U,18,0)</f>
        <v>56.199084613930921</v>
      </c>
      <c r="F38" s="534" t="str">
        <f t="shared" si="3"/>
        <v>B</v>
      </c>
      <c r="G38" s="532"/>
      <c r="H38" s="533">
        <f t="shared" si="4"/>
        <v>-2.1070245551122895</v>
      </c>
      <c r="I38" s="532"/>
      <c r="J38" s="531" t="s">
        <v>460</v>
      </c>
      <c r="K38" s="530">
        <f>VLOOKUP($C38,datarep!$C:$U,15,0)</f>
        <v>58.306109169043211</v>
      </c>
      <c r="L38" s="529" t="str">
        <f t="shared" si="5"/>
        <v>B</v>
      </c>
      <c r="M38" s="528" t="s">
        <v>459</v>
      </c>
    </row>
    <row r="39" spans="1:13" s="522" customFormat="1" ht="15.6" customHeight="1" thickBot="1" x14ac:dyDescent="0.25">
      <c r="A39" s="704"/>
      <c r="B39" s="704"/>
      <c r="C39" s="537" t="s">
        <v>42</v>
      </c>
      <c r="D39" s="536"/>
      <c r="E39" s="535">
        <f>VLOOKUP($C39,datarep!C:U,18,0)</f>
        <v>53.625672703715594</v>
      </c>
      <c r="F39" s="534" t="str">
        <f t="shared" si="3"/>
        <v>B</v>
      </c>
      <c r="G39" s="532"/>
      <c r="H39" s="533">
        <f t="shared" si="4"/>
        <v>-2.4957932414843782</v>
      </c>
      <c r="I39" s="532"/>
      <c r="J39" s="531" t="s">
        <v>460</v>
      </c>
      <c r="K39" s="530">
        <f>VLOOKUP($C39,datarep!$C:$U,15,0)</f>
        <v>56.121465945199972</v>
      </c>
      <c r="L39" s="529" t="str">
        <f t="shared" si="5"/>
        <v>B</v>
      </c>
      <c r="M39" s="528" t="s">
        <v>459</v>
      </c>
    </row>
    <row r="40" spans="1:13" s="522" customFormat="1" ht="15.6" customHeight="1" thickBot="1" x14ac:dyDescent="0.25">
      <c r="A40" s="704"/>
      <c r="B40" s="704"/>
      <c r="C40" s="537" t="s">
        <v>9</v>
      </c>
      <c r="D40" s="536"/>
      <c r="E40" s="535">
        <f>VLOOKUP($C40,datarep!C:U,18,0)</f>
        <v>45.97670118397842</v>
      </c>
      <c r="F40" s="534" t="str">
        <f t="shared" si="3"/>
        <v>C++</v>
      </c>
      <c r="G40" s="532"/>
      <c r="H40" s="533">
        <f t="shared" si="4"/>
        <v>-0.66623368676108186</v>
      </c>
      <c r="I40" s="532"/>
      <c r="J40" s="531" t="s">
        <v>460</v>
      </c>
      <c r="K40" s="530">
        <f>VLOOKUP($C40,datarep!$C:$U,15,0)</f>
        <v>46.642934870739502</v>
      </c>
      <c r="L40" s="529" t="str">
        <f t="shared" si="5"/>
        <v>C++</v>
      </c>
      <c r="M40" s="528" t="s">
        <v>459</v>
      </c>
    </row>
    <row r="41" spans="1:13" s="522" customFormat="1" ht="15.6" customHeight="1" thickBot="1" x14ac:dyDescent="0.25">
      <c r="A41" s="704"/>
      <c r="B41" s="704"/>
      <c r="C41" s="537" t="s">
        <v>48</v>
      </c>
      <c r="D41" s="536"/>
      <c r="E41" s="535">
        <f>VLOOKUP($C41,datarep!C:U,18,0)</f>
        <v>43.860444419563606</v>
      </c>
      <c r="F41" s="534" t="str">
        <f t="shared" si="3"/>
        <v>C+</v>
      </c>
      <c r="G41" s="532"/>
      <c r="H41" s="533">
        <f t="shared" si="4"/>
        <v>-1161.0041284245794</v>
      </c>
      <c r="I41" s="532"/>
      <c r="J41" s="531" t="s">
        <v>460</v>
      </c>
      <c r="K41" s="530">
        <f>VLOOKUP($C41,datarep!$C:$U,15,0)</f>
        <v>45.021448547988186</v>
      </c>
      <c r="L41" s="529" t="str">
        <f t="shared" si="5"/>
        <v>C++</v>
      </c>
      <c r="M41" s="528" t="s">
        <v>459</v>
      </c>
    </row>
    <row r="42" spans="1:13" s="522" customFormat="1" ht="15.6" customHeight="1" thickBot="1" x14ac:dyDescent="0.25">
      <c r="A42" s="704"/>
      <c r="B42" s="704"/>
      <c r="C42" s="537" t="s">
        <v>41</v>
      </c>
      <c r="D42" s="536"/>
      <c r="E42" s="535">
        <f>VLOOKUP($C42,datarep!C:U,18,0)</f>
        <v>43.846556914195631</v>
      </c>
      <c r="F42" s="534" t="str">
        <f t="shared" si="3"/>
        <v>C+</v>
      </c>
      <c r="G42" s="532"/>
      <c r="H42" s="533">
        <f t="shared" si="4"/>
        <v>-0.40122534740637406</v>
      </c>
      <c r="I42" s="532"/>
      <c r="J42" s="531" t="s">
        <v>460</v>
      </c>
      <c r="K42" s="530">
        <f>VLOOKUP($C42,datarep!$C:$U,15,0)</f>
        <v>44.247782261602005</v>
      </c>
      <c r="L42" s="529" t="str">
        <f t="shared" si="5"/>
        <v>C+</v>
      </c>
      <c r="M42" s="528" t="s">
        <v>459</v>
      </c>
    </row>
    <row r="43" spans="1:13" s="522" customFormat="1" ht="15.6" customHeight="1" thickBot="1" x14ac:dyDescent="0.25">
      <c r="A43" s="704"/>
      <c r="B43" s="704"/>
      <c r="C43" s="537" t="s">
        <v>7</v>
      </c>
      <c r="D43" s="536"/>
      <c r="E43" s="535">
        <f>VLOOKUP($C43,datarep!C:U,18,0)</f>
        <v>42.013602511706566</v>
      </c>
      <c r="F43" s="534" t="str">
        <f t="shared" si="3"/>
        <v>C+</v>
      </c>
      <c r="G43" s="532"/>
      <c r="H43" s="533">
        <f t="shared" si="4"/>
        <v>1.592747490862692</v>
      </c>
      <c r="I43" s="532"/>
      <c r="J43" s="531" t="s">
        <v>460</v>
      </c>
      <c r="K43" s="530">
        <f>VLOOKUP($C43,datarep!$C:$U,15,0)</f>
        <v>40.420855020843874</v>
      </c>
      <c r="L43" s="529" t="str">
        <f t="shared" si="5"/>
        <v>C+</v>
      </c>
      <c r="M43" s="528" t="s">
        <v>459</v>
      </c>
    </row>
    <row r="44" spans="1:13" s="522" customFormat="1" ht="15.6" customHeight="1" thickBot="1" x14ac:dyDescent="0.25">
      <c r="A44" s="704"/>
      <c r="B44" s="704"/>
      <c r="C44" s="537" t="s">
        <v>11</v>
      </c>
      <c r="D44" s="536"/>
      <c r="E44" s="535">
        <f>VLOOKUP($C44,datarep!C:U,18,0)</f>
        <v>36.277014962883307</v>
      </c>
      <c r="F44" s="534" t="str">
        <f t="shared" si="3"/>
        <v>C</v>
      </c>
      <c r="G44" s="532"/>
      <c r="H44" s="533">
        <f t="shared" si="4"/>
        <v>0.59722735282499428</v>
      </c>
      <c r="I44" s="532"/>
      <c r="J44" s="531" t="s">
        <v>460</v>
      </c>
      <c r="K44" s="530">
        <f>VLOOKUP($C44,datarep!$C:$U,15,0)</f>
        <v>35.679787610058312</v>
      </c>
      <c r="L44" s="529" t="str">
        <f t="shared" si="5"/>
        <v>C</v>
      </c>
      <c r="M44" s="528" t="s">
        <v>459</v>
      </c>
    </row>
    <row r="45" spans="1:13" s="522" customFormat="1" ht="15.6" customHeight="1" thickBot="1" x14ac:dyDescent="0.25">
      <c r="A45" s="704"/>
      <c r="B45" s="704"/>
      <c r="C45" s="537" t="s">
        <v>36</v>
      </c>
      <c r="D45" s="536"/>
      <c r="E45" s="535">
        <f>VLOOKUP($C45,datarep!C:U,18,0)</f>
        <v>34.500278896598616</v>
      </c>
      <c r="F45" s="534" t="str">
        <f t="shared" si="3"/>
        <v>C</v>
      </c>
      <c r="G45" s="532"/>
      <c r="H45" s="533">
        <f t="shared" si="4"/>
        <v>6.6261356785446424E-5</v>
      </c>
      <c r="I45" s="532"/>
      <c r="J45" s="531" t="s">
        <v>460</v>
      </c>
      <c r="K45" s="530">
        <f>VLOOKUP($C45,datarep!$C:$U,15,0)</f>
        <v>34.50021263524183</v>
      </c>
      <c r="L45" s="529" t="str">
        <f t="shared" si="5"/>
        <v>C</v>
      </c>
      <c r="M45" s="528" t="s">
        <v>459</v>
      </c>
    </row>
    <row r="46" spans="1:13" s="522" customFormat="1" ht="15.6" customHeight="1" thickBot="1" x14ac:dyDescent="0.25">
      <c r="A46" s="704"/>
      <c r="B46" s="704"/>
      <c r="C46" s="537" t="s">
        <v>39</v>
      </c>
      <c r="D46" s="536"/>
      <c r="E46" s="535">
        <f>VLOOKUP($C46,datarep!C:U,18,0)</f>
        <v>32.612244899072664</v>
      </c>
      <c r="F46" s="534" t="str">
        <f t="shared" si="3"/>
        <v>C</v>
      </c>
      <c r="G46" s="532"/>
      <c r="H46" s="533">
        <f t="shared" si="4"/>
        <v>-1.5849287172111417</v>
      </c>
      <c r="I46" s="532"/>
      <c r="J46" s="531" t="s">
        <v>460</v>
      </c>
      <c r="K46" s="530">
        <f>VLOOKUP($C46,datarep!$C:$U,15,0)</f>
        <v>34.197173616283806</v>
      </c>
      <c r="L46" s="529" t="str">
        <f t="shared" si="5"/>
        <v>C</v>
      </c>
      <c r="M46" s="528" t="s">
        <v>459</v>
      </c>
    </row>
    <row r="47" spans="1:13" s="522" customFormat="1" ht="15.6" customHeight="1" thickBot="1" x14ac:dyDescent="0.25">
      <c r="A47" s="704"/>
      <c r="B47" s="704"/>
      <c r="C47" s="537" t="s">
        <v>44</v>
      </c>
      <c r="D47" s="536"/>
      <c r="E47" s="535">
        <f>VLOOKUP($C47,datarep!C:U,18,0)</f>
        <v>30.322692962372965</v>
      </c>
      <c r="F47" s="534" t="str">
        <f t="shared" si="3"/>
        <v>C</v>
      </c>
      <c r="G47" s="532"/>
      <c r="H47" s="533">
        <f t="shared" si="4"/>
        <v>-0.78103556248736794</v>
      </c>
      <c r="I47" s="532"/>
      <c r="J47" s="531" t="s">
        <v>460</v>
      </c>
      <c r="K47" s="530">
        <f>VLOOKUP($C47,datarep!$C:$U,15,0)</f>
        <v>31.103728524860333</v>
      </c>
      <c r="L47" s="529" t="str">
        <f t="shared" si="5"/>
        <v>C</v>
      </c>
      <c r="M47" s="528" t="s">
        <v>459</v>
      </c>
    </row>
    <row r="48" spans="1:13" s="522" customFormat="1" ht="15.6" customHeight="1" thickBot="1" x14ac:dyDescent="0.25">
      <c r="A48" s="704"/>
      <c r="B48" s="704"/>
      <c r="C48" s="537" t="s">
        <v>38</v>
      </c>
      <c r="D48" s="536"/>
      <c r="E48" s="535">
        <f>VLOOKUP($C48,datarep!C:U,18,0)</f>
        <v>27.661738587214685</v>
      </c>
      <c r="F48" s="534" t="str">
        <f t="shared" si="3"/>
        <v>D</v>
      </c>
      <c r="G48" s="532"/>
      <c r="H48" s="533">
        <f t="shared" si="4"/>
        <v>0.31426154005018248</v>
      </c>
      <c r="I48" s="532"/>
      <c r="J48" s="531" t="s">
        <v>460</v>
      </c>
      <c r="K48" s="530">
        <f>VLOOKUP($C48,datarep!$C:$U,15,0)</f>
        <v>27.347477047164503</v>
      </c>
      <c r="L48" s="529" t="str">
        <f t="shared" si="5"/>
        <v>D</v>
      </c>
      <c r="M48" s="528" t="s">
        <v>459</v>
      </c>
    </row>
    <row r="49" spans="1:13" s="522" customFormat="1" ht="15.6" customHeight="1" thickBot="1" x14ac:dyDescent="0.25">
      <c r="A49" s="704"/>
      <c r="B49" s="704"/>
      <c r="C49" s="537" t="s">
        <v>33</v>
      </c>
      <c r="D49" s="536"/>
      <c r="E49" s="535">
        <f>VLOOKUP($C49,datarep!C:U,18,0)</f>
        <v>26.857219774335576</v>
      </c>
      <c r="F49" s="534" t="str">
        <f t="shared" si="3"/>
        <v>D</v>
      </c>
      <c r="G49" s="532"/>
      <c r="H49" s="533">
        <f t="shared" si="4"/>
        <v>-1.4548973847715594</v>
      </c>
      <c r="I49" s="532"/>
      <c r="J49" s="531" t="s">
        <v>460</v>
      </c>
      <c r="K49" s="530">
        <f>VLOOKUP($C49,datarep!$C:$U,15,0)</f>
        <v>28.312117159107135</v>
      </c>
      <c r="L49" s="529" t="str">
        <f t="shared" si="5"/>
        <v>D</v>
      </c>
      <c r="M49" s="528" t="s">
        <v>459</v>
      </c>
    </row>
    <row r="50" spans="1:13" s="522" customFormat="1" ht="15.6" customHeight="1" thickBot="1" x14ac:dyDescent="0.25">
      <c r="A50" s="704"/>
      <c r="B50" s="704"/>
      <c r="C50" s="537" t="s">
        <v>43</v>
      </c>
      <c r="D50" s="536"/>
      <c r="E50" s="535">
        <f>VLOOKUP($C50,datarep!C:U,18,0)</f>
        <v>25.638515916862069</v>
      </c>
      <c r="F50" s="534" t="str">
        <f t="shared" si="3"/>
        <v>D</v>
      </c>
      <c r="G50" s="532"/>
      <c r="H50" s="533">
        <f t="shared" si="4"/>
        <v>-0.81614742777290417</v>
      </c>
      <c r="I50" s="532"/>
      <c r="J50" s="531" t="s">
        <v>460</v>
      </c>
      <c r="K50" s="530">
        <f>VLOOKUP($C50,datarep!$C:$U,15,0)</f>
        <v>26.454663344634973</v>
      </c>
      <c r="L50" s="529" t="str">
        <f t="shared" si="5"/>
        <v>D</v>
      </c>
      <c r="M50" s="528" t="s">
        <v>459</v>
      </c>
    </row>
    <row r="51" spans="1:13" s="522" customFormat="1" ht="15.6" customHeight="1" thickBot="1" x14ac:dyDescent="0.25">
      <c r="A51" s="704"/>
      <c r="B51" s="704"/>
      <c r="C51" s="537" t="s">
        <v>37</v>
      </c>
      <c r="D51" s="536"/>
      <c r="E51" s="535">
        <f>VLOOKUP($C51,datarep!C:U,18,0)</f>
        <v>23.963987489614343</v>
      </c>
      <c r="F51" s="534" t="str">
        <f t="shared" si="3"/>
        <v>D</v>
      </c>
      <c r="G51" s="532"/>
      <c r="H51" s="533">
        <f t="shared" si="4"/>
        <v>-0.47660476872193769</v>
      </c>
      <c r="I51" s="532"/>
      <c r="J51" s="531" t="s">
        <v>460</v>
      </c>
      <c r="K51" s="530">
        <f>VLOOKUP($C51,datarep!$C:$U,15,0)</f>
        <v>24.440592258336281</v>
      </c>
      <c r="L51" s="529" t="str">
        <f t="shared" si="5"/>
        <v>D</v>
      </c>
      <c r="M51" s="528" t="s">
        <v>459</v>
      </c>
    </row>
    <row r="52" spans="1:13" s="522" customFormat="1" ht="15.6" customHeight="1" thickBot="1" x14ac:dyDescent="0.25">
      <c r="A52" s="704"/>
      <c r="B52" s="704"/>
      <c r="C52" s="537" t="s">
        <v>40</v>
      </c>
      <c r="D52" s="536"/>
      <c r="E52" s="535">
        <f>VLOOKUP($C52,datarep!C:U,18,0)</f>
        <v>20.360388682293543</v>
      </c>
      <c r="F52" s="534" t="str">
        <f t="shared" si="3"/>
        <v>D</v>
      </c>
      <c r="G52" s="532"/>
      <c r="H52" s="533">
        <f t="shared" si="4"/>
        <v>-3.0955691720627954E-2</v>
      </c>
      <c r="I52" s="532"/>
      <c r="J52" s="531" t="s">
        <v>460</v>
      </c>
      <c r="K52" s="530">
        <f>VLOOKUP($C52,datarep!$C:$U,15,0)</f>
        <v>20.391344374014171</v>
      </c>
      <c r="L52" s="529" t="str">
        <f t="shared" si="5"/>
        <v>D</v>
      </c>
      <c r="M52" s="528" t="s">
        <v>459</v>
      </c>
    </row>
    <row r="53" spans="1:13" s="522" customFormat="1" ht="15.6" customHeight="1" thickBot="1" x14ac:dyDescent="0.25">
      <c r="A53" s="704"/>
      <c r="B53" s="704"/>
      <c r="C53" s="537" t="s">
        <v>34</v>
      </c>
      <c r="D53" s="536"/>
      <c r="E53" s="535">
        <f>VLOOKUP($C53,datarep!C:U,18,0)</f>
        <v>9.5247985488725213</v>
      </c>
      <c r="F53" s="534" t="str">
        <f t="shared" si="3"/>
        <v>D</v>
      </c>
      <c r="G53" s="532"/>
      <c r="H53" s="533">
        <f t="shared" si="4"/>
        <v>-2.9288254292167082E-2</v>
      </c>
      <c r="I53" s="532"/>
      <c r="J53" s="531" t="s">
        <v>460</v>
      </c>
      <c r="K53" s="530">
        <f>VLOOKUP($C53,datarep!$C:$U,15,0)</f>
        <v>9.5540868031646884</v>
      </c>
      <c r="L53" s="529" t="str">
        <f t="shared" si="5"/>
        <v>D</v>
      </c>
      <c r="M53" s="528" t="s">
        <v>459</v>
      </c>
    </row>
    <row r="54" spans="1:13" s="524" customFormat="1" ht="5.0999999999999996" customHeight="1" x14ac:dyDescent="0.2">
      <c r="A54" s="704"/>
      <c r="B54" s="704"/>
      <c r="C54" s="525"/>
      <c r="D54" s="525"/>
      <c r="E54" s="527"/>
      <c r="F54" s="527"/>
      <c r="G54" s="527"/>
      <c r="H54" s="527"/>
      <c r="I54" s="526"/>
      <c r="J54" s="525"/>
      <c r="K54" s="525"/>
      <c r="L54" s="525"/>
      <c r="M54" s="525"/>
    </row>
    <row r="55" spans="1:13" s="522" customFormat="1" ht="6.75" customHeight="1" x14ac:dyDescent="0.2">
      <c r="A55" s="556"/>
      <c r="B55" s="556"/>
      <c r="C55" s="523"/>
      <c r="D55" s="523"/>
      <c r="E55" s="523"/>
      <c r="F55" s="523"/>
      <c r="G55" s="523"/>
      <c r="H55" s="523"/>
      <c r="I55" s="523"/>
    </row>
    <row r="56" spans="1:13" ht="5.25" customHeight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  <row r="61" spans="1:13" hidden="1" x14ac:dyDescent="0.2"/>
    <row r="62" spans="1:13" hidden="1" x14ac:dyDescent="0.2"/>
    <row r="63" spans="1:13" hidden="1" x14ac:dyDescent="0.2"/>
    <row r="64" spans="1:13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</sheetData>
  <sheetProtection sheet="1" objects="1" scenarios="1" selectLockedCells="1" selectUnlockedCells="1"/>
  <sortState ref="C31:E53">
    <sortCondition descending="1" ref="E31:E53"/>
  </sortState>
  <mergeCells count="11">
    <mergeCell ref="C10:G10"/>
    <mergeCell ref="H10:M10"/>
    <mergeCell ref="E12:F12"/>
    <mergeCell ref="A2:B54"/>
    <mergeCell ref="J12:M12"/>
    <mergeCell ref="C2:M2"/>
    <mergeCell ref="C4:M4"/>
    <mergeCell ref="C6:G6"/>
    <mergeCell ref="H6:M6"/>
    <mergeCell ref="C8:G8"/>
    <mergeCell ref="H8:M8"/>
  </mergeCells>
  <conditionalFormatting sqref="E29 E15 E18 E20:E26 E31:E53 K15 K18 K20:K26 K29 K31:K53">
    <cfRule type="iconSet" priority="1">
      <iconSet iconSet="4TrafficLights" showValue="0">
        <cfvo type="percent" val="0"/>
        <cfvo type="num" val="29"/>
        <cfvo type="num" val="53"/>
        <cfvo type="num" val="77"/>
      </iconSet>
    </cfRule>
  </conditionalFormatting>
  <conditionalFormatting sqref="H29 H15 H18 H20:H26 H31:H53">
    <cfRule type="iconSet" priority="2">
      <iconSet iconSet="5Arrows" showValue="0">
        <cfvo type="percent" val="0"/>
        <cfvo type="num" val="-100"/>
        <cfvo type="num" val="-0.1"/>
        <cfvo type="num" val="0.1"/>
        <cfvo type="num" val="100"/>
      </iconSet>
    </cfRule>
  </conditionalFormatting>
  <printOptions horizontalCentered="1" verticalCentered="1"/>
  <pageMargins left="0" right="0.11811023622047245" top="0.19685039370078741" bottom="0.19685039370078741" header="0.31496062992125984" footer="0.31496062992125984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-0.249977111117893"/>
    <pageSetUpPr autoPageBreaks="0" fitToPage="1"/>
  </sheetPr>
  <dimension ref="A1:W38"/>
  <sheetViews>
    <sheetView showGridLines="0" showRowColHeaders="0" tabSelected="1" topLeftCell="A2" workbookViewId="0">
      <selection activeCell="L5" sqref="L5:O5"/>
    </sheetView>
  </sheetViews>
  <sheetFormatPr defaultColWidth="0" defaultRowHeight="0" customHeight="1" zeroHeight="1" x14ac:dyDescent="0.2"/>
  <cols>
    <col min="1" max="1" width="1.83203125" style="475" customWidth="1"/>
    <col min="2" max="2" width="5.1640625" customWidth="1"/>
    <col min="3" max="3" width="33" style="475" customWidth="1"/>
    <col min="4" max="4" width="3.83203125" style="475" customWidth="1"/>
    <col min="5" max="5" width="4" style="475" customWidth="1"/>
    <col min="6" max="6" width="5.1640625" style="475" customWidth="1"/>
    <col min="7" max="7" width="1" style="475" customWidth="1"/>
    <col min="8" max="8" width="14.83203125" style="475" customWidth="1"/>
    <col min="9" max="9" width="13.83203125" style="475" customWidth="1"/>
    <col min="10" max="10" width="9.6640625" style="475" customWidth="1"/>
    <col min="11" max="11" width="15.83203125" style="475" customWidth="1"/>
    <col min="12" max="12" width="9.6640625" style="475" customWidth="1"/>
    <col min="13" max="13" width="13.83203125" style="475" customWidth="1"/>
    <col min="14" max="15" width="9.6640625" style="475" customWidth="1"/>
    <col min="16" max="16" width="15.83203125" style="475" customWidth="1"/>
    <col min="17" max="17" width="13.83203125" style="475" customWidth="1"/>
    <col min="18" max="18" width="9.6640625" style="475" customWidth="1"/>
    <col min="19" max="19" width="15.83203125" style="475" customWidth="1"/>
    <col min="20" max="20" width="1.5" style="388" customWidth="1"/>
    <col min="21" max="21" width="1.83203125" style="388" customWidth="1"/>
    <col min="22" max="22" width="9.33203125" hidden="1" customWidth="1"/>
    <col min="23" max="23" width="0" hidden="1" customWidth="1"/>
    <col min="24" max="16384" width="9.33203125" hidden="1"/>
  </cols>
  <sheetData>
    <row r="1" spans="1:21" ht="0" hidden="1" customHeight="1" x14ac:dyDescent="0.2"/>
    <row r="2" spans="1:21" s="14" customFormat="1" ht="28.5" customHeight="1" x14ac:dyDescent="0.2">
      <c r="A2" s="647"/>
      <c r="B2" s="725" t="str">
        <f>'III. Souhrn SMO'!B2:N2</f>
        <v>SYSTÉM SDRUŽENÝCH NÁKUPŮ - STATUTÁRNÍ MĚSTO OSTRAVA</v>
      </c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  <c r="P2" s="725"/>
      <c r="Q2" s="725"/>
      <c r="R2" s="725"/>
      <c r="S2" s="725"/>
      <c r="T2" s="474"/>
      <c r="U2" s="474"/>
    </row>
    <row r="3" spans="1:21" s="14" customFormat="1" ht="18" customHeight="1" x14ac:dyDescent="0.2">
      <c r="A3" s="474"/>
      <c r="B3" s="726" t="s">
        <v>252</v>
      </c>
      <c r="C3" s="726"/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6"/>
      <c r="O3" s="726"/>
      <c r="P3" s="726"/>
      <c r="Q3" s="726"/>
      <c r="R3" s="726"/>
      <c r="S3" s="726"/>
      <c r="T3" s="474"/>
      <c r="U3" s="474"/>
    </row>
    <row r="4" spans="1:21" s="475" customFormat="1" ht="15" customHeight="1" thickBot="1" x14ac:dyDescent="0.25">
      <c r="B4" s="488"/>
      <c r="C4" s="724" t="s">
        <v>324</v>
      </c>
      <c r="D4" s="724"/>
      <c r="E4" s="724"/>
      <c r="F4" s="724"/>
      <c r="G4" s="724"/>
      <c r="H4" s="724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</row>
    <row r="5" spans="1:21" s="475" customFormat="1" ht="24.95" customHeight="1" thickTop="1" thickBot="1" x14ac:dyDescent="0.25">
      <c r="B5" s="489" t="s">
        <v>80</v>
      </c>
      <c r="C5" s="728" t="s">
        <v>346</v>
      </c>
      <c r="D5" s="729"/>
      <c r="E5" s="492"/>
      <c r="F5" s="707" t="s">
        <v>79</v>
      </c>
      <c r="G5" s="708"/>
      <c r="H5" s="715" t="s">
        <v>81</v>
      </c>
      <c r="I5" s="716"/>
      <c r="J5" s="717"/>
      <c r="K5" s="493" t="s">
        <v>390</v>
      </c>
      <c r="L5" s="715" t="s">
        <v>51</v>
      </c>
      <c r="M5" s="716"/>
      <c r="N5" s="716"/>
      <c r="O5" s="717"/>
      <c r="P5" s="494"/>
      <c r="Q5" s="718" t="str">
        <f>"za období : "&amp;obdobi</f>
        <v>za období : LEDEN-ZÁŘÍ 2016</v>
      </c>
      <c r="R5" s="719"/>
      <c r="S5" s="720"/>
      <c r="T5" s="492"/>
    </row>
    <row r="6" spans="1:21" s="475" customFormat="1" ht="8.1" customHeight="1" thickTop="1" x14ac:dyDescent="0.2">
      <c r="B6" s="490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492"/>
    </row>
    <row r="7" spans="1:21" s="475" customFormat="1" ht="20.100000000000001" customHeight="1" x14ac:dyDescent="0.25">
      <c r="B7" s="735"/>
      <c r="C7" s="736"/>
      <c r="D7" s="736"/>
      <c r="E7" s="159"/>
      <c r="F7" s="159"/>
      <c r="G7" s="159"/>
      <c r="H7" s="7"/>
      <c r="I7" s="709" t="str">
        <f>"Rating-váha Evidence : "&amp;vahaE&amp;"%"</f>
        <v>Rating-váha Evidence : 40%</v>
      </c>
      <c r="J7" s="709"/>
      <c r="K7" s="709"/>
      <c r="L7" s="750" t="str">
        <f>"Rating-váha Zařazených : "&amp;vahaD&amp;"%"</f>
        <v>Rating-váha Zařazených : 60%</v>
      </c>
      <c r="M7" s="750"/>
      <c r="N7" s="750"/>
      <c r="O7" s="750"/>
      <c r="P7" s="750"/>
      <c r="Q7" s="722"/>
      <c r="R7" s="723"/>
      <c r="S7" s="723"/>
      <c r="T7" s="723"/>
    </row>
    <row r="8" spans="1:21" s="475" customFormat="1" ht="39.950000000000003" customHeight="1" x14ac:dyDescent="0.2">
      <c r="B8" s="732"/>
      <c r="C8" s="733"/>
      <c r="D8" s="734"/>
      <c r="E8" s="740" t="s">
        <v>249</v>
      </c>
      <c r="F8" s="741"/>
      <c r="G8" s="742"/>
      <c r="H8" s="730" t="s">
        <v>596</v>
      </c>
      <c r="I8" s="746" t="s">
        <v>82</v>
      </c>
      <c r="J8" s="747"/>
      <c r="K8" s="748"/>
      <c r="L8" s="727" t="s">
        <v>377</v>
      </c>
      <c r="M8" s="727"/>
      <c r="N8" s="727"/>
      <c r="O8" s="727"/>
      <c r="P8" s="727"/>
      <c r="Q8" s="711" t="s">
        <v>30</v>
      </c>
      <c r="R8" s="712"/>
      <c r="S8" s="712"/>
      <c r="T8" s="712"/>
    </row>
    <row r="9" spans="1:21" s="475" customFormat="1" ht="30" customHeight="1" x14ac:dyDescent="0.2">
      <c r="B9" s="732"/>
      <c r="C9" s="733"/>
      <c r="D9" s="734"/>
      <c r="E9" s="743"/>
      <c r="F9" s="744"/>
      <c r="G9" s="745"/>
      <c r="H9" s="731"/>
      <c r="I9" s="472" t="s">
        <v>83</v>
      </c>
      <c r="J9" s="713" t="s">
        <v>84</v>
      </c>
      <c r="K9" s="721"/>
      <c r="L9" s="472" t="s">
        <v>244</v>
      </c>
      <c r="M9" s="472" t="s">
        <v>83</v>
      </c>
      <c r="N9" s="472" t="s">
        <v>385</v>
      </c>
      <c r="O9" s="713" t="s">
        <v>386</v>
      </c>
      <c r="P9" s="721"/>
      <c r="Q9" s="473" t="s">
        <v>83</v>
      </c>
      <c r="R9" s="713" t="s">
        <v>242</v>
      </c>
      <c r="S9" s="714"/>
      <c r="T9" s="308"/>
    </row>
    <row r="10" spans="1:21" s="475" customFormat="1" ht="11.25" customHeight="1" x14ac:dyDescent="0.2">
      <c r="B10" s="732"/>
      <c r="C10" s="733"/>
      <c r="D10" s="734"/>
      <c r="E10" s="737">
        <v>1</v>
      </c>
      <c r="F10" s="738"/>
      <c r="G10" s="739"/>
      <c r="H10" s="149">
        <v>2</v>
      </c>
      <c r="I10" s="127">
        <v>3</v>
      </c>
      <c r="J10" s="710">
        <v>4</v>
      </c>
      <c r="K10" s="749"/>
      <c r="L10" s="128">
        <v>5</v>
      </c>
      <c r="M10" s="129">
        <v>6</v>
      </c>
      <c r="N10" s="129">
        <v>7</v>
      </c>
      <c r="O10" s="710">
        <v>8</v>
      </c>
      <c r="P10" s="749"/>
      <c r="Q10" s="127">
        <v>9</v>
      </c>
      <c r="R10" s="710">
        <v>10</v>
      </c>
      <c r="S10" s="710"/>
      <c r="T10" s="307"/>
    </row>
    <row r="11" spans="1:21" s="475" customFormat="1" ht="24.95" customHeight="1" x14ac:dyDescent="0.2">
      <c r="B11" s="75"/>
      <c r="C11" s="148" t="s">
        <v>243</v>
      </c>
      <c r="D11" s="520" t="str">
        <f>IF(Org_nast!$E$4&gt;1,"▲","")</f>
        <v/>
      </c>
      <c r="E11" s="300">
        <f>Org_dat!H4</f>
        <v>68.832856929251761</v>
      </c>
      <c r="F11" s="303" t="str">
        <f>IF(ISERROR(VLOOKUP(E11,vstupy!$B$41:$C$50,2,1)),"",VLOOKUP(E11,vstupy!$B$41:$C$50,2,1))</f>
        <v>B+</v>
      </c>
      <c r="G11" s="273"/>
      <c r="H11" s="333">
        <f>Org_dat!E4</f>
        <v>2863830234.7059417</v>
      </c>
      <c r="I11" s="334">
        <f>Org_dat!F4</f>
        <v>1512178006.0000002</v>
      </c>
      <c r="J11" s="335">
        <f>Org_dat!G4</f>
        <v>0.5280264129047687</v>
      </c>
      <c r="K11" s="336">
        <f>Org_nast!N8</f>
        <v>0.8</v>
      </c>
      <c r="L11" s="337">
        <f>Org_dat!H3</f>
        <v>0.21301352798726786</v>
      </c>
      <c r="M11" s="334">
        <f>Org_dat!I4</f>
        <v>376202580.11000031</v>
      </c>
      <c r="N11" s="335">
        <f>Org_dat!J4</f>
        <v>0.1313634361251266</v>
      </c>
      <c r="O11" s="335">
        <f>Org_dat!K4</f>
        <v>0.61669058001320176</v>
      </c>
      <c r="P11" s="336"/>
      <c r="Q11" s="338">
        <f>Org_dat!L4</f>
        <v>99956309.510000005</v>
      </c>
      <c r="R11" s="339">
        <f>Q11/(M11+Q11)</f>
        <v>0.20992217448627362</v>
      </c>
      <c r="S11" s="130"/>
      <c r="T11" s="308"/>
    </row>
    <row r="12" spans="1:21" s="475" customFormat="1" ht="12.6" customHeight="1" x14ac:dyDescent="0.2">
      <c r="B12" s="76">
        <f ca="1">IF(C12&lt;&gt;"",OFFSET(Org_nast!C9,Org_nast!$E$4,0,1,1),0)</f>
        <v>1</v>
      </c>
      <c r="C12" s="142" t="str">
        <f ca="1">OFFSET(Org_nast!J9,Org_nast!$E$4,0,1,1)</f>
        <v>Středisko volného času Korunka</v>
      </c>
      <c r="D12" s="143"/>
      <c r="E12" s="150">
        <f ca="1">OFFSET(Org_nast!K9,Org_nast!$E$4,0,1,1)</f>
        <v>100</v>
      </c>
      <c r="F12" s="304" t="str">
        <f ca="1">IF(ISERROR(VLOOKUP(E12,vstupy!$B$41:$C$50,2,1)),"",VLOOKUP(E12,vstupy!$B$41:$C$50,2,1))</f>
        <v>A++</v>
      </c>
      <c r="G12" s="302"/>
      <c r="H12" s="325">
        <f ca="1">OFFSET(Org_nast!L9,Org_nast!$E$4,0,1,1)</f>
        <v>2686500</v>
      </c>
      <c r="I12" s="326">
        <f ca="1">OFFSET(Org_nast!M9,Org_nast!$E$4,0,1,1)</f>
        <v>3169364.1100000003</v>
      </c>
      <c r="J12" s="133">
        <f ca="1">OFFSET(Org_nast!N9,Org_nast!$E$4,0,1,1)</f>
        <v>1.1797372454866928</v>
      </c>
      <c r="K12" s="131"/>
      <c r="L12" s="135">
        <f ca="1">OFFSET(Org_nast!O9,Org_nast!$E$4,0,1,1)</f>
        <v>0.06</v>
      </c>
      <c r="M12" s="329">
        <f ca="1">OFFSET(Org_nast!P9,Org_nast!$E$4,0,1,1)</f>
        <v>249444.34000000003</v>
      </c>
      <c r="N12" s="313">
        <f ca="1">OFFSET(Org_nast!Q9,Org_nast!$E$4,0,1,1)</f>
        <v>9.2851047831751354E-2</v>
      </c>
      <c r="O12" s="133">
        <f ca="1">OFFSET(Org_nast!R9,Org_nast!$E$4,0,1,1)</f>
        <v>1.5475174638625226</v>
      </c>
      <c r="P12" s="132"/>
      <c r="Q12" s="331">
        <f ca="1">OFFSET(Org_nast!S9,Org_nast!$E$4,0,1,1)</f>
        <v>121399.31</v>
      </c>
      <c r="R12" s="133">
        <f ca="1">OFFSET(Org_nast!T9,Org_nast!$E$4,0,1,1)</f>
        <v>0.32735981861897862</v>
      </c>
      <c r="S12" s="153"/>
      <c r="T12" s="309"/>
    </row>
    <row r="13" spans="1:21" s="475" customFormat="1" ht="12.6" customHeight="1" x14ac:dyDescent="0.2">
      <c r="B13" s="77">
        <f ca="1">IF(C13&lt;&gt;"",OFFSET(Org_nast!C10,Org_nast!$E$4,0,1,1),0)</f>
        <v>2</v>
      </c>
      <c r="C13" s="144" t="str">
        <f ca="1">OFFSET(Org_nast!J10,Org_nast!$E$4,0,1,1)</f>
        <v>Křesťanská MŠ Ostrava-Mariánské Hory</v>
      </c>
      <c r="D13" s="145"/>
      <c r="E13" s="151">
        <f ca="1">OFFSET(Org_nast!K10,Org_nast!$E$4,0,1,1)</f>
        <v>100</v>
      </c>
      <c r="F13" s="305" t="str">
        <f ca="1">IF(ISERROR(VLOOKUP(E13,vstupy!$B$41:$C$50,2,1)),"",VLOOKUP(E13,vstupy!$B$41:$C$50,2,1))</f>
        <v>A++</v>
      </c>
      <c r="G13" s="145"/>
      <c r="H13" s="325">
        <f ca="1">OFFSET(Org_nast!L10,Org_nast!$E$4,0,1,1)</f>
        <v>1509000</v>
      </c>
      <c r="I13" s="326">
        <f ca="1">OFFSET(Org_nast!M10,Org_nast!$E$4,0,1,1)</f>
        <v>1216515.6000000001</v>
      </c>
      <c r="J13" s="133">
        <f ca="1">OFFSET(Org_nast!N10,Org_nast!$E$4,0,1,1)</f>
        <v>0.80617335984095428</v>
      </c>
      <c r="K13" s="134"/>
      <c r="L13" s="135">
        <f ca="1">OFFSET(Org_nast!O10,Org_nast!$E$4,0,1,1)</f>
        <v>0.24970000000000001</v>
      </c>
      <c r="M13" s="329">
        <f ca="1">OFFSET(Org_nast!P10,Org_nast!$E$4,0,1,1)</f>
        <v>481628.57</v>
      </c>
      <c r="N13" s="313">
        <f ca="1">OFFSET(Org_nast!Q10,Org_nast!$E$4,0,1,1)</f>
        <v>0.31917068919814445</v>
      </c>
      <c r="O13" s="133">
        <f ca="1">OFFSET(Org_nast!R10,Org_nast!$E$4,0,1,1)</f>
        <v>1.2782166167326572</v>
      </c>
      <c r="P13" s="136"/>
      <c r="Q13" s="331">
        <f ca="1">OFFSET(Org_nast!S10,Org_nast!$E$4,0,1,1)</f>
        <v>119806.56999999999</v>
      </c>
      <c r="R13" s="133">
        <f ca="1">OFFSET(Org_nast!T10,Org_nast!$E$4,0,1,1)</f>
        <v>0.19920114744209988</v>
      </c>
      <c r="S13" s="154"/>
      <c r="T13" s="310"/>
    </row>
    <row r="14" spans="1:21" s="475" customFormat="1" ht="12.6" customHeight="1" x14ac:dyDescent="0.2">
      <c r="B14" s="77">
        <f ca="1">IF(C14&lt;&gt;"",OFFSET(Org_nast!C11,Org_nast!$E$4,0,1,1),0)</f>
        <v>3</v>
      </c>
      <c r="C14" s="144" t="str">
        <f ca="1">OFFSET(Org_nast!J11,Org_nast!$E$4,0,1,1)</f>
        <v>Středisko volného času O-Zábřeh</v>
      </c>
      <c r="D14" s="145"/>
      <c r="E14" s="151">
        <f ca="1">OFFSET(Org_nast!K11,Org_nast!$E$4,0,1,1)</f>
        <v>100</v>
      </c>
      <c r="F14" s="305" t="str">
        <f ca="1">IF(ISERROR(VLOOKUP(E14,vstupy!$B$41:$C$50,2,1)),"",VLOOKUP(E14,vstupy!$B$41:$C$50,2,1))</f>
        <v>A++</v>
      </c>
      <c r="G14" s="145"/>
      <c r="H14" s="325">
        <f ca="1">OFFSET(Org_nast!L11,Org_nast!$E$4,0,1,1)</f>
        <v>4118250</v>
      </c>
      <c r="I14" s="326">
        <f ca="1">OFFSET(Org_nast!M11,Org_nast!$E$4,0,1,1)</f>
        <v>3834374.7399999998</v>
      </c>
      <c r="J14" s="133">
        <f ca="1">OFFSET(Org_nast!N11,Org_nast!$E$4,0,1,1)</f>
        <v>0.93106895890244634</v>
      </c>
      <c r="K14" s="134"/>
      <c r="L14" s="135">
        <f ca="1">OFFSET(Org_nast!O11,Org_nast!$E$4,0,1,1)</f>
        <v>0.15</v>
      </c>
      <c r="M14" s="329">
        <f ca="1">OFFSET(Org_nast!P11,Org_nast!$E$4,0,1,1)</f>
        <v>748251.53</v>
      </c>
      <c r="N14" s="313">
        <f ca="1">OFFSET(Org_nast!Q11,Org_nast!$E$4,0,1,1)</f>
        <v>0.181691623869362</v>
      </c>
      <c r="O14" s="133">
        <f ca="1">OFFSET(Org_nast!R11,Org_nast!$E$4,0,1,1)</f>
        <v>1.2112774924624132</v>
      </c>
      <c r="P14" s="136"/>
      <c r="Q14" s="331">
        <f ca="1">OFFSET(Org_nast!S11,Org_nast!$E$4,0,1,1)</f>
        <v>304366.12</v>
      </c>
      <c r="R14" s="133">
        <f ca="1">OFFSET(Org_nast!T11,Org_nast!$E$4,0,1,1)</f>
        <v>0.28915164019907896</v>
      </c>
      <c r="S14" s="154"/>
      <c r="T14" s="310"/>
    </row>
    <row r="15" spans="1:21" s="475" customFormat="1" ht="12.6" customHeight="1" x14ac:dyDescent="0.2">
      <c r="B15" s="77">
        <f ca="1">IF(C15&lt;&gt;"",OFFSET(Org_nast!C12,Org_nast!$E$4,0,1,1),0)</f>
        <v>4</v>
      </c>
      <c r="C15" s="144" t="str">
        <f ca="1">OFFSET(Org_nast!J12,Org_nast!$E$4,0,1,1)</f>
        <v>ZŠ O-Stará Bělá</v>
      </c>
      <c r="D15" s="145"/>
      <c r="E15" s="151">
        <f ca="1">OFFSET(Org_nast!K12,Org_nast!$E$4,0,1,1)</f>
        <v>98.274306829471527</v>
      </c>
      <c r="F15" s="305" t="str">
        <f ca="1">IF(ISERROR(VLOOKUP(E15,vstupy!$B$41:$C$50,2,1)),"",VLOOKUP(E15,vstupy!$B$41:$C$50,2,1))</f>
        <v>A++</v>
      </c>
      <c r="G15" s="145"/>
      <c r="H15" s="325">
        <f ca="1">OFFSET(Org_nast!L12,Org_nast!$E$4,0,1,1)</f>
        <v>3900375</v>
      </c>
      <c r="I15" s="326">
        <f ca="1">OFFSET(Org_nast!M12,Org_nast!$E$4,0,1,1)</f>
        <v>2985682.99</v>
      </c>
      <c r="J15" s="133">
        <f ca="1">OFFSET(Org_nast!N12,Org_nast!$E$4,0,1,1)</f>
        <v>0.76548613658943054</v>
      </c>
      <c r="K15" s="134"/>
      <c r="L15" s="135">
        <f ca="1">OFFSET(Org_nast!O12,Org_nast!$E$4,0,1,1)</f>
        <v>0.2802</v>
      </c>
      <c r="M15" s="329">
        <f ca="1">OFFSET(Org_nast!P12,Org_nast!$E$4,0,1,1)</f>
        <v>1214219.19</v>
      </c>
      <c r="N15" s="313">
        <f ca="1">OFFSET(Org_nast!Q12,Org_nast!$E$4,0,1,1)</f>
        <v>0.31130832035381212</v>
      </c>
      <c r="O15" s="133">
        <f ca="1">OFFSET(Org_nast!R12,Org_nast!$E$4,0,1,1)</f>
        <v>1.1110218428044687</v>
      </c>
      <c r="P15" s="136"/>
      <c r="Q15" s="331">
        <f ca="1">OFFSET(Org_nast!S12,Org_nast!$E$4,0,1,1)</f>
        <v>267903.61</v>
      </c>
      <c r="R15" s="133">
        <f ca="1">OFFSET(Org_nast!T12,Org_nast!$E$4,0,1,1)</f>
        <v>0.18075668898690447</v>
      </c>
      <c r="S15" s="154"/>
      <c r="T15" s="310"/>
    </row>
    <row r="16" spans="1:21" s="475" customFormat="1" ht="12.6" customHeight="1" x14ac:dyDescent="0.2">
      <c r="B16" s="77">
        <f ca="1">IF(C16&lt;&gt;"",OFFSET(Org_nast!C13,Org_nast!$E$4,0,1,1),0)</f>
        <v>5</v>
      </c>
      <c r="C16" s="144" t="str">
        <f ca="1">OFFSET(Org_nast!J13,Org_nast!$E$4,0,1,1)</f>
        <v>Knihovna města Ostravy</v>
      </c>
      <c r="D16" s="145"/>
      <c r="E16" s="151">
        <f ca="1">OFFSET(Org_nast!K13,Org_nast!$E$4,0,1,1)</f>
        <v>97.366516207680235</v>
      </c>
      <c r="F16" s="305" t="str">
        <f ca="1">IF(ISERROR(VLOOKUP(E16,vstupy!$B$41:$C$50,2,1)),"",VLOOKUP(E16,vstupy!$B$41:$C$50,2,1))</f>
        <v>A++</v>
      </c>
      <c r="G16" s="145"/>
      <c r="H16" s="325">
        <f ca="1">OFFSET(Org_nast!L13,Org_nast!$E$4,0,1,1)</f>
        <v>9823275</v>
      </c>
      <c r="I16" s="326">
        <f ca="1">OFFSET(Org_nast!M13,Org_nast!$E$4,0,1,1)</f>
        <v>7341231.29</v>
      </c>
      <c r="J16" s="133">
        <f ca="1">OFFSET(Org_nast!N13,Org_nast!$E$4,0,1,1)</f>
        <v>0.74733032415360456</v>
      </c>
      <c r="K16" s="134"/>
      <c r="L16" s="135">
        <f ca="1">OFFSET(Org_nast!O13,Org_nast!$E$4,0,1,1)</f>
        <v>0.23924987180665169</v>
      </c>
      <c r="M16" s="329">
        <f ca="1">OFFSET(Org_nast!P13,Org_nast!$E$4,0,1,1)</f>
        <v>2676858.7400000002</v>
      </c>
      <c r="N16" s="313">
        <f ca="1">OFFSET(Org_nast!Q13,Org_nast!$E$4,0,1,1)</f>
        <v>0.27250165957890826</v>
      </c>
      <c r="O16" s="133">
        <f ca="1">OFFSET(Org_nast!R13,Org_nast!$E$4,0,1,1)</f>
        <v>1.1389835134337243</v>
      </c>
      <c r="P16" s="136"/>
      <c r="Q16" s="331">
        <f ca="1">OFFSET(Org_nast!S13,Org_nast!$E$4,0,1,1)</f>
        <v>1752046.0899999999</v>
      </c>
      <c r="R16" s="133">
        <f ca="1">OFFSET(Org_nast!T13,Org_nast!$E$4,0,1,1)</f>
        <v>0.39559352870537973</v>
      </c>
      <c r="S16" s="154"/>
      <c r="T16" s="310"/>
    </row>
    <row r="17" spans="2:20" s="475" customFormat="1" ht="12.6" customHeight="1" x14ac:dyDescent="0.2">
      <c r="B17" s="77">
        <f ca="1">IF(C17&lt;&gt;"",OFFSET(Org_nast!C14,Org_nast!$E$4,0,1,1),0)</f>
        <v>6</v>
      </c>
      <c r="C17" s="144" t="str">
        <f ca="1">OFFSET(Org_nast!J14,Org_nast!$E$4,0,1,1)</f>
        <v>Čtyřlístek</v>
      </c>
      <c r="D17" s="145"/>
      <c r="E17" s="151">
        <f ca="1">OFFSET(Org_nast!K14,Org_nast!$E$4,0,1,1)</f>
        <v>97.02942433937028</v>
      </c>
      <c r="F17" s="305" t="str">
        <f ca="1">IF(ISERROR(VLOOKUP(E17,vstupy!$B$41:$C$50,2,1)),"",VLOOKUP(E17,vstupy!$B$41:$C$50,2,1))</f>
        <v>A++</v>
      </c>
      <c r="G17" s="145"/>
      <c r="H17" s="325">
        <f ca="1">OFFSET(Org_nast!L14,Org_nast!$E$4,0,1,1)</f>
        <v>27663000</v>
      </c>
      <c r="I17" s="326">
        <f ca="1">OFFSET(Org_nast!M14,Org_nast!$E$4,0,1,1)</f>
        <v>20766339.350000001</v>
      </c>
      <c r="J17" s="133">
        <f ca="1">OFFSET(Org_nast!N14,Org_nast!$E$4,0,1,1)</f>
        <v>0.75069006796081417</v>
      </c>
      <c r="K17" s="134"/>
      <c r="L17" s="135">
        <f ca="1">OFFSET(Org_nast!O14,Org_nast!$E$4,0,1,1)</f>
        <v>0.4</v>
      </c>
      <c r="M17" s="329">
        <f ca="1">OFFSET(Org_nast!P14,Org_nast!$E$4,0,1,1)</f>
        <v>10972053.32</v>
      </c>
      <c r="N17" s="313">
        <f ca="1">OFFSET(Org_nast!Q14,Org_nast!$E$4,0,1,1)</f>
        <v>0.39663280627553049</v>
      </c>
      <c r="O17" s="133">
        <f ca="1">OFFSET(Org_nast!R14,Org_nast!$E$4,0,1,1)</f>
        <v>0.9915820156888262</v>
      </c>
      <c r="P17" s="136"/>
      <c r="Q17" s="331">
        <f ca="1">OFFSET(Org_nast!S14,Org_nast!$E$4,0,1,1)</f>
        <v>4098309.57</v>
      </c>
      <c r="R17" s="133">
        <f ca="1">OFFSET(Org_nast!T14,Org_nast!$E$4,0,1,1)</f>
        <v>0.2719449823414305</v>
      </c>
      <c r="S17" s="154"/>
      <c r="T17" s="310"/>
    </row>
    <row r="18" spans="2:20" s="475" customFormat="1" ht="12.6" customHeight="1" x14ac:dyDescent="0.2">
      <c r="B18" s="77">
        <f ca="1">IF(C18&lt;&gt;"",OFFSET(Org_nast!C15,Org_nast!$E$4,0,1,1),0)</f>
        <v>7</v>
      </c>
      <c r="C18" s="144" t="str">
        <f ca="1">OFFSET(Org_nast!J15,Org_nast!$E$4,0,1,1)</f>
        <v>ZŠ a MŠ O-Zábřeh, Kosmonautů 15</v>
      </c>
      <c r="D18" s="145"/>
      <c r="E18" s="151">
        <f ca="1">OFFSET(Org_nast!K15,Org_nast!$E$4,0,1,1)</f>
        <v>95.676324335835602</v>
      </c>
      <c r="F18" s="305" t="str">
        <f ca="1">IF(ISERROR(VLOOKUP(E18,vstupy!$B$41:$C$50,2,1)),"",VLOOKUP(E18,vstupy!$B$41:$C$50,2,1))</f>
        <v>A++</v>
      </c>
      <c r="G18" s="145"/>
      <c r="H18" s="325">
        <f ca="1">OFFSET(Org_nast!L15,Org_nast!$E$4,0,1,1)</f>
        <v>7043625</v>
      </c>
      <c r="I18" s="326">
        <f ca="1">OFFSET(Org_nast!M15,Org_nast!$E$4,0,1,1)</f>
        <v>5025813</v>
      </c>
      <c r="J18" s="133">
        <f ca="1">OFFSET(Org_nast!N15,Org_nast!$E$4,0,1,1)</f>
        <v>0.71352648671671193</v>
      </c>
      <c r="K18" s="134"/>
      <c r="L18" s="135">
        <f ca="1">OFFSET(Org_nast!O15,Org_nast!$E$4,0,1,1)</f>
        <v>0.30020000000000002</v>
      </c>
      <c r="M18" s="329">
        <f ca="1">OFFSET(Org_nast!P15,Org_nast!$E$4,0,1,1)</f>
        <v>2230089.2000000002</v>
      </c>
      <c r="N18" s="313">
        <f ca="1">OFFSET(Org_nast!Q15,Org_nast!$E$4,0,1,1)</f>
        <v>0.31661100640650236</v>
      </c>
      <c r="O18" s="133">
        <f ca="1">OFFSET(Org_nast!R15,Org_nast!$E$4,0,1,1)</f>
        <v>1.0546669100816202</v>
      </c>
      <c r="P18" s="136"/>
      <c r="Q18" s="331">
        <f ca="1">OFFSET(Org_nast!S15,Org_nast!$E$4,0,1,1)</f>
        <v>424736.11</v>
      </c>
      <c r="R18" s="133">
        <f ca="1">OFFSET(Org_nast!T15,Org_nast!$E$4,0,1,1)</f>
        <v>0.15998646253677609</v>
      </c>
      <c r="S18" s="154"/>
      <c r="T18" s="310"/>
    </row>
    <row r="19" spans="2:20" s="475" customFormat="1" ht="12.6" customHeight="1" x14ac:dyDescent="0.2">
      <c r="B19" s="77">
        <f ca="1">IF(C19&lt;&gt;"",OFFSET(Org_nast!C16,Org_nast!$E$4,0,1,1),0)</f>
        <v>8</v>
      </c>
      <c r="C19" s="144" t="str">
        <f ca="1">OFFSET(Org_nast!J16,Org_nast!$E$4,0,1,1)</f>
        <v>Domov Čujkovova</v>
      </c>
      <c r="D19" s="145"/>
      <c r="E19" s="151">
        <f ca="1">OFFSET(Org_nast!K16,Org_nast!$E$4,0,1,1)</f>
        <v>95.49675359850383</v>
      </c>
      <c r="F19" s="305" t="str">
        <f ca="1">IF(ISERROR(VLOOKUP(E19,vstupy!$B$41:$C$50,2,1)),"",VLOOKUP(E19,vstupy!$B$41:$C$50,2,1))</f>
        <v>A++</v>
      </c>
      <c r="G19" s="145"/>
      <c r="H19" s="325">
        <f ca="1">OFFSET(Org_nast!L16,Org_nast!$E$4,0,1,1)</f>
        <v>14971500</v>
      </c>
      <c r="I19" s="326">
        <f ca="1">OFFSET(Org_nast!M16,Org_nast!$E$4,0,1,1)</f>
        <v>10628792.93</v>
      </c>
      <c r="J19" s="133">
        <f ca="1">OFFSET(Org_nast!N16,Org_nast!$E$4,0,1,1)</f>
        <v>0.70993507197007644</v>
      </c>
      <c r="K19" s="134"/>
      <c r="L19" s="135">
        <f ca="1">OFFSET(Org_nast!O16,Org_nast!$E$4,0,1,1)</f>
        <v>0.39</v>
      </c>
      <c r="M19" s="329">
        <f ca="1">OFFSET(Org_nast!P16,Org_nast!$E$4,0,1,1)</f>
        <v>6749068.5899999999</v>
      </c>
      <c r="N19" s="313">
        <f ca="1">OFFSET(Org_nast!Q16,Org_nast!$E$4,0,1,1)</f>
        <v>0.45079441538923953</v>
      </c>
      <c r="O19" s="133">
        <f ca="1">OFFSET(Org_nast!R16,Org_nast!$E$4,0,1,1)</f>
        <v>1.1558831163826655</v>
      </c>
      <c r="P19" s="136"/>
      <c r="Q19" s="331">
        <f ca="1">OFFSET(Org_nast!S16,Org_nast!$E$4,0,1,1)</f>
        <v>1953667.8</v>
      </c>
      <c r="R19" s="133">
        <f ca="1">OFFSET(Org_nast!T16,Org_nast!$E$4,0,1,1)</f>
        <v>0.22448890928661117</v>
      </c>
      <c r="S19" s="154"/>
      <c r="T19" s="310"/>
    </row>
    <row r="20" spans="2:20" s="475" customFormat="1" ht="12.6" customHeight="1" x14ac:dyDescent="0.2">
      <c r="B20" s="77">
        <f ca="1">IF(C20&lt;&gt;"",OFFSET(Org_nast!C17,Org_nast!$E$4,0,1,1),0)</f>
        <v>9</v>
      </c>
      <c r="C20" s="144" t="str">
        <f ca="1">OFFSET(Org_nast!J17,Org_nast!$E$4,0,1,1)</f>
        <v>Městská policie</v>
      </c>
      <c r="D20" s="145"/>
      <c r="E20" s="151">
        <f ca="1">OFFSET(Org_nast!K17,Org_nast!$E$4,0,1,1)</f>
        <v>95.380916559567396</v>
      </c>
      <c r="F20" s="305" t="str">
        <f ca="1">IF(ISERROR(VLOOKUP(E20,vstupy!$B$41:$C$50,2,1)),"",VLOOKUP(E20,vstupy!$B$41:$C$50,2,1))</f>
        <v>A++</v>
      </c>
      <c r="G20" s="145"/>
      <c r="H20" s="325">
        <f ca="1">OFFSET(Org_nast!L17,Org_nast!$E$4,0,1,1)</f>
        <v>30929250</v>
      </c>
      <c r="I20" s="326">
        <f ca="1">OFFSET(Org_nast!M17,Org_nast!$E$4,0,1,1)</f>
        <v>21886104.27</v>
      </c>
      <c r="J20" s="133">
        <f ca="1">OFFSET(Org_nast!N17,Org_nast!$E$4,0,1,1)</f>
        <v>0.70761833119134798</v>
      </c>
      <c r="K20" s="134"/>
      <c r="L20" s="135">
        <f ca="1">OFFSET(Org_nast!O17,Org_nast!$E$4,0,1,1)</f>
        <v>7.0199999999999999E-2</v>
      </c>
      <c r="M20" s="329">
        <f ca="1">OFFSET(Org_nast!P17,Org_nast!$E$4,0,1,1)</f>
        <v>2925002.14</v>
      </c>
      <c r="N20" s="313">
        <f ca="1">OFFSET(Org_nast!Q17,Org_nast!$E$4,0,1,1)</f>
        <v>9.4570742581860212E-2</v>
      </c>
      <c r="O20" s="133">
        <f ca="1">OFFSET(Org_nast!R17,Org_nast!$E$4,0,1,1)</f>
        <v>1.347161575240174</v>
      </c>
      <c r="P20" s="136"/>
      <c r="Q20" s="331">
        <f ca="1">OFFSET(Org_nast!S17,Org_nast!$E$4,0,1,1)</f>
        <v>702769.11</v>
      </c>
      <c r="R20" s="133">
        <f ca="1">OFFSET(Org_nast!T17,Org_nast!$E$4,0,1,1)</f>
        <v>0.19371924566633025</v>
      </c>
      <c r="S20" s="154"/>
      <c r="T20" s="310"/>
    </row>
    <row r="21" spans="2:20" s="475" customFormat="1" ht="12.6" customHeight="1" x14ac:dyDescent="0.2">
      <c r="B21" s="77">
        <f ca="1">IF(C21&lt;&gt;"",OFFSET(Org_nast!C18,Org_nast!$E$4,0,1,1),0)</f>
        <v>10</v>
      </c>
      <c r="C21" s="144" t="str">
        <f ca="1">OFFSET(Org_nast!J18,Org_nast!$E$4,0,1,1)</f>
        <v>Ostravské muzeum</v>
      </c>
      <c r="D21" s="145"/>
      <c r="E21" s="151">
        <f ca="1">OFFSET(Org_nast!K18,Org_nast!$E$4,0,1,1)</f>
        <v>95.108989870030584</v>
      </c>
      <c r="F21" s="305" t="str">
        <f ca="1">IF(ISERROR(VLOOKUP(E21,vstupy!$B$41:$C$50,2,1)),"",VLOOKUP(E21,vstupy!$B$41:$C$50,2,1))</f>
        <v>A++</v>
      </c>
      <c r="G21" s="145"/>
      <c r="H21" s="325">
        <f ca="1">OFFSET(Org_nast!L18,Org_nast!$E$4,0,1,1)</f>
        <v>2616000</v>
      </c>
      <c r="I21" s="326">
        <f ca="1">OFFSET(Org_nast!M18,Org_nast!$E$4,0,1,1)</f>
        <v>1836902.35</v>
      </c>
      <c r="J21" s="133">
        <f ca="1">OFFSET(Org_nast!N18,Org_nast!$E$4,0,1,1)</f>
        <v>0.70217979740061165</v>
      </c>
      <c r="K21" s="134"/>
      <c r="L21" s="135">
        <f ca="1">OFFSET(Org_nast!O18,Org_nast!$E$4,0,1,1)</f>
        <v>0.14015691912963066</v>
      </c>
      <c r="M21" s="329">
        <f ca="1">OFFSET(Org_nast!P18,Org_nast!$E$4,0,1,1)</f>
        <v>412854.46</v>
      </c>
      <c r="N21" s="313">
        <f ca="1">OFFSET(Org_nast!Q18,Org_nast!$E$4,0,1,1)</f>
        <v>0.15781898318042814</v>
      </c>
      <c r="O21" s="133">
        <f ca="1">OFFSET(Org_nast!R18,Org_nast!$E$4,0,1,1)</f>
        <v>1.1260163548148623</v>
      </c>
      <c r="P21" s="136"/>
      <c r="Q21" s="331">
        <f ca="1">OFFSET(Org_nast!S18,Org_nast!$E$4,0,1,1)</f>
        <v>313986.63</v>
      </c>
      <c r="R21" s="133">
        <f ca="1">OFFSET(Org_nast!T18,Org_nast!$E$4,0,1,1)</f>
        <v>0.4319880016689755</v>
      </c>
      <c r="S21" s="154"/>
      <c r="T21" s="310"/>
    </row>
    <row r="22" spans="2:20" s="475" customFormat="1" ht="12.6" customHeight="1" x14ac:dyDescent="0.2">
      <c r="B22" s="77">
        <f ca="1">IF(C22&lt;&gt;"",OFFSET(Org_nast!C19,Org_nast!$E$4,0,1,1),0)</f>
        <v>11</v>
      </c>
      <c r="C22" s="144" t="str">
        <f ca="1">OFFSET(Org_nast!J19,Org_nast!$E$4,0,1,1)</f>
        <v>DPS Kamenec</v>
      </c>
      <c r="D22" s="145"/>
      <c r="E22" s="151">
        <f ca="1">OFFSET(Org_nast!K19,Org_nast!$E$4,0,1,1)</f>
        <v>94.945068860700047</v>
      </c>
      <c r="F22" s="305" t="str">
        <f ca="1">IF(ISERROR(VLOOKUP(E22,vstupy!$B$41:$C$50,2,1)),"",VLOOKUP(E22,vstupy!$B$41:$C$50,2,1))</f>
        <v>A++</v>
      </c>
      <c r="G22" s="145"/>
      <c r="H22" s="325">
        <f ca="1">OFFSET(Org_nast!L19,Org_nast!$E$4,0,1,1)</f>
        <v>13266750</v>
      </c>
      <c r="I22" s="326">
        <f ca="1">OFFSET(Org_nast!M19,Org_nast!$E$4,0,1,1)</f>
        <v>12378654.9</v>
      </c>
      <c r="J22" s="133">
        <f ca="1">OFFSET(Org_nast!N19,Org_nast!$E$4,0,1,1)</f>
        <v>0.93305857877777154</v>
      </c>
      <c r="K22" s="134"/>
      <c r="L22" s="135">
        <f ca="1">OFFSET(Org_nast!O19,Org_nast!$E$4,0,1,1)</f>
        <v>0.39</v>
      </c>
      <c r="M22" s="329">
        <f ca="1">OFFSET(Org_nast!P19,Org_nast!$E$4,0,1,1)</f>
        <v>4738126.2</v>
      </c>
      <c r="N22" s="313">
        <f ca="1">OFFSET(Org_nast!Q19,Org_nast!$E$4,0,1,1)</f>
        <v>0.35714294759455029</v>
      </c>
      <c r="O22" s="133">
        <f ca="1">OFFSET(Org_nast!R19,Org_nast!$E$4,0,1,1)</f>
        <v>0.9157511476783341</v>
      </c>
      <c r="P22" s="136"/>
      <c r="Q22" s="331">
        <f ca="1">OFFSET(Org_nast!S19,Org_nast!$E$4,0,1,1)</f>
        <v>1120695.3399999999</v>
      </c>
      <c r="R22" s="133">
        <f ca="1">OFFSET(Org_nast!T19,Org_nast!$E$4,0,1,1)</f>
        <v>0.19128340611651398</v>
      </c>
      <c r="S22" s="154"/>
      <c r="T22" s="310"/>
    </row>
    <row r="23" spans="2:20" s="475" customFormat="1" ht="12.6" customHeight="1" x14ac:dyDescent="0.2">
      <c r="B23" s="77">
        <f ca="1">IF(C23&lt;&gt;"",OFFSET(Org_nast!C20,Org_nast!$E$4,0,1,1),0)</f>
        <v>12</v>
      </c>
      <c r="C23" s="144" t="str">
        <f ca="1">OFFSET(Org_nast!J20,Org_nast!$E$4,0,1,1)</f>
        <v>Domov Korýtko</v>
      </c>
      <c r="D23" s="145"/>
      <c r="E23" s="151">
        <f ca="1">OFFSET(Org_nast!K20,Org_nast!$E$4,0,1,1)</f>
        <v>93.223499276837174</v>
      </c>
      <c r="F23" s="305" t="str">
        <f ca="1">IF(ISERROR(VLOOKUP(E23,vstupy!$B$41:$C$50,2,1)),"",VLOOKUP(E23,vstupy!$B$41:$C$50,2,1))</f>
        <v>A++</v>
      </c>
      <c r="G23" s="145"/>
      <c r="H23" s="325">
        <f ca="1">OFFSET(Org_nast!L20,Org_nast!$E$4,0,1,1)</f>
        <v>18475665.75</v>
      </c>
      <c r="I23" s="326">
        <f ca="1">OFFSET(Org_nast!M20,Org_nast!$E$4,0,1,1)</f>
        <v>12453007.379999999</v>
      </c>
      <c r="J23" s="133">
        <f ca="1">OFFSET(Org_nast!N20,Org_nast!$E$4,0,1,1)</f>
        <v>0.67402211906761733</v>
      </c>
      <c r="K23" s="134"/>
      <c r="L23" s="135">
        <f ca="1">OFFSET(Org_nast!O20,Org_nast!$E$4,0,1,1)</f>
        <v>0.38</v>
      </c>
      <c r="M23" s="329">
        <f ca="1">OFFSET(Org_nast!P20,Org_nast!$E$4,0,1,1)</f>
        <v>6964867.0099999998</v>
      </c>
      <c r="N23" s="313">
        <f ca="1">OFFSET(Org_nast!Q20,Org_nast!$E$4,0,1,1)</f>
        <v>0.37697515771522333</v>
      </c>
      <c r="O23" s="133">
        <f ca="1">OFFSET(Org_nast!R20,Org_nast!$E$4,0,1,1)</f>
        <v>0.99203988872427185</v>
      </c>
      <c r="P23" s="136"/>
      <c r="Q23" s="331">
        <f ca="1">OFFSET(Org_nast!S20,Org_nast!$E$4,0,1,1)</f>
        <v>1599563.17</v>
      </c>
      <c r="R23" s="133">
        <f ca="1">OFFSET(Org_nast!T20,Org_nast!$E$4,0,1,1)</f>
        <v>0.18676819547614082</v>
      </c>
      <c r="S23" s="154"/>
      <c r="T23" s="310"/>
    </row>
    <row r="24" spans="2:20" s="475" customFormat="1" ht="12.6" customHeight="1" x14ac:dyDescent="0.2">
      <c r="B24" s="77">
        <f ca="1">IF(C24&lt;&gt;"",OFFSET(Org_nast!C21,Org_nast!$E$4,0,1,1),0)</f>
        <v>13</v>
      </c>
      <c r="C24" s="144" t="str">
        <f ca="1">OFFSET(Org_nast!J21,Org_nast!$E$4,0,1,1)</f>
        <v>Technické služby Moravská Ostrava a Přívoz</v>
      </c>
      <c r="D24" s="145"/>
      <c r="E24" s="151">
        <f ca="1">OFFSET(Org_nast!K21,Org_nast!$E$4,0,1,1)</f>
        <v>92.335601649028092</v>
      </c>
      <c r="F24" s="305" t="str">
        <f ca="1">IF(ISERROR(VLOOKUP(E24,vstupy!$B$41:$C$50,2,1)),"",VLOOKUP(E24,vstupy!$B$41:$C$50,2,1))</f>
        <v>A+</v>
      </c>
      <c r="G24" s="145"/>
      <c r="H24" s="325">
        <f ca="1">OFFSET(Org_nast!L21,Org_nast!$E$4,0,1,1)</f>
        <v>15472575</v>
      </c>
      <c r="I24" s="326">
        <f ca="1">OFFSET(Org_nast!M21,Org_nast!$E$4,0,1,1)</f>
        <v>13069921.57</v>
      </c>
      <c r="J24" s="133">
        <f ca="1">OFFSET(Org_nast!N21,Org_nast!$E$4,0,1,1)</f>
        <v>0.84471534763929079</v>
      </c>
      <c r="K24" s="137"/>
      <c r="L24" s="135">
        <f ca="1">OFFSET(Org_nast!O21,Org_nast!$E$4,0,1,1)</f>
        <v>0.43912186127453956</v>
      </c>
      <c r="M24" s="329">
        <f ca="1">OFFSET(Org_nast!P21,Org_nast!$E$4,0,1,1)</f>
        <v>5926436.3699999992</v>
      </c>
      <c r="N24" s="313">
        <f ca="1">OFFSET(Org_nast!Q21,Org_nast!$E$4,0,1,1)</f>
        <v>0.38302844678406789</v>
      </c>
      <c r="O24" s="133">
        <f ca="1">OFFSET(Org_nast!R21,Org_nast!$E$4,0,1,1)</f>
        <v>0.87226002748380138</v>
      </c>
      <c r="P24" s="136"/>
      <c r="Q24" s="331">
        <f ca="1">OFFSET(Org_nast!S21,Org_nast!$E$4,0,1,1)</f>
        <v>407761.79</v>
      </c>
      <c r="R24" s="133">
        <f ca="1">OFFSET(Org_nast!T21,Org_nast!$E$4,0,1,1)</f>
        <v>6.4374650066205075E-2</v>
      </c>
      <c r="S24" s="154"/>
      <c r="T24" s="310"/>
    </row>
    <row r="25" spans="2:20" s="475" customFormat="1" ht="12.6" customHeight="1" x14ac:dyDescent="0.2">
      <c r="B25" s="77">
        <f ca="1">IF(C25&lt;&gt;"",OFFSET(Org_nast!C22,Org_nast!$E$4,0,1,1),0)</f>
        <v>14</v>
      </c>
      <c r="C25" s="144" t="str">
        <f ca="1">OFFSET(Org_nast!J22,Org_nast!$E$4,0,1,1)</f>
        <v>Divadlo loutek Ostrava</v>
      </c>
      <c r="D25" s="145"/>
      <c r="E25" s="151">
        <f ca="1">OFFSET(Org_nast!K22,Org_nast!$E$4,0,1,1)</f>
        <v>91.904858098188882</v>
      </c>
      <c r="F25" s="305" t="str">
        <f ca="1">IF(ISERROR(VLOOKUP(E25,vstupy!$B$41:$C$50,2,1)),"",VLOOKUP(E25,vstupy!$B$41:$C$50,2,1))</f>
        <v>A+</v>
      </c>
      <c r="G25" s="145"/>
      <c r="H25" s="325">
        <f ca="1">OFFSET(Org_nast!L22,Org_nast!$E$4,0,1,1)</f>
        <v>5658705</v>
      </c>
      <c r="I25" s="326">
        <f ca="1">OFFSET(Org_nast!M22,Org_nast!$E$4,0,1,1)</f>
        <v>4771253.0999999996</v>
      </c>
      <c r="J25" s="133">
        <f ca="1">OFFSET(Org_nast!N22,Org_nast!$E$4,0,1,1)</f>
        <v>0.84317049572296132</v>
      </c>
      <c r="K25" s="137"/>
      <c r="L25" s="135">
        <f ca="1">OFFSET(Org_nast!O22,Org_nast!$E$4,0,1,1)</f>
        <v>0.23641056672313276</v>
      </c>
      <c r="M25" s="329">
        <f ca="1">OFFSET(Org_nast!P22,Org_nast!$E$4,0,1,1)</f>
        <v>1157285.99</v>
      </c>
      <c r="N25" s="313">
        <f ca="1">OFFSET(Org_nast!Q22,Org_nast!$E$4,0,1,1)</f>
        <v>0.20451428197794372</v>
      </c>
      <c r="O25" s="133">
        <f ca="1">OFFSET(Org_nast!R22,Org_nast!$E$4,0,1,1)</f>
        <v>0.86508096830314807</v>
      </c>
      <c r="P25" s="136"/>
      <c r="Q25" s="331">
        <f ca="1">OFFSET(Org_nast!S22,Org_nast!$E$4,0,1,1)</f>
        <v>664645.29999999993</v>
      </c>
      <c r="R25" s="133">
        <f ca="1">OFFSET(Org_nast!T22,Org_nast!$E$4,0,1,1)</f>
        <v>0.36480261558052496</v>
      </c>
      <c r="S25" s="154"/>
      <c r="T25" s="310"/>
    </row>
    <row r="26" spans="2:20" s="475" customFormat="1" ht="12.6" customHeight="1" x14ac:dyDescent="0.2">
      <c r="B26" s="77">
        <f ca="1">IF(C26&lt;&gt;"",OFFSET(Org_nast!C23,Org_nast!$E$4,0,1,1),0)</f>
        <v>15</v>
      </c>
      <c r="C26" s="144" t="str">
        <f ca="1">OFFSET(Org_nast!J23,Org_nast!$E$4,0,1,1)</f>
        <v>ZŠ MO a Přívoz, Matiční</v>
      </c>
      <c r="D26" s="145"/>
      <c r="E26" s="151">
        <f ca="1">OFFSET(Org_nast!K23,Org_nast!$E$4,0,1,1)</f>
        <v>89.989191361984183</v>
      </c>
      <c r="F26" s="305" t="str">
        <f ca="1">IF(ISERROR(VLOOKUP(E26,vstupy!$B$41:$C$50,2,1)),"",VLOOKUP(E26,vstupy!$B$41:$C$50,2,1))</f>
        <v>A+</v>
      </c>
      <c r="G26" s="145"/>
      <c r="H26" s="325">
        <f ca="1">OFFSET(Org_nast!L23,Org_nast!$E$4,0,1,1)</f>
        <v>8184750</v>
      </c>
      <c r="I26" s="326">
        <f ca="1">OFFSET(Org_nast!M23,Org_nast!$E$4,0,1,1)</f>
        <v>4909080.68</v>
      </c>
      <c r="J26" s="133">
        <f ca="1">OFFSET(Org_nast!N23,Org_nast!$E$4,0,1,1)</f>
        <v>0.59978382723968349</v>
      </c>
      <c r="K26" s="137"/>
      <c r="L26" s="135">
        <f ca="1">OFFSET(Org_nast!O23,Org_nast!$E$4,0,1,1)</f>
        <v>0.32140000000000002</v>
      </c>
      <c r="M26" s="329">
        <f ca="1">OFFSET(Org_nast!P23,Org_nast!$E$4,0,1,1)</f>
        <v>3056437.0300000003</v>
      </c>
      <c r="N26" s="313">
        <f ca="1">OFFSET(Org_nast!Q23,Org_nast!$E$4,0,1,1)</f>
        <v>0.37343071321665294</v>
      </c>
      <c r="O26" s="133">
        <f ca="1">OFFSET(Org_nast!R23,Org_nast!$E$4,0,1,1)</f>
        <v>1.1618877200269224</v>
      </c>
      <c r="P26" s="136"/>
      <c r="Q26" s="331">
        <f ca="1">OFFSET(Org_nast!S23,Org_nast!$E$4,0,1,1)</f>
        <v>820785.04999999993</v>
      </c>
      <c r="R26" s="133">
        <f ca="1">OFFSET(Org_nast!T23,Org_nast!$E$4,0,1,1)</f>
        <v>0.21169410290782206</v>
      </c>
      <c r="S26" s="154"/>
      <c r="T26" s="310"/>
    </row>
    <row r="27" spans="2:20" s="475" customFormat="1" ht="12.6" customHeight="1" x14ac:dyDescent="0.2">
      <c r="B27" s="77">
        <f ca="1">IF(C27&lt;&gt;"",OFFSET(Org_nast!C24,Org_nast!$E$4,0,1,1),0)</f>
        <v>16</v>
      </c>
      <c r="C27" s="144" t="str">
        <f ca="1">OFFSET(Org_nast!J24,Org_nast!$E$4,0,1,1)</f>
        <v>Domov Sluníčko</v>
      </c>
      <c r="D27" s="145"/>
      <c r="E27" s="151">
        <f ca="1">OFFSET(Org_nast!K24,Org_nast!$E$4,0,1,1)</f>
        <v>88.870863209015994</v>
      </c>
      <c r="F27" s="305" t="str">
        <f ca="1">IF(ISERROR(VLOOKUP(E27,vstupy!$B$41:$C$50,2,1)),"",VLOOKUP(E27,vstupy!$B$41:$C$50,2,1))</f>
        <v>A+</v>
      </c>
      <c r="G27" s="145"/>
      <c r="H27" s="325">
        <f ca="1">OFFSET(Org_nast!L24,Org_nast!$E$4,0,1,1)</f>
        <v>11928000</v>
      </c>
      <c r="I27" s="326">
        <f ca="1">OFFSET(Org_nast!M24,Org_nast!$E$4,0,1,1)</f>
        <v>8650265.2699999996</v>
      </c>
      <c r="J27" s="133">
        <f ca="1">OFFSET(Org_nast!N24,Org_nast!$E$4,0,1,1)</f>
        <v>0.72520667924211935</v>
      </c>
      <c r="K27" s="137"/>
      <c r="L27" s="135">
        <f ca="1">OFFSET(Org_nast!O24,Org_nast!$E$4,0,1,1)</f>
        <v>0.56000000000000005</v>
      </c>
      <c r="M27" s="329">
        <f ca="1">OFFSET(Org_nast!P24,Org_nast!$E$4,0,1,1)</f>
        <v>5857025</v>
      </c>
      <c r="N27" s="313">
        <f ca="1">OFFSET(Org_nast!Q24,Org_nast!$E$4,0,1,1)</f>
        <v>0.49103160630449361</v>
      </c>
      <c r="O27" s="133">
        <f ca="1">OFFSET(Org_nast!R24,Org_nast!$E$4,0,1,1)</f>
        <v>0.87684215411516708</v>
      </c>
      <c r="P27" s="136"/>
      <c r="Q27" s="331">
        <f ca="1">OFFSET(Org_nast!S24,Org_nast!$E$4,0,1,1)</f>
        <v>1849004.87</v>
      </c>
      <c r="R27" s="133">
        <f ca="1">OFFSET(Org_nast!T24,Org_nast!$E$4,0,1,1)</f>
        <v>0.23994260354456687</v>
      </c>
      <c r="S27" s="154"/>
      <c r="T27" s="310"/>
    </row>
    <row r="28" spans="2:20" s="475" customFormat="1" ht="12.6" customHeight="1" x14ac:dyDescent="0.2">
      <c r="B28" s="77">
        <f ca="1">IF(C28&lt;&gt;"",OFFSET(Org_nast!C25,Org_nast!$E$4,0,1,1),0)</f>
        <v>17</v>
      </c>
      <c r="C28" s="144" t="str">
        <f ca="1">OFFSET(Org_nast!J25,Org_nast!$E$4,0,1,1)</f>
        <v>Národní divadlo Moravskoslezské</v>
      </c>
      <c r="D28" s="145"/>
      <c r="E28" s="151">
        <f ca="1">OFFSET(Org_nast!K25,Org_nast!$E$4,0,1,1)</f>
        <v>88.440932973235945</v>
      </c>
      <c r="F28" s="305" t="str">
        <f ca="1">IF(ISERROR(VLOOKUP(E28,vstupy!$B$41:$C$50,2,1)),"",VLOOKUP(E28,vstupy!$B$41:$C$50,2,1))</f>
        <v>A+</v>
      </c>
      <c r="G28" s="145"/>
      <c r="H28" s="325">
        <f ca="1">OFFSET(Org_nast!L25,Org_nast!$E$4,0,1,1)</f>
        <v>51447000</v>
      </c>
      <c r="I28" s="326">
        <f ca="1">OFFSET(Org_nast!M25,Org_nast!$E$4,0,1,1)</f>
        <v>40884481.510000005</v>
      </c>
      <c r="J28" s="133">
        <f ca="1">OFFSET(Org_nast!N25,Org_nast!$E$4,0,1,1)</f>
        <v>0.79469126499115605</v>
      </c>
      <c r="K28" s="137"/>
      <c r="L28" s="135">
        <f ca="1">OFFSET(Org_nast!O25,Org_nast!$E$4,0,1,1)</f>
        <v>9.8124220413000354E-2</v>
      </c>
      <c r="M28" s="329">
        <f ca="1">OFFSET(Org_nast!P25,Org_nast!$E$4,0,1,1)</f>
        <v>4097988.9699999997</v>
      </c>
      <c r="N28" s="313">
        <f ca="1">OFFSET(Org_nast!Q25,Org_nast!$E$4,0,1,1)</f>
        <v>7.9654575971388031E-2</v>
      </c>
      <c r="O28" s="133">
        <f ca="1">OFFSET(Org_nast!R25,Org_nast!$E$4,0,1,1)</f>
        <v>0.81177282872796908</v>
      </c>
      <c r="P28" s="136"/>
      <c r="Q28" s="331">
        <f ca="1">OFFSET(Org_nast!S25,Org_nast!$E$4,0,1,1)</f>
        <v>1843379.42</v>
      </c>
      <c r="R28" s="133">
        <f ca="1">OFFSET(Org_nast!T25,Org_nast!$E$4,0,1,1)</f>
        <v>0.31026176109574649</v>
      </c>
      <c r="S28" s="154"/>
      <c r="T28" s="310"/>
    </row>
    <row r="29" spans="2:20" s="475" customFormat="1" ht="12.6" customHeight="1" x14ac:dyDescent="0.2">
      <c r="B29" s="77">
        <f ca="1">IF(C29&lt;&gt;"",OFFSET(Org_nast!C26,Org_nast!$E$4,0,1,1),0)</f>
        <v>18</v>
      </c>
      <c r="C29" s="144" t="str">
        <f ca="1">OFFSET(Org_nast!J26,Org_nast!$E$4,0,1,1)</f>
        <v>Lidová konzervatoř</v>
      </c>
      <c r="D29" s="145"/>
      <c r="E29" s="151">
        <f ca="1">OFFSET(Org_nast!K26,Org_nast!$E$4,0,1,1)</f>
        <v>85.872049697355848</v>
      </c>
      <c r="F29" s="305" t="str">
        <f ca="1">IF(ISERROR(VLOOKUP(E29,vstupy!$B$41:$C$50,2,1)),"",VLOOKUP(E29,vstupy!$B$41:$C$50,2,1))</f>
        <v>A+</v>
      </c>
      <c r="G29" s="145"/>
      <c r="H29" s="325">
        <f ca="1">OFFSET(Org_nast!L26,Org_nast!$E$4,0,1,1)</f>
        <v>1177125</v>
      </c>
      <c r="I29" s="326">
        <f ca="1">OFFSET(Org_nast!M26,Org_nast!$E$4,0,1,1)</f>
        <v>609092.73</v>
      </c>
      <c r="J29" s="133">
        <f ca="1">OFFSET(Org_nast!N26,Org_nast!$E$4,0,1,1)</f>
        <v>0.51744099394711685</v>
      </c>
      <c r="K29" s="137"/>
      <c r="L29" s="135">
        <f ca="1">OFFSET(Org_nast!O26,Org_nast!$E$4,0,1,1)</f>
        <v>0.22442950595550057</v>
      </c>
      <c r="M29" s="329">
        <f ca="1">OFFSET(Org_nast!P26,Org_nast!$E$4,0,1,1)</f>
        <v>283916.45999999996</v>
      </c>
      <c r="N29" s="313">
        <f ca="1">OFFSET(Org_nast!Q26,Org_nast!$E$4,0,1,1)</f>
        <v>0.2411948263778273</v>
      </c>
      <c r="O29" s="133">
        <f ca="1">OFFSET(Org_nast!R26,Org_nast!$E$4,0,1,1)</f>
        <v>1.0747019441625956</v>
      </c>
      <c r="P29" s="136"/>
      <c r="Q29" s="331">
        <f ca="1">OFFSET(Org_nast!S26,Org_nast!$E$4,0,1,1)</f>
        <v>217255.69</v>
      </c>
      <c r="R29" s="133">
        <f ca="1">OFFSET(Org_nast!T26,Org_nast!$E$4,0,1,1)</f>
        <v>0.43349513734951156</v>
      </c>
      <c r="S29" s="154"/>
      <c r="T29" s="310"/>
    </row>
    <row r="30" spans="2:20" s="475" customFormat="1" ht="12.6" customHeight="1" x14ac:dyDescent="0.2">
      <c r="B30" s="77">
        <f ca="1">IF(C30&lt;&gt;"",OFFSET(Org_nast!C27,Org_nast!$E$4,0,1,1),0)</f>
        <v>19</v>
      </c>
      <c r="C30" s="144" t="str">
        <f ca="1">OFFSET(Org_nast!J27,Org_nast!$E$4,0,1,1)</f>
        <v>Krematorium Ostrava</v>
      </c>
      <c r="D30" s="145"/>
      <c r="E30" s="151">
        <f ca="1">OFFSET(Org_nast!K27,Org_nast!$E$4,0,1,1)</f>
        <v>85.703506549545381</v>
      </c>
      <c r="F30" s="305" t="str">
        <f ca="1">IF(ISERROR(VLOOKUP(E30,vstupy!$B$41:$C$50,2,1)),"",VLOOKUP(E30,vstupy!$B$41:$C$50,2,1))</f>
        <v>A+</v>
      </c>
      <c r="G30" s="145"/>
      <c r="H30" s="325">
        <f ca="1">OFFSET(Org_nast!L27,Org_nast!$E$4,0,1,1)</f>
        <v>3244500</v>
      </c>
      <c r="I30" s="326">
        <f ca="1">OFFSET(Org_nast!M27,Org_nast!$E$4,0,1,1)</f>
        <v>2105906.86</v>
      </c>
      <c r="J30" s="133">
        <f ca="1">OFFSET(Org_nast!N27,Org_nast!$E$4,0,1,1)</f>
        <v>0.64906976729850507</v>
      </c>
      <c r="K30" s="137"/>
      <c r="L30" s="135">
        <f ca="1">OFFSET(Org_nast!O27,Org_nast!$E$4,0,1,1)</f>
        <v>0.3</v>
      </c>
      <c r="M30" s="329">
        <f ca="1">OFFSET(Org_nast!P27,Org_nast!$E$4,0,1,1)</f>
        <v>863848.42</v>
      </c>
      <c r="N30" s="313">
        <f ca="1">OFFSET(Org_nast!Q27,Org_nast!$E$4,0,1,1)</f>
        <v>0.26625009092310065</v>
      </c>
      <c r="O30" s="133">
        <f ca="1">OFFSET(Org_nast!R27,Org_nast!$E$4,0,1,1)</f>
        <v>0.88750030307700212</v>
      </c>
      <c r="P30" s="136"/>
      <c r="Q30" s="331">
        <f ca="1">OFFSET(Org_nast!S27,Org_nast!$E$4,0,1,1)</f>
        <v>376370.81</v>
      </c>
      <c r="R30" s="133">
        <f ca="1">OFFSET(Org_nast!T27,Org_nast!$E$4,0,1,1)</f>
        <v>0.30347119355664243</v>
      </c>
      <c r="S30" s="154"/>
      <c r="T30" s="310"/>
    </row>
    <row r="31" spans="2:20" s="475" customFormat="1" ht="12.6" customHeight="1" x14ac:dyDescent="0.2">
      <c r="B31" s="77">
        <f ca="1">IF(C31&lt;&gt;"",OFFSET(Org_nast!C28,Org_nast!$E$4,0,1,1),0)</f>
        <v>20</v>
      </c>
      <c r="C31" s="144" t="str">
        <f ca="1">OFFSET(Org_nast!J28,Org_nast!$E$4,0,1,1)</f>
        <v>Domov Magnolie</v>
      </c>
      <c r="D31" s="145"/>
      <c r="E31" s="151">
        <f ca="1">OFFSET(Org_nast!K28,Org_nast!$E$4,0,1,1)</f>
        <v>85.348248469026771</v>
      </c>
      <c r="F31" s="305" t="str">
        <f ca="1">IF(ISERROR(VLOOKUP(E31,vstupy!$B$41:$C$50,2,1)),"",VLOOKUP(E31,vstupy!$B$41:$C$50,2,1))</f>
        <v>A+</v>
      </c>
      <c r="G31" s="145"/>
      <c r="H31" s="325">
        <f ca="1">OFFSET(Org_nast!L28,Org_nast!$E$4,0,1,1)</f>
        <v>5424750</v>
      </c>
      <c r="I31" s="326">
        <f ca="1">OFFSET(Org_nast!M28,Org_nast!$E$4,0,1,1)</f>
        <v>4027497.3</v>
      </c>
      <c r="J31" s="133">
        <f ca="1">OFFSET(Org_nast!N28,Org_nast!$E$4,0,1,1)</f>
        <v>0.74243002903359601</v>
      </c>
      <c r="K31" s="137"/>
      <c r="L31" s="135">
        <f ca="1">OFFSET(Org_nast!O28,Org_nast!$E$4,0,1,1)</f>
        <v>0.51</v>
      </c>
      <c r="M31" s="329">
        <f ca="1">OFFSET(Org_nast!P28,Org_nast!$E$4,0,1,1)</f>
        <v>2223753.39</v>
      </c>
      <c r="N31" s="313">
        <f ca="1">OFFSET(Org_nast!Q28,Org_nast!$E$4,0,1,1)</f>
        <v>0.4099273496474492</v>
      </c>
      <c r="O31" s="133">
        <f ca="1">OFFSET(Org_nast!R28,Org_nast!$E$4,0,1,1)</f>
        <v>0.80377911695578275</v>
      </c>
      <c r="P31" s="136"/>
      <c r="Q31" s="331">
        <f ca="1">OFFSET(Org_nast!S28,Org_nast!$E$4,0,1,1)</f>
        <v>1282627.26</v>
      </c>
      <c r="R31" s="133">
        <f ca="1">OFFSET(Org_nast!T28,Org_nast!$E$4,0,1,1)</f>
        <v>0.36579806587741692</v>
      </c>
      <c r="S31" s="154"/>
      <c r="T31" s="310"/>
    </row>
    <row r="32" spans="2:20" s="475" customFormat="1" ht="12.6" customHeight="1" x14ac:dyDescent="0.2">
      <c r="B32" s="77">
        <f ca="1">IF(C32&lt;&gt;"",OFFSET(Org_nast!C29,Org_nast!$E$4,0,1,1),0)</f>
        <v>21</v>
      </c>
      <c r="C32" s="144" t="str">
        <f ca="1">OFFSET(Org_nast!J29,Org_nast!$E$4,0,1,1)</f>
        <v>Středisko volného času Ostrava</v>
      </c>
      <c r="D32" s="145"/>
      <c r="E32" s="151">
        <f ca="1">OFFSET(Org_nast!K29,Org_nast!$E$4,0,1,1)</f>
        <v>84.996199672385544</v>
      </c>
      <c r="F32" s="305" t="str">
        <f ca="1">IF(ISERROR(VLOOKUP(E32,vstupy!$B$41:$C$50,2,1)),"",VLOOKUP(E32,vstupy!$B$41:$C$50,2,1))</f>
        <v>A</v>
      </c>
      <c r="G32" s="145"/>
      <c r="H32" s="325">
        <f ca="1">OFFSET(Org_nast!L29,Org_nast!$E$4,0,1,1)</f>
        <v>2485500</v>
      </c>
      <c r="I32" s="326">
        <f ca="1">OFFSET(Org_nast!M29,Org_nast!$E$4,0,1,1)</f>
        <v>2703588.77</v>
      </c>
      <c r="J32" s="133">
        <f ca="1">OFFSET(Org_nast!N29,Org_nast!$E$4,0,1,1)</f>
        <v>1.0877444256688795</v>
      </c>
      <c r="K32" s="137"/>
      <c r="L32" s="135">
        <f ca="1">OFFSET(Org_nast!O29,Org_nast!$E$4,0,1,1)</f>
        <v>0.14000000000000001</v>
      </c>
      <c r="M32" s="329">
        <f ca="1">OFFSET(Org_nast!P29,Org_nast!$E$4,0,1,1)</f>
        <v>260955.46000000002</v>
      </c>
      <c r="N32" s="313">
        <f ca="1">OFFSET(Org_nast!Q29,Org_nast!$E$4,0,1,1)</f>
        <v>0.10499113256889962</v>
      </c>
      <c r="O32" s="133">
        <f ca="1">OFFSET(Org_nast!R29,Org_nast!$E$4,0,1,1)</f>
        <v>0.74993666120642577</v>
      </c>
      <c r="P32" s="136"/>
      <c r="Q32" s="331">
        <f ca="1">OFFSET(Org_nast!S29,Org_nast!$E$4,0,1,1)</f>
        <v>83080.350000000006</v>
      </c>
      <c r="R32" s="133">
        <f ca="1">OFFSET(Org_nast!T29,Org_nast!$E$4,0,1,1)</f>
        <v>0.2414875067801808</v>
      </c>
      <c r="S32" s="154"/>
      <c r="T32" s="310"/>
    </row>
    <row r="33" spans="1:22" s="475" customFormat="1" ht="12.6" customHeight="1" x14ac:dyDescent="0.2">
      <c r="B33" s="77">
        <f ca="1">IF(C33&lt;&gt;"",OFFSET(Org_nast!C30,Org_nast!$E$4,0,1,1),0)</f>
        <v>22</v>
      </c>
      <c r="C33" s="144" t="str">
        <f ca="1">OFFSET(Org_nast!J30,Org_nast!$E$4,0,1,1)</f>
        <v>MŠ O-Poruba, Dětská</v>
      </c>
      <c r="D33" s="145"/>
      <c r="E33" s="151">
        <f ca="1">OFFSET(Org_nast!K30,Org_nast!$E$4,0,1,1)</f>
        <v>84.792244170143832</v>
      </c>
      <c r="F33" s="305" t="str">
        <f ca="1">IF(ISERROR(VLOOKUP(E33,vstupy!$B$41:$C$50,2,1)),"",VLOOKUP(E33,vstupy!$B$41:$C$50,2,1))</f>
        <v>A</v>
      </c>
      <c r="G33" s="145"/>
      <c r="H33" s="325">
        <f ca="1">OFFSET(Org_nast!L30,Org_nast!$E$4,0,1,1)</f>
        <v>1803659.7749999999</v>
      </c>
      <c r="I33" s="326">
        <f ca="1">OFFSET(Org_nast!M30,Org_nast!$E$4,0,1,1)</f>
        <v>1237757.9300000002</v>
      </c>
      <c r="J33" s="133">
        <f ca="1">OFFSET(Org_nast!N30,Org_nast!$E$4,0,1,1)</f>
        <v>0.6862480092732568</v>
      </c>
      <c r="K33" s="137"/>
      <c r="L33" s="135">
        <f ca="1">OFFSET(Org_nast!O30,Org_nast!$E$4,0,1,1)</f>
        <v>0.23039999999999999</v>
      </c>
      <c r="M33" s="329">
        <f ca="1">OFFSET(Org_nast!P30,Org_nast!$E$4,0,1,1)</f>
        <v>349626.10000000003</v>
      </c>
      <c r="N33" s="313">
        <f ca="1">OFFSET(Org_nast!Q30,Org_nast!$E$4,0,1,1)</f>
        <v>0.19384259983288701</v>
      </c>
      <c r="O33" s="133">
        <f ca="1">OFFSET(Org_nast!R30,Org_nast!$E$4,0,1,1)</f>
        <v>0.84133072844134993</v>
      </c>
      <c r="P33" s="136"/>
      <c r="Q33" s="331">
        <f ca="1">OFFSET(Org_nast!S30,Org_nast!$E$4,0,1,1)</f>
        <v>117908.22</v>
      </c>
      <c r="R33" s="133">
        <f ca="1">OFFSET(Org_nast!T30,Org_nast!$E$4,0,1,1)</f>
        <v>0.2521915824275745</v>
      </c>
      <c r="S33" s="154"/>
      <c r="T33" s="310"/>
    </row>
    <row r="34" spans="1:22" s="475" customFormat="1" ht="12.6" customHeight="1" x14ac:dyDescent="0.2">
      <c r="B34" s="77">
        <f ca="1">IF(C34&lt;&gt;"",OFFSET(Org_nast!C31,Org_nast!$E$4,0,1,1),0)</f>
        <v>23</v>
      </c>
      <c r="C34" s="144" t="str">
        <f ca="1">OFFSET(Org_nast!J31,Org_nast!$E$4,0,1,1)</f>
        <v>MŠ Čs.exilu</v>
      </c>
      <c r="D34" s="145"/>
      <c r="E34" s="151">
        <f ca="1">OFFSET(Org_nast!K31,Org_nast!$E$4,0,1,1)</f>
        <v>84.51369100638702</v>
      </c>
      <c r="F34" s="305" t="str">
        <f ca="1">IF(ISERROR(VLOOKUP(E34,vstupy!$B$41:$C$50,2,1)),"",VLOOKUP(E34,vstupy!$B$41:$C$50,2,1))</f>
        <v>A</v>
      </c>
      <c r="G34" s="145"/>
      <c r="H34" s="325">
        <f ca="1">OFFSET(Org_nast!L31,Org_nast!$E$4,0,1,1)</f>
        <v>1448250</v>
      </c>
      <c r="I34" s="326">
        <f ca="1">OFFSET(Org_nast!M31,Org_nast!$E$4,0,1,1)</f>
        <v>710039.06</v>
      </c>
      <c r="J34" s="133">
        <f ca="1">OFFSET(Org_nast!N31,Org_nast!$E$4,0,1,1)</f>
        <v>0.4902738201277404</v>
      </c>
      <c r="K34" s="137"/>
      <c r="L34" s="135">
        <f ca="1">OFFSET(Org_nast!O31,Org_nast!$E$4,0,1,1)</f>
        <v>0.2276</v>
      </c>
      <c r="M34" s="329">
        <f ca="1">OFFSET(Org_nast!P31,Org_nast!$E$4,0,1,1)</f>
        <v>329651.03000000003</v>
      </c>
      <c r="N34" s="313">
        <f ca="1">OFFSET(Org_nast!Q31,Org_nast!$E$4,0,1,1)</f>
        <v>0.22762025202831004</v>
      </c>
      <c r="O34" s="133">
        <f ca="1">OFFSET(Org_nast!R31,Org_nast!$E$4,0,1,1)</f>
        <v>1.0000889807922233</v>
      </c>
      <c r="P34" s="136"/>
      <c r="Q34" s="331">
        <f ca="1">OFFSET(Org_nast!S31,Org_nast!$E$4,0,1,1)</f>
        <v>99004.040000000008</v>
      </c>
      <c r="R34" s="133">
        <f ca="1">OFFSET(Org_nast!T31,Org_nast!$E$4,0,1,1)</f>
        <v>0.230964350894065</v>
      </c>
      <c r="S34" s="154"/>
      <c r="T34" s="310"/>
    </row>
    <row r="35" spans="1:22" s="475" customFormat="1" ht="12.6" customHeight="1" x14ac:dyDescent="0.2">
      <c r="B35" s="77">
        <f ca="1">IF(C35&lt;&gt;"",OFFSET(Org_nast!C32,Org_nast!$E$4,0,1,1),0)</f>
        <v>24</v>
      </c>
      <c r="C35" s="144" t="str">
        <f ca="1">OFFSET(Org_nast!J32,Org_nast!$E$4,0,1,1)</f>
        <v>MŠ O-Poruba, Nezvalovo nám.</v>
      </c>
      <c r="D35" s="145"/>
      <c r="E35" s="151">
        <f ca="1">OFFSET(Org_nast!K32,Org_nast!$E$4,0,1,1)</f>
        <v>84.375696653805349</v>
      </c>
      <c r="F35" s="305" t="str">
        <f ca="1">IF(ISERROR(VLOOKUP(E35,vstupy!$B$41:$C$50,2,1)),"",VLOOKUP(E35,vstupy!$B$41:$C$50,2,1))</f>
        <v>A</v>
      </c>
      <c r="G35" s="145"/>
      <c r="H35" s="325">
        <f ca="1">OFFSET(Org_nast!L32,Org_nast!$E$4,0,1,1)</f>
        <v>2133000</v>
      </c>
      <c r="I35" s="326">
        <f ca="1">OFFSET(Org_nast!M32,Org_nast!$E$4,0,1,1)</f>
        <v>2226961.7600000002</v>
      </c>
      <c r="J35" s="133">
        <f ca="1">OFFSET(Org_nast!N32,Org_nast!$E$4,0,1,1)</f>
        <v>1.0440514580403188</v>
      </c>
      <c r="K35" s="137"/>
      <c r="L35" s="135">
        <f ca="1">OFFSET(Org_nast!O32,Org_nast!$E$4,0,1,1)</f>
        <v>0.14960000000000001</v>
      </c>
      <c r="M35" s="329">
        <f ca="1">OFFSET(Org_nast!P32,Org_nast!$E$4,0,1,1)</f>
        <v>236002.37999999998</v>
      </c>
      <c r="N35" s="313">
        <f ca="1">OFFSET(Org_nast!Q32,Org_nast!$E$4,0,1,1)</f>
        <v>0.11064340365682136</v>
      </c>
      <c r="O35" s="133">
        <f ca="1">OFFSET(Org_nast!R32,Org_nast!$E$4,0,1,1)</f>
        <v>0.7395949442300892</v>
      </c>
      <c r="P35" s="136"/>
      <c r="Q35" s="331">
        <f ca="1">OFFSET(Org_nast!S32,Org_nast!$E$4,0,1,1)</f>
        <v>63611.429999999993</v>
      </c>
      <c r="R35" s="133">
        <f ca="1">OFFSET(Org_nast!T32,Org_nast!$E$4,0,1,1)</f>
        <v>0.21231140847613134</v>
      </c>
      <c r="S35" s="154"/>
      <c r="T35" s="310"/>
    </row>
    <row r="36" spans="1:22" s="475" customFormat="1" ht="12.6" customHeight="1" x14ac:dyDescent="0.2">
      <c r="B36" s="78">
        <f ca="1">IF(C36&lt;&gt;"",OFFSET(Org_nast!C33,Org_nast!$E$4,0,1,1),0)</f>
        <v>25</v>
      </c>
      <c r="C36" s="146" t="str">
        <f ca="1">OFFSET(Org_nast!J33,Org_nast!$E$4,0,1,1)</f>
        <v>ZŠ O-Poruba, Dětská</v>
      </c>
      <c r="D36" s="147"/>
      <c r="E36" s="152">
        <f ca="1">OFFSET(Org_nast!K33,Org_nast!$E$4,0,1,1)</f>
        <v>83.02914213543383</v>
      </c>
      <c r="F36" s="306" t="str">
        <f ca="1">IF(ISERROR(VLOOKUP(E36,vstupy!$B$41:$C$50,2,1)),"",VLOOKUP(E36,vstupy!$B$41:$C$50,2,1))</f>
        <v>A</v>
      </c>
      <c r="G36" s="163"/>
      <c r="H36" s="327">
        <f ca="1">OFFSET(Org_nast!L33,Org_nast!$E$4,0,1,1)</f>
        <v>1383750</v>
      </c>
      <c r="I36" s="328">
        <f ca="1">OFFSET(Org_nast!M33,Org_nast!$E$4,0,1,1)</f>
        <v>651775.05999999994</v>
      </c>
      <c r="J36" s="138">
        <f ca="1">OFFSET(Org_nast!N33,Org_nast!$E$4,0,1,1)</f>
        <v>0.47102082023486896</v>
      </c>
      <c r="K36" s="139"/>
      <c r="L36" s="140">
        <f ca="1">OFFSET(Org_nast!O33,Org_nast!$E$4,0,1,1)</f>
        <v>6.4199999999999993E-2</v>
      </c>
      <c r="M36" s="330">
        <f ca="1">OFFSET(Org_nast!P33,Org_nast!$E$4,0,1,1)</f>
        <v>88064.02</v>
      </c>
      <c r="N36" s="313">
        <f ca="1">OFFSET(Org_nast!Q33,Org_nast!$E$4,0,1,1)</f>
        <v>6.3641568202348689E-2</v>
      </c>
      <c r="O36" s="138">
        <f ca="1">OFFSET(Org_nast!R33,Org_nast!$E$4,0,1,1)</f>
        <v>0.99130168539483965</v>
      </c>
      <c r="P36" s="141"/>
      <c r="Q36" s="332">
        <f ca="1">OFFSET(Org_nast!S33,Org_nast!$E$4,0,1,1)</f>
        <v>61359.98</v>
      </c>
      <c r="R36" s="138">
        <f ca="1">OFFSET(Org_nast!T33,Org_nast!$E$4,0,1,1)</f>
        <v>0.41064340400471144</v>
      </c>
      <c r="S36" s="155"/>
      <c r="T36" s="310"/>
    </row>
    <row r="37" spans="1:22" s="475" customFormat="1" ht="15.75" x14ac:dyDescent="0.2">
      <c r="D37" s="519" t="str">
        <f>IF(Org_nast!$E$4&lt;Org_nast!$E$5,"▼","")</f>
        <v>▼</v>
      </c>
      <c r="E37" s="477"/>
      <c r="F37" s="477"/>
      <c r="G37" s="477"/>
      <c r="K37" s="478" t="s">
        <v>458</v>
      </c>
      <c r="L37" s="479"/>
      <c r="M37" s="480" t="s">
        <v>457</v>
      </c>
      <c r="N37" s="481"/>
      <c r="O37" s="482"/>
      <c r="P37" s="483"/>
    </row>
    <row r="38" spans="1:22" s="475" customFormat="1" ht="12" x14ac:dyDescent="0.2">
      <c r="A38" s="476"/>
      <c r="B38" s="486" t="str">
        <f ca="1">IF(COUNTIF(C12:C36,"►")&gt;0,"Zvýrazněné organizace mají nastaven plán r.2012","")</f>
        <v/>
      </c>
      <c r="C38" s="484" t="str">
        <f ca="1">IF(ISERROR(SEARCH("►",CONCATENATE(C12,C13,C14,C15,C16,C17,C18,C19,C20,C21,C22,C23,C24,C25,C26,C27,C28,C29,C30,C31,C32,C33,C34,C35,C36))),"","Zvýrazněné organizace mají v plánu nastaven ►plán roku 2015 ")</f>
        <v/>
      </c>
      <c r="D38" s="484"/>
      <c r="E38" s="484"/>
      <c r="F38" s="484"/>
      <c r="G38" s="484"/>
      <c r="H38" s="484"/>
      <c r="I38" s="484"/>
      <c r="J38" s="484"/>
      <c r="K38" s="484"/>
      <c r="L38" s="484"/>
      <c r="M38" s="484"/>
      <c r="N38" s="485"/>
      <c r="O38" s="484"/>
      <c r="P38" s="484"/>
      <c r="Q38" s="484"/>
      <c r="R38" s="484"/>
      <c r="S38" s="484"/>
      <c r="T38" s="484"/>
      <c r="U38" s="484"/>
      <c r="V38" s="484"/>
    </row>
  </sheetData>
  <sheetProtection sheet="1" objects="1" scenarios="1" selectLockedCells="1"/>
  <mergeCells count="25">
    <mergeCell ref="C4:H4"/>
    <mergeCell ref="B2:S2"/>
    <mergeCell ref="B3:S3"/>
    <mergeCell ref="L8:P8"/>
    <mergeCell ref="C5:D5"/>
    <mergeCell ref="H8:H9"/>
    <mergeCell ref="O9:P9"/>
    <mergeCell ref="B8:D10"/>
    <mergeCell ref="B7:D7"/>
    <mergeCell ref="E10:G10"/>
    <mergeCell ref="L5:O5"/>
    <mergeCell ref="E8:G9"/>
    <mergeCell ref="I8:K8"/>
    <mergeCell ref="O10:P10"/>
    <mergeCell ref="J10:K10"/>
    <mergeCell ref="L7:P7"/>
    <mergeCell ref="F5:G5"/>
    <mergeCell ref="I7:K7"/>
    <mergeCell ref="R10:S10"/>
    <mergeCell ref="Q8:T8"/>
    <mergeCell ref="R9:S9"/>
    <mergeCell ref="H5:J5"/>
    <mergeCell ref="Q5:S5"/>
    <mergeCell ref="J9:K9"/>
    <mergeCell ref="Q7:T7"/>
  </mergeCells>
  <phoneticPr fontId="4" type="noConversion"/>
  <conditionalFormatting sqref="H10:H36">
    <cfRule type="expression" dxfId="55" priority="5" stopIfTrue="1">
      <formula>OrgSortCriteria=2</formula>
    </cfRule>
  </conditionalFormatting>
  <conditionalFormatting sqref="O9:P36">
    <cfRule type="expression" dxfId="54" priority="17" stopIfTrue="1">
      <formula>OrgSortCriteria=8</formula>
    </cfRule>
  </conditionalFormatting>
  <conditionalFormatting sqref="Q9:Q36">
    <cfRule type="expression" dxfId="53" priority="20" stopIfTrue="1">
      <formula>OrgSortCriteria=9</formula>
    </cfRule>
  </conditionalFormatting>
  <conditionalFormatting sqref="L9:L36">
    <cfRule type="expression" dxfId="52" priority="8" stopIfTrue="1">
      <formula>OrgSortCriteria=5</formula>
    </cfRule>
  </conditionalFormatting>
  <conditionalFormatting sqref="E10:G36">
    <cfRule type="expression" dxfId="51" priority="4" stopIfTrue="1">
      <formula>OrgSortCriteria=1</formula>
    </cfRule>
  </conditionalFormatting>
  <conditionalFormatting sqref="E11:E36">
    <cfRule type="iconSet" priority="3">
      <iconSet iconSet="4TrafficLights" showValue="0">
        <cfvo type="percent" val="0"/>
        <cfvo type="num" val="29"/>
        <cfvo type="num" val="53"/>
        <cfvo type="num" val="77"/>
      </iconSet>
    </cfRule>
  </conditionalFormatting>
  <conditionalFormatting sqref="B12:C36">
    <cfRule type="containsText" dxfId="50" priority="2" operator="containsText" text="►">
      <formula>NOT(ISERROR(SEARCH("►",B12)))</formula>
    </cfRule>
  </conditionalFormatting>
  <conditionalFormatting sqref="N9:N36">
    <cfRule type="expression" dxfId="49" priority="12" stopIfTrue="1">
      <formula>OrgSortCriteria=7</formula>
    </cfRule>
  </conditionalFormatting>
  <dataValidations count="3">
    <dataValidation type="list" allowBlank="1" showInputMessage="1" showErrorMessage="1" sqref="H5">
      <formula1>vyber1</formula1>
    </dataValidation>
    <dataValidation type="list" allowBlank="1" showInputMessage="1" showErrorMessage="1" sqref="C5:D5">
      <formula1>vyber2</formula1>
    </dataValidation>
    <dataValidation type="list" allowBlank="1" showInputMessage="1" showErrorMessage="1" sqref="L5">
      <formula1>INDIRECT(H5)</formula1>
    </dataValidation>
  </dataValidations>
  <printOptions horizontalCentered="1"/>
  <pageMargins left="0.23622047244094491" right="0" top="0.55118110236220474" bottom="0.35433070866141736" header="0" footer="0"/>
  <pageSetup paperSize="9" scale="94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ScrollBar Liste">
              <controlPr defaultSize="0" print="0" autoPict="0">
                <anchor>
                  <from>
                    <xdr:col>2</xdr:col>
                    <xdr:colOff>1876425</xdr:colOff>
                    <xdr:row>10</xdr:row>
                    <xdr:rowOff>133350</xdr:rowOff>
                  </from>
                  <to>
                    <xdr:col>4</xdr:col>
                    <xdr:colOff>0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01">
              <controlPr defaultSize="0" print="0" autoFill="0" autoLine="0" autoPict="0">
                <anchor moveWithCells="1">
                  <from>
                    <xdr:col>5</xdr:col>
                    <xdr:colOff>38100</xdr:colOff>
                    <xdr:row>10</xdr:row>
                    <xdr:rowOff>9525</xdr:rowOff>
                  </from>
                  <to>
                    <xdr:col>5</xdr:col>
                    <xdr:colOff>257175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Option Button 3">
              <controlPr defaultSize="0" print="0" autoFill="0" autoLine="0" autoPict="0">
                <anchor moveWithCells="1">
                  <from>
                    <xdr:col>7</xdr:col>
                    <xdr:colOff>323850</xdr:colOff>
                    <xdr:row>10</xdr:row>
                    <xdr:rowOff>9525</xdr:rowOff>
                  </from>
                  <to>
                    <xdr:col>7</xdr:col>
                    <xdr:colOff>533400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Option Button 4">
              <controlPr defaultSize="0" print="0" autoFill="0" autoLine="0" autoPict="0">
                <anchor moveWithCells="1">
                  <from>
                    <xdr:col>8</xdr:col>
                    <xdr:colOff>295275</xdr:colOff>
                    <xdr:row>10</xdr:row>
                    <xdr:rowOff>9525</xdr:rowOff>
                  </from>
                  <to>
                    <xdr:col>8</xdr:col>
                    <xdr:colOff>514350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Option Button 6">
              <controlPr defaultSize="0" print="0" autoFill="0" autoLine="0" autoPict="0">
                <anchor moveWithCells="1">
                  <from>
                    <xdr:col>10</xdr:col>
                    <xdr:colOff>76200</xdr:colOff>
                    <xdr:row>10</xdr:row>
                    <xdr:rowOff>9525</xdr:rowOff>
                  </from>
                  <to>
                    <xdr:col>10</xdr:col>
                    <xdr:colOff>295275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Option Button 7">
              <controlPr defaultSize="0" print="0" autoFill="0" autoLine="0" autoPict="0">
                <anchor moveWithCells="1">
                  <from>
                    <xdr:col>11</xdr:col>
                    <xdr:colOff>180975</xdr:colOff>
                    <xdr:row>10</xdr:row>
                    <xdr:rowOff>9525</xdr:rowOff>
                  </from>
                  <to>
                    <xdr:col>11</xdr:col>
                    <xdr:colOff>400050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0" name="Option Button 24">
              <controlPr defaultSize="0" print="0" autoFill="0" autoLine="0" autoPict="0">
                <anchor moveWithCells="1">
                  <from>
                    <xdr:col>12</xdr:col>
                    <xdr:colOff>295275</xdr:colOff>
                    <xdr:row>10</xdr:row>
                    <xdr:rowOff>9525</xdr:rowOff>
                  </from>
                  <to>
                    <xdr:col>12</xdr:col>
                    <xdr:colOff>514350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1" name="Option Button 26">
              <controlPr defaultSize="0" print="0" autoFill="0" autoLine="0" autoPict="0">
                <anchor moveWithCells="1">
                  <from>
                    <xdr:col>13</xdr:col>
                    <xdr:colOff>171450</xdr:colOff>
                    <xdr:row>10</xdr:row>
                    <xdr:rowOff>9525</xdr:rowOff>
                  </from>
                  <to>
                    <xdr:col>13</xdr:col>
                    <xdr:colOff>390525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6" r:id="rId12" name="Option Button 1004">
              <controlPr defaultSize="0" print="0" autoFill="0" autoLine="0" autoPict="0">
                <anchor moveWithCells="1">
                  <from>
                    <xdr:col>15</xdr:col>
                    <xdr:colOff>76200</xdr:colOff>
                    <xdr:row>10</xdr:row>
                    <xdr:rowOff>9525</xdr:rowOff>
                  </from>
                  <to>
                    <xdr:col>15</xdr:col>
                    <xdr:colOff>295275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344" r:id="rId13" name="Option Button 1160">
              <controlPr defaultSize="0" print="0" autoFill="0" autoLine="0" autoPict="0">
                <anchor moveWithCells="1">
                  <from>
                    <xdr:col>16</xdr:col>
                    <xdr:colOff>285750</xdr:colOff>
                    <xdr:row>10</xdr:row>
                    <xdr:rowOff>9525</xdr:rowOff>
                  </from>
                  <to>
                    <xdr:col>16</xdr:col>
                    <xdr:colOff>504825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856" r:id="rId14" name="Option Button 1672">
              <controlPr defaultSize="0" print="0" autoFill="0" autoLine="0" autoPict="0">
                <anchor moveWithCells="1">
                  <from>
                    <xdr:col>18</xdr:col>
                    <xdr:colOff>76200</xdr:colOff>
                    <xdr:row>10</xdr:row>
                    <xdr:rowOff>9525</xdr:rowOff>
                  </from>
                  <to>
                    <xdr:col>18</xdr:col>
                    <xdr:colOff>295275</xdr:colOff>
                    <xdr:row>10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37"/>
  <sheetViews>
    <sheetView showGridLines="0" showRowColHeaders="0" zoomScale="90" zoomScaleNormal="90" workbookViewId="0">
      <selection activeCell="B4" sqref="B4:B5"/>
    </sheetView>
  </sheetViews>
  <sheetFormatPr defaultColWidth="0" defaultRowHeight="0" customHeight="1" zeroHeight="1" x14ac:dyDescent="0.2"/>
  <cols>
    <col min="1" max="1" width="2.83203125" style="388" customWidth="1"/>
    <col min="2" max="2" width="32.33203125" style="388" customWidth="1"/>
    <col min="3" max="3" width="1" style="388" customWidth="1"/>
    <col min="4" max="5" width="24.83203125" style="388" customWidth="1"/>
    <col min="6" max="6" width="1" style="388" customWidth="1"/>
    <col min="7" max="8" width="25.83203125" style="388" customWidth="1"/>
    <col min="9" max="9" width="1" style="388" customWidth="1"/>
    <col min="10" max="11" width="24.83203125" style="388" customWidth="1"/>
    <col min="12" max="12" width="2.83203125" style="388" customWidth="1"/>
    <col min="13" max="16384" width="9.33203125" hidden="1"/>
  </cols>
  <sheetData>
    <row r="1" spans="1:12" s="14" customFormat="1" ht="36.75" customHeight="1" x14ac:dyDescent="0.35">
      <c r="A1" s="463" t="s">
        <v>328</v>
      </c>
      <c r="B1" s="759" t="s">
        <v>56</v>
      </c>
      <c r="C1" s="759"/>
      <c r="D1" s="760"/>
      <c r="E1" s="760"/>
      <c r="F1" s="760"/>
      <c r="G1" s="760"/>
      <c r="H1" s="760"/>
      <c r="I1" s="760"/>
      <c r="J1" s="760"/>
      <c r="K1" s="760"/>
      <c r="L1" s="468"/>
    </row>
    <row r="2" spans="1:12" s="14" customFormat="1" ht="13.5" customHeight="1" x14ac:dyDescent="0.2">
      <c r="A2" s="388"/>
      <c r="B2" s="761" t="str">
        <f>" Průběžné vyhodnocení stavu projektu"</f>
        <v xml:space="preserve"> Průběžné vyhodnocení stavu projektu</v>
      </c>
      <c r="C2" s="761"/>
      <c r="D2" s="761"/>
      <c r="E2" s="761"/>
      <c r="F2" s="761"/>
      <c r="G2" s="761"/>
      <c r="H2" s="761"/>
      <c r="I2" s="761"/>
      <c r="J2" s="761"/>
      <c r="K2" s="761"/>
      <c r="L2" s="388"/>
    </row>
    <row r="3" spans="1:12" s="14" customFormat="1" ht="26.25" customHeight="1" x14ac:dyDescent="0.25">
      <c r="A3" s="388"/>
      <c r="B3" s="462"/>
      <c r="C3" s="462"/>
      <c r="D3" s="462"/>
      <c r="E3" s="462"/>
      <c r="F3" s="462"/>
      <c r="G3" s="462"/>
      <c r="H3" s="462"/>
      <c r="I3" s="462"/>
      <c r="J3" s="762" t="s">
        <v>264</v>
      </c>
      <c r="K3" s="762"/>
      <c r="L3" s="388"/>
    </row>
    <row r="4" spans="1:12" s="289" customFormat="1" ht="24.95" customHeight="1" x14ac:dyDescent="0.2">
      <c r="A4" s="387"/>
      <c r="B4" s="763" t="s">
        <v>265</v>
      </c>
      <c r="C4" s="496"/>
      <c r="D4" s="751" t="s">
        <v>452</v>
      </c>
      <c r="E4" s="752"/>
      <c r="F4" s="497"/>
      <c r="G4" s="755" t="s">
        <v>453</v>
      </c>
      <c r="H4" s="756"/>
      <c r="I4" s="498"/>
      <c r="J4" s="751" t="s">
        <v>454</v>
      </c>
      <c r="K4" s="752"/>
      <c r="L4" s="495"/>
    </row>
    <row r="5" spans="1:12" s="289" customFormat="1" ht="24.95" customHeight="1" x14ac:dyDescent="0.2">
      <c r="A5" s="387"/>
      <c r="B5" s="764"/>
      <c r="C5" s="496"/>
      <c r="D5" s="753"/>
      <c r="E5" s="754"/>
      <c r="F5" s="497"/>
      <c r="G5" s="757"/>
      <c r="H5" s="758"/>
      <c r="I5" s="498"/>
      <c r="J5" s="753"/>
      <c r="K5" s="754"/>
      <c r="L5" s="495"/>
    </row>
    <row r="6" spans="1:12" s="290" customFormat="1" ht="14.25" customHeight="1" x14ac:dyDescent="0.25">
      <c r="A6" s="464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6"/>
    </row>
    <row r="7" spans="1:12" ht="11.25" x14ac:dyDescent="0.2"/>
    <row r="8" spans="1:12" ht="50.1" customHeight="1" x14ac:dyDescent="0.2"/>
    <row r="9" spans="1:12" ht="50.1" customHeight="1" x14ac:dyDescent="0.2"/>
    <row r="10" spans="1:12" ht="11.25" x14ac:dyDescent="0.2"/>
    <row r="11" spans="1:12" ht="11.25" x14ac:dyDescent="0.2"/>
    <row r="12" spans="1:12" ht="11.25" x14ac:dyDescent="0.2"/>
    <row r="13" spans="1:12" ht="11.25" x14ac:dyDescent="0.2"/>
    <row r="14" spans="1:12" ht="11.25" x14ac:dyDescent="0.2"/>
    <row r="15" spans="1:12" ht="11.25" x14ac:dyDescent="0.2"/>
    <row r="16" spans="1:12" ht="11.25" x14ac:dyDescent="0.2"/>
    <row r="17" ht="11.25" x14ac:dyDescent="0.2"/>
    <row r="18" ht="11.25" x14ac:dyDescent="0.2"/>
    <row r="19" ht="11.25" x14ac:dyDescent="0.2"/>
    <row r="20" ht="11.25" x14ac:dyDescent="0.2"/>
    <row r="21" ht="11.25" x14ac:dyDescent="0.2"/>
    <row r="22" ht="11.25" x14ac:dyDescent="0.2"/>
    <row r="23" ht="11.25" x14ac:dyDescent="0.2"/>
    <row r="24" ht="11.25" x14ac:dyDescent="0.2"/>
    <row r="25" ht="11.25" x14ac:dyDescent="0.2"/>
    <row r="26" ht="11.25" x14ac:dyDescent="0.2"/>
    <row r="27" ht="11.25" x14ac:dyDescent="0.2"/>
    <row r="28" ht="11.25" x14ac:dyDescent="0.2"/>
    <row r="29" ht="11.25" x14ac:dyDescent="0.2"/>
    <row r="30" ht="11.25" x14ac:dyDescent="0.2"/>
    <row r="31" ht="11.25" x14ac:dyDescent="0.2"/>
    <row r="32" ht="11.25" x14ac:dyDescent="0.2"/>
    <row r="33" ht="11.25" x14ac:dyDescent="0.2"/>
    <row r="34" ht="11.25" x14ac:dyDescent="0.2"/>
    <row r="35" ht="11.25" x14ac:dyDescent="0.2"/>
    <row r="36" ht="11.25" x14ac:dyDescent="0.2"/>
    <row r="37" ht="11.25" x14ac:dyDescent="0.2"/>
  </sheetData>
  <sheetProtection sheet="1" objects="1" scenarios="1" selectLockedCells="1" selectUnlockedCells="1"/>
  <mergeCells count="7">
    <mergeCell ref="D4:E5"/>
    <mergeCell ref="G4:H5"/>
    <mergeCell ref="B1:K1"/>
    <mergeCell ref="B2:K2"/>
    <mergeCell ref="J3:K3"/>
    <mergeCell ref="B4:B5"/>
    <mergeCell ref="J4:K5"/>
  </mergeCells>
  <phoneticPr fontId="4" type="noConversion"/>
  <hyperlinks>
    <hyperlink ref="A1" location="'I. Souhrn SMO'!A1" display="ç"/>
  </hyperlinks>
  <printOptions horizontalCentered="1" verticalCentered="1"/>
  <pageMargins left="0.70866141732283472" right="0.70866141732283472" top="0.19685039370078741" bottom="0" header="0.31496062992125984" footer="0.31496062992125984"/>
  <pageSetup paperSize="9" scale="94" fitToHeight="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7"/>
  <sheetViews>
    <sheetView showGridLines="0" showRowColHeaders="0" workbookViewId="0">
      <selection activeCell="D23" sqref="A23:XFD1048576"/>
    </sheetView>
  </sheetViews>
  <sheetFormatPr defaultColWidth="0" defaultRowHeight="11.25" zeroHeight="1" x14ac:dyDescent="0.2"/>
  <cols>
    <col min="1" max="1" width="2.83203125" customWidth="1"/>
    <col min="2" max="2" width="2.6640625" customWidth="1"/>
    <col min="3" max="3" width="15.83203125" customWidth="1"/>
    <col min="4" max="4" width="24.83203125" customWidth="1"/>
    <col min="5" max="5" width="13.6640625" customWidth="1"/>
    <col min="6" max="6" width="9.33203125" customWidth="1"/>
    <col min="7" max="7" width="4" customWidth="1"/>
    <col min="8" max="17" width="9.33203125" customWidth="1"/>
    <col min="18" max="18" width="2.5" customWidth="1"/>
    <col min="19" max="16384" width="9.33203125" hidden="1"/>
  </cols>
  <sheetData>
    <row r="1" spans="1:17" x14ac:dyDescent="0.2">
      <c r="A1" s="274"/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</row>
    <row r="2" spans="1:17" x14ac:dyDescent="0.2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</row>
    <row r="3" spans="1:17" ht="15.75" x14ac:dyDescent="0.2">
      <c r="A3" s="274"/>
      <c r="B3" s="274"/>
      <c r="C3" s="768" t="s">
        <v>362</v>
      </c>
      <c r="D3" s="769"/>
      <c r="E3" s="501" t="s">
        <v>361</v>
      </c>
      <c r="F3" s="274"/>
      <c r="G3" s="499"/>
      <c r="H3" s="770" t="s">
        <v>360</v>
      </c>
      <c r="I3" s="770"/>
      <c r="J3" s="770"/>
      <c r="K3" s="770"/>
      <c r="L3" s="770"/>
      <c r="M3" s="770"/>
      <c r="N3" s="770"/>
      <c r="O3" s="770"/>
      <c r="P3" s="770"/>
      <c r="Q3" s="771"/>
    </row>
    <row r="4" spans="1:17" ht="14.25" customHeight="1" x14ac:dyDescent="0.2">
      <c r="A4" s="274"/>
      <c r="B4" s="274"/>
      <c r="C4" s="772" t="s">
        <v>82</v>
      </c>
      <c r="D4" s="773"/>
      <c r="E4" s="277">
        <v>40</v>
      </c>
      <c r="F4" s="274"/>
      <c r="G4" s="774" t="s">
        <v>424</v>
      </c>
      <c r="H4" s="775"/>
      <c r="I4" s="775"/>
      <c r="J4" s="775"/>
      <c r="K4" s="775"/>
      <c r="L4" s="775"/>
      <c r="M4" s="775"/>
      <c r="N4" s="775"/>
      <c r="O4" s="775"/>
      <c r="P4" s="775"/>
      <c r="Q4" s="776"/>
    </row>
    <row r="5" spans="1:17" ht="26.25" customHeight="1" x14ac:dyDescent="0.2">
      <c r="A5" s="274"/>
      <c r="B5" s="274"/>
      <c r="C5" s="780" t="s">
        <v>359</v>
      </c>
      <c r="D5" s="781"/>
      <c r="E5" s="276">
        <v>60</v>
      </c>
      <c r="F5" s="274"/>
      <c r="G5" s="774"/>
      <c r="H5" s="775"/>
      <c r="I5" s="775"/>
      <c r="J5" s="775"/>
      <c r="K5" s="775"/>
      <c r="L5" s="775"/>
      <c r="M5" s="775"/>
      <c r="N5" s="775"/>
      <c r="O5" s="775"/>
      <c r="P5" s="775"/>
      <c r="Q5" s="776"/>
    </row>
    <row r="6" spans="1:17" x14ac:dyDescent="0.2">
      <c r="A6" s="274"/>
      <c r="B6" s="274"/>
      <c r="C6" s="292"/>
      <c r="D6" s="292"/>
      <c r="E6" s="293"/>
      <c r="F6" s="274"/>
      <c r="G6" s="777"/>
      <c r="H6" s="778"/>
      <c r="I6" s="778"/>
      <c r="J6" s="778"/>
      <c r="K6" s="778"/>
      <c r="L6" s="778"/>
      <c r="M6" s="778"/>
      <c r="N6" s="778"/>
      <c r="O6" s="778"/>
      <c r="P6" s="778"/>
      <c r="Q6" s="779"/>
    </row>
    <row r="7" spans="1:17" ht="15" x14ac:dyDescent="0.2">
      <c r="A7" s="274"/>
      <c r="B7" s="274"/>
      <c r="C7" s="500" t="s">
        <v>358</v>
      </c>
      <c r="D7" s="782" t="s">
        <v>357</v>
      </c>
      <c r="E7" s="783"/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4"/>
    </row>
    <row r="8" spans="1:17" ht="14.25" x14ac:dyDescent="0.2">
      <c r="A8" s="274"/>
      <c r="B8" s="274"/>
      <c r="C8" s="505">
        <v>93</v>
      </c>
      <c r="D8" s="509" t="s">
        <v>262</v>
      </c>
      <c r="E8" s="765">
        <v>100</v>
      </c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</row>
    <row r="9" spans="1:17" ht="14.25" x14ac:dyDescent="0.2">
      <c r="A9" s="274"/>
      <c r="B9" s="274"/>
      <c r="C9" s="506">
        <v>85</v>
      </c>
      <c r="D9" s="510" t="s">
        <v>261</v>
      </c>
      <c r="E9" s="766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</row>
    <row r="10" spans="1:17" ht="14.25" x14ac:dyDescent="0.2">
      <c r="A10" s="274"/>
      <c r="B10" s="274"/>
      <c r="C10" s="507">
        <v>77</v>
      </c>
      <c r="D10" s="511" t="s">
        <v>14</v>
      </c>
      <c r="E10" s="767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</row>
    <row r="11" spans="1:17" ht="14.25" x14ac:dyDescent="0.2">
      <c r="A11" s="274"/>
      <c r="B11" s="274"/>
      <c r="C11" s="502">
        <v>69</v>
      </c>
      <c r="D11" s="509" t="s">
        <v>260</v>
      </c>
      <c r="E11" s="765">
        <v>76.989999999999995</v>
      </c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</row>
    <row r="12" spans="1:17" ht="14.25" x14ac:dyDescent="0.2">
      <c r="A12" s="274"/>
      <c r="B12" s="274"/>
      <c r="C12" s="503">
        <v>61</v>
      </c>
      <c r="D12" s="510" t="s">
        <v>259</v>
      </c>
      <c r="E12" s="766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</row>
    <row r="13" spans="1:17" ht="14.25" x14ac:dyDescent="0.2">
      <c r="A13" s="274"/>
      <c r="B13" s="274"/>
      <c r="C13" s="504">
        <v>53</v>
      </c>
      <c r="D13" s="511" t="s">
        <v>258</v>
      </c>
      <c r="E13" s="767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</row>
    <row r="14" spans="1:17" ht="14.25" x14ac:dyDescent="0.2">
      <c r="A14" s="274"/>
      <c r="B14" s="274"/>
      <c r="C14" s="515">
        <v>45</v>
      </c>
      <c r="D14" s="509" t="s">
        <v>257</v>
      </c>
      <c r="E14" s="765">
        <v>52.99</v>
      </c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</row>
    <row r="15" spans="1:17" ht="14.25" x14ac:dyDescent="0.2">
      <c r="A15" s="274"/>
      <c r="B15" s="274"/>
      <c r="C15" s="516">
        <v>37</v>
      </c>
      <c r="D15" s="510" t="s">
        <v>256</v>
      </c>
      <c r="E15" s="766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</row>
    <row r="16" spans="1:17" ht="14.25" x14ac:dyDescent="0.2">
      <c r="A16" s="274"/>
      <c r="B16" s="274"/>
      <c r="C16" s="517">
        <v>29</v>
      </c>
      <c r="D16" s="511" t="s">
        <v>255</v>
      </c>
      <c r="E16" s="767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</row>
    <row r="17" spans="1:17" ht="14.25" x14ac:dyDescent="0.2">
      <c r="A17" s="274"/>
      <c r="B17" s="274"/>
      <c r="C17" s="508">
        <v>0</v>
      </c>
      <c r="D17" s="512" t="s">
        <v>254</v>
      </c>
      <c r="E17" s="275">
        <v>28.99</v>
      </c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4"/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</row>
    <row r="19" spans="1:17" x14ac:dyDescent="0.2">
      <c r="A19" s="274"/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</row>
    <row r="20" spans="1:17" x14ac:dyDescent="0.2">
      <c r="A20" s="274"/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</row>
    <row r="21" spans="1:17" x14ac:dyDescent="0.2">
      <c r="A21" s="274"/>
      <c r="B21" s="274"/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274"/>
      <c r="Q21" s="274"/>
    </row>
    <row r="22" spans="1:17" x14ac:dyDescent="0.2">
      <c r="A22" s="274"/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</row>
    <row r="23" spans="1:17" hidden="1" x14ac:dyDescent="0.2">
      <c r="A23" s="274"/>
      <c r="B23" s="274"/>
      <c r="C23" s="274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</row>
    <row r="24" spans="1:17" hidden="1" x14ac:dyDescent="0.2">
      <c r="A24" s="274"/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</row>
    <row r="25" spans="1:17" hidden="1" x14ac:dyDescent="0.2">
      <c r="A25" s="274"/>
      <c r="B25" s="274"/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</row>
    <row r="26" spans="1:17" hidden="1" x14ac:dyDescent="0.2">
      <c r="A26" s="274"/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</row>
    <row r="27" spans="1:17" hidden="1" x14ac:dyDescent="0.2">
      <c r="A27" s="274"/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</row>
    <row r="28" spans="1:17" hidden="1" x14ac:dyDescent="0.2">
      <c r="A28" s="274"/>
      <c r="B28" s="274"/>
      <c r="C28" s="274"/>
      <c r="D28" s="274"/>
      <c r="E28" s="274"/>
      <c r="F28" s="274"/>
      <c r="G28" s="274"/>
      <c r="H28" s="274"/>
      <c r="I28" s="274"/>
      <c r="J28" s="274"/>
      <c r="K28" s="274"/>
      <c r="L28" s="274"/>
      <c r="M28" s="274"/>
      <c r="N28" s="274"/>
      <c r="O28" s="274"/>
      <c r="P28" s="274"/>
      <c r="Q28" s="274"/>
    </row>
    <row r="29" spans="1:17" hidden="1" x14ac:dyDescent="0.2">
      <c r="A29" s="274"/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</row>
    <row r="30" spans="1:17" hidden="1" x14ac:dyDescent="0.2">
      <c r="A30" s="274"/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</row>
    <row r="31" spans="1:17" hidden="1" x14ac:dyDescent="0.2">
      <c r="A31" s="274"/>
      <c r="B31" s="274"/>
      <c r="C31" s="274"/>
      <c r="D31" s="274"/>
      <c r="E31" s="274"/>
      <c r="F31" s="274"/>
      <c r="G31" s="274"/>
      <c r="H31" s="274"/>
      <c r="I31" s="274"/>
      <c r="J31" s="274"/>
      <c r="K31" s="274"/>
      <c r="L31" s="274"/>
      <c r="M31" s="274"/>
      <c r="N31" s="274"/>
      <c r="O31" s="274"/>
      <c r="P31" s="274"/>
      <c r="Q31" s="274"/>
    </row>
    <row r="32" spans="1:17" hidden="1" x14ac:dyDescent="0.2">
      <c r="A32" s="274"/>
      <c r="B32" s="274"/>
      <c r="C32" s="274"/>
      <c r="D32" s="274"/>
      <c r="E32" s="274"/>
      <c r="F32" s="274"/>
      <c r="G32" s="274"/>
      <c r="H32" s="274"/>
      <c r="I32" s="274"/>
      <c r="J32" s="274"/>
      <c r="K32" s="274"/>
      <c r="L32" s="274"/>
      <c r="M32" s="274"/>
      <c r="N32" s="274"/>
      <c r="O32" s="274"/>
      <c r="P32" s="274"/>
      <c r="Q32" s="274"/>
    </row>
    <row r="33" spans="1:17" hidden="1" x14ac:dyDescent="0.2">
      <c r="A33" s="274"/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</row>
    <row r="34" spans="1:17" hidden="1" x14ac:dyDescent="0.2">
      <c r="A34" s="274"/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</row>
    <row r="35" spans="1:17" hidden="1" x14ac:dyDescent="0.2">
      <c r="A35" s="274"/>
      <c r="B35" s="274"/>
      <c r="C35" s="274"/>
      <c r="D35" s="274"/>
      <c r="E35" s="274"/>
      <c r="F35" s="274"/>
      <c r="G35" s="274"/>
      <c r="H35" s="274"/>
      <c r="I35" s="274"/>
      <c r="J35" s="274"/>
      <c r="K35" s="274"/>
      <c r="L35" s="274"/>
      <c r="M35" s="274"/>
      <c r="N35" s="274"/>
      <c r="O35" s="274"/>
      <c r="P35" s="274"/>
      <c r="Q35" s="274"/>
    </row>
    <row r="36" spans="1:17" hidden="1" x14ac:dyDescent="0.2">
      <c r="A36" s="274"/>
      <c r="B36" s="274"/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74"/>
    </row>
    <row r="37" spans="1:17" hidden="1" x14ac:dyDescent="0.2">
      <c r="A37" s="274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</row>
  </sheetData>
  <sheetProtection sheet="1" objects="1" scenarios="1" selectLockedCells="1" selectUnlockedCells="1"/>
  <mergeCells count="9">
    <mergeCell ref="E8:E10"/>
    <mergeCell ref="E11:E13"/>
    <mergeCell ref="E14:E16"/>
    <mergeCell ref="C3:D3"/>
    <mergeCell ref="H3:Q3"/>
    <mergeCell ref="C4:D4"/>
    <mergeCell ref="G4:Q6"/>
    <mergeCell ref="C5:D5"/>
    <mergeCell ref="D7:E7"/>
  </mergeCells>
  <conditionalFormatting sqref="E8:E17">
    <cfRule type="iconSet" priority="1">
      <iconSet iconSet="4TrafficLights">
        <cfvo type="percent" val="0"/>
        <cfvo type="percent" val="25"/>
        <cfvo type="percent" val="50"/>
        <cfvo type="percent" val="75"/>
      </iconSet>
    </cfRule>
  </conditionalFormatting>
  <pageMargins left="0.70866141732283472" right="0.70866141732283472" top="0.78740157480314965" bottom="0.78740157480314965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  <pageSetUpPr autoPageBreaks="0"/>
  </sheetPr>
  <dimension ref="A2:O65"/>
  <sheetViews>
    <sheetView topLeftCell="A2" zoomScale="90" zoomScaleNormal="90" workbookViewId="0">
      <selection activeCell="B5" sqref="B5:B6"/>
    </sheetView>
  </sheetViews>
  <sheetFormatPr defaultColWidth="0" defaultRowHeight="0" customHeight="1" zeroHeight="1" x14ac:dyDescent="0.2"/>
  <cols>
    <col min="1" max="1" width="2.83203125" customWidth="1"/>
    <col min="2" max="2" width="32.83203125" style="388" customWidth="1"/>
    <col min="3" max="3" width="1" style="388" customWidth="1"/>
    <col min="4" max="4" width="25.6640625" style="388" customWidth="1"/>
    <col min="5" max="5" width="1" style="388" customWidth="1"/>
    <col min="6" max="6" width="24.83203125" style="388" customWidth="1"/>
    <col min="7" max="7" width="1" style="388" customWidth="1"/>
    <col min="8" max="8" width="25.83203125" style="388" customWidth="1"/>
    <col min="9" max="9" width="1" style="388" customWidth="1"/>
    <col min="10" max="10" width="25.83203125" style="388" customWidth="1"/>
    <col min="11" max="11" width="1" style="388" customWidth="1"/>
    <col min="12" max="12" width="24.83203125" style="388" customWidth="1"/>
    <col min="13" max="13" width="1" style="388" customWidth="1"/>
    <col min="14" max="14" width="24.83203125" style="388" customWidth="1"/>
    <col min="15" max="15" width="2.83203125" customWidth="1"/>
  </cols>
  <sheetData>
    <row r="2" spans="1:15" s="164" customFormat="1" ht="32.25" customHeight="1" x14ac:dyDescent="0.35">
      <c r="A2" s="389"/>
      <c r="B2" s="759" t="s">
        <v>56</v>
      </c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  <c r="N2" s="796"/>
      <c r="O2" s="394"/>
    </row>
    <row r="3" spans="1:15" s="164" customFormat="1" ht="13.5" customHeight="1" x14ac:dyDescent="0.2">
      <c r="A3" s="388"/>
      <c r="B3" s="761" t="str">
        <f>" Průběžné vyhodnocení stavu projektu"</f>
        <v xml:space="preserve"> Průběžné vyhodnocení stavu projektu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395"/>
    </row>
    <row r="4" spans="1:15" s="164" customFormat="1" ht="26.25" customHeight="1" x14ac:dyDescent="0.2">
      <c r="A4" s="388"/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797" t="s">
        <v>264</v>
      </c>
      <c r="M4" s="797"/>
      <c r="N4" s="797"/>
      <c r="O4" s="395"/>
    </row>
    <row r="5" spans="1:15" s="165" customFormat="1" ht="24.95" customHeight="1" x14ac:dyDescent="0.2">
      <c r="A5" s="387"/>
      <c r="B5" s="798" t="s">
        <v>265</v>
      </c>
      <c r="C5" s="411"/>
      <c r="D5" s="751" t="s">
        <v>537</v>
      </c>
      <c r="E5" s="800"/>
      <c r="F5" s="752"/>
      <c r="G5" s="391"/>
      <c r="H5" s="755" t="s">
        <v>453</v>
      </c>
      <c r="I5" s="756"/>
      <c r="J5" s="802"/>
      <c r="K5" s="391"/>
      <c r="L5" s="751" t="s">
        <v>454</v>
      </c>
      <c r="M5" s="800"/>
      <c r="N5" s="752"/>
      <c r="O5" s="393"/>
    </row>
    <row r="6" spans="1:15" s="165" customFormat="1" ht="24.95" customHeight="1" x14ac:dyDescent="0.2">
      <c r="A6" s="387"/>
      <c r="B6" s="799"/>
      <c r="C6" s="412"/>
      <c r="D6" s="753"/>
      <c r="E6" s="801"/>
      <c r="F6" s="754"/>
      <c r="G6" s="392"/>
      <c r="H6" s="757"/>
      <c r="I6" s="758"/>
      <c r="J6" s="803"/>
      <c r="K6" s="392"/>
      <c r="L6" s="753"/>
      <c r="M6" s="801"/>
      <c r="N6" s="754"/>
      <c r="O6" s="393"/>
    </row>
    <row r="7" spans="1:15" ht="9.9499999999999993" customHeight="1" x14ac:dyDescent="0.2">
      <c r="A7" s="388"/>
      <c r="B7" s="390"/>
      <c r="C7" s="390"/>
      <c r="D7" s="390"/>
      <c r="E7" s="390"/>
      <c r="F7" s="390"/>
      <c r="G7" s="390"/>
      <c r="H7" s="390"/>
      <c r="I7" s="390"/>
      <c r="J7" s="390"/>
      <c r="K7" s="390"/>
      <c r="L7" s="451"/>
      <c r="M7" s="451"/>
      <c r="N7" s="451"/>
      <c r="O7" s="397"/>
    </row>
    <row r="8" spans="1:15" ht="45" customHeight="1" x14ac:dyDescent="0.2">
      <c r="A8" s="388"/>
      <c r="B8" s="784" t="s">
        <v>455</v>
      </c>
      <c r="C8" s="426"/>
      <c r="D8" s="787" t="s">
        <v>82</v>
      </c>
      <c r="E8" s="788"/>
      <c r="F8" s="789"/>
      <c r="G8" s="398"/>
      <c r="H8" s="790" t="s">
        <v>266</v>
      </c>
      <c r="I8" s="791"/>
      <c r="J8" s="792"/>
      <c r="K8" s="400"/>
      <c r="L8" s="793" t="s">
        <v>30</v>
      </c>
      <c r="M8" s="794"/>
      <c r="N8" s="795"/>
      <c r="O8" s="397"/>
    </row>
    <row r="9" spans="1:15" s="388" customFormat="1" ht="3.95" customHeight="1" x14ac:dyDescent="0.2">
      <c r="B9" s="785"/>
      <c r="C9" s="416"/>
      <c r="D9" s="414"/>
      <c r="E9" s="414"/>
      <c r="F9" s="414"/>
      <c r="G9" s="398"/>
      <c r="H9" s="414"/>
      <c r="I9" s="414"/>
      <c r="J9" s="414"/>
      <c r="K9" s="400"/>
      <c r="L9" s="452"/>
      <c r="M9" s="452"/>
      <c r="N9" s="452"/>
      <c r="O9" s="397"/>
    </row>
    <row r="10" spans="1:15" ht="16.5" customHeight="1" x14ac:dyDescent="0.2">
      <c r="A10" s="388"/>
      <c r="B10" s="786"/>
      <c r="C10" s="413"/>
      <c r="D10" s="438" t="s">
        <v>268</v>
      </c>
      <c r="E10" s="430"/>
      <c r="F10" s="438" t="s">
        <v>267</v>
      </c>
      <c r="G10" s="399"/>
      <c r="H10" s="444" t="s">
        <v>268</v>
      </c>
      <c r="I10" s="439"/>
      <c r="J10" s="444" t="s">
        <v>267</v>
      </c>
      <c r="K10" s="399"/>
      <c r="L10" s="461" t="s">
        <v>268</v>
      </c>
      <c r="M10" s="453"/>
      <c r="N10" s="461" t="s">
        <v>267</v>
      </c>
      <c r="O10" s="397"/>
    </row>
    <row r="11" spans="1:15" ht="9.9499999999999993" customHeight="1" x14ac:dyDescent="0.2">
      <c r="A11" s="388"/>
      <c r="H11" s="417"/>
      <c r="I11" s="417"/>
      <c r="J11" s="417"/>
      <c r="L11" s="454"/>
      <c r="M11" s="454"/>
      <c r="N11" s="454"/>
      <c r="O11" s="397"/>
    </row>
    <row r="12" spans="1:15" s="388" customFormat="1" ht="69.95" customHeight="1" x14ac:dyDescent="0.25">
      <c r="B12" s="423" t="s">
        <v>602</v>
      </c>
      <c r="C12" s="414"/>
      <c r="D12" s="434">
        <f>SUM(data!AQ16,data!AQ17)</f>
        <v>2863821771</v>
      </c>
      <c r="E12" s="431"/>
      <c r="F12" s="427">
        <f>SUM(data!AR16:AR17)+IF(uspora="A",data!AV16:AV17,0)</f>
        <v>1512178006</v>
      </c>
      <c r="G12" s="408"/>
      <c r="H12" s="445">
        <f>D12/100*25.6</f>
        <v>733138373.37600005</v>
      </c>
      <c r="I12" s="441"/>
      <c r="J12" s="446">
        <f>SUM(data!AT16:AT17)+IF(uspora="A",data!AV16:AV17,0)</f>
        <v>376202580.10999995</v>
      </c>
      <c r="K12" s="408"/>
      <c r="L12" s="458">
        <f>H12*10%</f>
        <v>73313837.337600008</v>
      </c>
      <c r="M12" s="440"/>
      <c r="N12" s="455">
        <f>SUM(data!AV16:AV17)</f>
        <v>99956309.50999999</v>
      </c>
      <c r="O12" s="397"/>
    </row>
    <row r="13" spans="1:15" s="388" customFormat="1" ht="9.9499999999999993" customHeight="1" x14ac:dyDescent="0.2">
      <c r="H13" s="417"/>
      <c r="I13" s="417"/>
      <c r="J13" s="417"/>
      <c r="L13" s="454"/>
      <c r="M13" s="454"/>
      <c r="N13" s="454"/>
    </row>
    <row r="14" spans="1:15" s="388" customFormat="1" ht="20.100000000000001" customHeight="1" x14ac:dyDescent="0.2">
      <c r="B14" s="424" t="s">
        <v>573</v>
      </c>
      <c r="C14" s="415"/>
      <c r="D14" s="435">
        <f>SUM(data!AQ14,data!AQ15)</f>
        <v>3714254800.7399998</v>
      </c>
      <c r="E14" s="432"/>
      <c r="F14" s="428">
        <f>SUM(data!AR14:AR15)</f>
        <v>2710692564.3800001</v>
      </c>
      <c r="G14" s="409"/>
      <c r="H14" s="447">
        <f>D14*25.6%</f>
        <v>950849228.98943996</v>
      </c>
      <c r="I14" s="421"/>
      <c r="J14" s="448">
        <f>SUM(data!AT14:AT15)</f>
        <v>555247557.43000007</v>
      </c>
      <c r="K14" s="409"/>
      <c r="L14" s="459">
        <f>H14*10%</f>
        <v>95084922.898944005</v>
      </c>
      <c r="M14" s="436"/>
      <c r="N14" s="456">
        <f>SUM(data!AV14:AV15)</f>
        <v>119205897.70999999</v>
      </c>
    </row>
    <row r="15" spans="1:15" s="388" customFormat="1" ht="3.95" customHeight="1" x14ac:dyDescent="0.2">
      <c r="H15" s="417"/>
      <c r="I15" s="417"/>
      <c r="J15" s="417"/>
      <c r="L15" s="454"/>
      <c r="M15" s="454"/>
      <c r="N15" s="454"/>
    </row>
    <row r="16" spans="1:15" s="388" customFormat="1" ht="20.100000000000001" customHeight="1" x14ac:dyDescent="0.2">
      <c r="B16" s="424" t="s">
        <v>448</v>
      </c>
      <c r="C16" s="415"/>
      <c r="D16" s="435">
        <f>SUM(data!AQ12:AQ13)</f>
        <v>3831066172.5799994</v>
      </c>
      <c r="E16" s="432"/>
      <c r="F16" s="428">
        <f>SUM(data!AR12:AR13)</f>
        <v>3066658426.3400002</v>
      </c>
      <c r="G16" s="409"/>
      <c r="H16" s="447">
        <f>D16*25.6%</f>
        <v>980752940.18047988</v>
      </c>
      <c r="I16" s="421"/>
      <c r="J16" s="448">
        <f>SUM(data!AT12:AT13)</f>
        <v>571226779.69000006</v>
      </c>
      <c r="K16" s="409"/>
      <c r="L16" s="459">
        <f>H16*10%</f>
        <v>98075294.018047988</v>
      </c>
      <c r="M16" s="436"/>
      <c r="N16" s="456">
        <f>SUM(data!AV12:AV13)</f>
        <v>95771528.409999996</v>
      </c>
    </row>
    <row r="17" spans="2:15" s="388" customFormat="1" ht="3.95" customHeight="1" x14ac:dyDescent="0.2">
      <c r="B17" s="415"/>
      <c r="C17" s="415"/>
      <c r="D17" s="436"/>
      <c r="E17" s="421"/>
      <c r="F17" s="422"/>
      <c r="G17" s="409"/>
      <c r="H17" s="421"/>
      <c r="I17" s="421"/>
      <c r="J17" s="422"/>
      <c r="K17" s="409"/>
      <c r="L17" s="436"/>
      <c r="M17" s="436"/>
      <c r="N17" s="436"/>
    </row>
    <row r="18" spans="2:15" s="388" customFormat="1" ht="20.100000000000001" customHeight="1" x14ac:dyDescent="0.2">
      <c r="B18" s="424" t="s">
        <v>435</v>
      </c>
      <c r="C18" s="415"/>
      <c r="D18" s="435">
        <f>SUM(data!AQ8:AQ9)</f>
        <v>3892635000</v>
      </c>
      <c r="E18" s="432"/>
      <c r="F18" s="428">
        <f>SUM(data!AR8:AR9)</f>
        <v>2929897036.6700001</v>
      </c>
      <c r="G18" s="409"/>
      <c r="H18" s="447">
        <f>D18*25.6%</f>
        <v>996514560</v>
      </c>
      <c r="I18" s="421"/>
      <c r="J18" s="448">
        <f>SUM(data!AT8:AT9)</f>
        <v>579813784.38</v>
      </c>
      <c r="K18" s="409"/>
      <c r="L18" s="459">
        <f>H18*10%</f>
        <v>99651456</v>
      </c>
      <c r="M18" s="436"/>
      <c r="N18" s="456">
        <f>SUM(data!AV8:AV9)</f>
        <v>100164645.82000001</v>
      </c>
    </row>
    <row r="19" spans="2:15" s="388" customFormat="1" ht="3.95" customHeight="1" x14ac:dyDescent="0.2">
      <c r="B19" s="415"/>
      <c r="C19" s="415"/>
      <c r="D19" s="436"/>
      <c r="E19" s="421"/>
      <c r="F19" s="422"/>
      <c r="G19" s="409"/>
      <c r="H19" s="421"/>
      <c r="I19" s="421"/>
      <c r="J19" s="422"/>
      <c r="K19" s="409"/>
      <c r="L19" s="436"/>
      <c r="M19" s="436"/>
      <c r="N19" s="436"/>
    </row>
    <row r="20" spans="2:15" s="388" customFormat="1" ht="20.100000000000001" customHeight="1" x14ac:dyDescent="0.2">
      <c r="B20" s="424" t="s">
        <v>421</v>
      </c>
      <c r="C20" s="415"/>
      <c r="D20" s="435">
        <f>SUM(data!AQ6:AQ7)</f>
        <v>3892635000</v>
      </c>
      <c r="E20" s="432"/>
      <c r="F20" s="428">
        <f>SUM(data!AR6:AR7)</f>
        <v>2581833484.29</v>
      </c>
      <c r="G20" s="409"/>
      <c r="H20" s="447">
        <f>D20*25.6%</f>
        <v>996514560</v>
      </c>
      <c r="I20" s="421"/>
      <c r="J20" s="448">
        <f>SUM(data!AT6:AT7)</f>
        <v>551617606.97000003</v>
      </c>
      <c r="K20" s="409"/>
      <c r="L20" s="459">
        <f>H20*10%</f>
        <v>99651456</v>
      </c>
      <c r="M20" s="436"/>
      <c r="N20" s="456">
        <f>SUM(data!AV6:AV7)</f>
        <v>78483116.50999999</v>
      </c>
    </row>
    <row r="21" spans="2:15" s="417" customFormat="1" ht="3.95" customHeight="1" x14ac:dyDescent="0.2">
      <c r="B21" s="415"/>
      <c r="C21" s="415"/>
      <c r="D21" s="436"/>
      <c r="E21" s="421"/>
      <c r="F21" s="422"/>
      <c r="G21" s="409"/>
      <c r="H21" s="421"/>
      <c r="I21" s="421"/>
      <c r="J21" s="422"/>
      <c r="K21" s="409"/>
      <c r="L21" s="436"/>
      <c r="M21" s="436"/>
      <c r="N21" s="436"/>
    </row>
    <row r="22" spans="2:15" s="388" customFormat="1" ht="20.100000000000001" customHeight="1" thickBot="1" x14ac:dyDescent="0.25">
      <c r="B22" s="424" t="s">
        <v>381</v>
      </c>
      <c r="C22" s="415"/>
      <c r="D22" s="435">
        <f>SUM(data!AQ4:AQ5)</f>
        <v>3892635000</v>
      </c>
      <c r="E22" s="432"/>
      <c r="F22" s="428">
        <f>SUM(data!AR4:AR5)</f>
        <v>428643043.81999999</v>
      </c>
      <c r="G22" s="409"/>
      <c r="H22" s="447">
        <f>D22*25.6%</f>
        <v>996514560</v>
      </c>
      <c r="I22" s="421"/>
      <c r="J22" s="448">
        <f>SUM(data!AT4:AT5)</f>
        <v>260086655.88</v>
      </c>
      <c r="K22" s="409"/>
      <c r="L22" s="459">
        <f>H22*10%</f>
        <v>99651456</v>
      </c>
      <c r="M22" s="436"/>
      <c r="N22" s="456">
        <f>SUM(data!AV4:AV5)</f>
        <v>68351250.530000001</v>
      </c>
      <c r="O22" s="397"/>
    </row>
    <row r="23" spans="2:15" s="417" customFormat="1" ht="3.95" customHeight="1" thickBot="1" x14ac:dyDescent="0.25">
      <c r="B23" s="418"/>
      <c r="C23" s="415"/>
      <c r="D23" s="436"/>
      <c r="E23" s="421"/>
      <c r="F23" s="419"/>
      <c r="G23" s="409"/>
      <c r="H23" s="421"/>
      <c r="I23" s="421"/>
      <c r="J23" s="422"/>
      <c r="K23" s="409"/>
      <c r="L23" s="436"/>
      <c r="M23" s="436"/>
      <c r="N23" s="436"/>
      <c r="O23" s="420"/>
    </row>
    <row r="24" spans="2:15" s="388" customFormat="1" ht="20.100000000000001" customHeight="1" x14ac:dyDescent="0.2">
      <c r="B24" s="424" t="s">
        <v>382</v>
      </c>
      <c r="C24" s="415"/>
      <c r="D24" s="435">
        <f>SUM(data!AQ2:AQ3)</f>
        <v>3892636200</v>
      </c>
      <c r="E24" s="432"/>
      <c r="F24" s="428">
        <f>SUM(data!AR2:AR3)</f>
        <v>55379716.799999997</v>
      </c>
      <c r="G24" s="409"/>
      <c r="H24" s="447">
        <f>D24*25.6%</f>
        <v>996514867.20000005</v>
      </c>
      <c r="I24" s="421"/>
      <c r="J24" s="448">
        <f>SUM(data!AT2:AT3)</f>
        <v>51751585.380000003</v>
      </c>
      <c r="K24" s="409"/>
      <c r="L24" s="459">
        <f>H24*10%</f>
        <v>99651486.720000014</v>
      </c>
      <c r="M24" s="436"/>
      <c r="N24" s="456">
        <f>SUM(data!AV2:AV3)</f>
        <v>23616346.899999999</v>
      </c>
      <c r="O24" s="397"/>
    </row>
    <row r="25" spans="2:15" s="388" customFormat="1" ht="9.9499999999999993" customHeight="1" x14ac:dyDescent="0.2">
      <c r="H25" s="417"/>
      <c r="I25" s="417"/>
      <c r="J25" s="417"/>
      <c r="L25" s="454"/>
      <c r="M25" s="454"/>
      <c r="N25" s="454"/>
      <c r="O25" s="397"/>
    </row>
    <row r="26" spans="2:15" s="388" customFormat="1" ht="45" customHeight="1" x14ac:dyDescent="0.25">
      <c r="B26" s="425" t="s">
        <v>603</v>
      </c>
      <c r="C26" s="416"/>
      <c r="D26" s="437">
        <f>SUM(D12,D14:D24)</f>
        <v>25979683944.32</v>
      </c>
      <c r="E26" s="433"/>
      <c r="F26" s="429">
        <f>SUM(F12,F14:F24)</f>
        <v>13285282278.299999</v>
      </c>
      <c r="G26" s="410"/>
      <c r="H26" s="449">
        <f>SUM(H12,H14:H24)</f>
        <v>6650799089.7459192</v>
      </c>
      <c r="I26" s="443"/>
      <c r="J26" s="450">
        <f>SUM(J12,J14:J24)</f>
        <v>2945946549.8400002</v>
      </c>
      <c r="K26" s="410"/>
      <c r="L26" s="460">
        <f>SUM(L12,L14:L24)</f>
        <v>665079908.97459197</v>
      </c>
      <c r="M26" s="442"/>
      <c r="N26" s="457">
        <f>SUM(N12,N14:N24)</f>
        <v>585549095.38999999</v>
      </c>
      <c r="O26" s="397"/>
    </row>
    <row r="27" spans="2:15" s="396" customFormat="1" ht="9.9499999999999993" customHeight="1" x14ac:dyDescent="0.2">
      <c r="B27" s="402"/>
      <c r="C27" s="402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1"/>
    </row>
    <row r="28" spans="2:15" s="40" customFormat="1" ht="50.1" hidden="1" customHeight="1" x14ac:dyDescent="0.25">
      <c r="B28" s="404"/>
      <c r="C28" s="404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166"/>
    </row>
    <row r="29" spans="2:15" s="40" customFormat="1" ht="50.1" hidden="1" customHeight="1" x14ac:dyDescent="0.25">
      <c r="B29" s="404"/>
      <c r="C29" s="404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166"/>
    </row>
    <row r="30" spans="2:15" s="40" customFormat="1" ht="20.100000000000001" hidden="1" customHeight="1" x14ac:dyDescent="0.25">
      <c r="B30" s="406"/>
      <c r="C30" s="406"/>
      <c r="D30" s="405"/>
      <c r="E30" s="405"/>
      <c r="F30" s="405"/>
      <c r="G30" s="407"/>
      <c r="H30" s="405"/>
      <c r="I30" s="405"/>
      <c r="J30" s="405"/>
      <c r="K30" s="407"/>
      <c r="L30" s="405"/>
      <c r="M30" s="405"/>
      <c r="N30" s="405"/>
      <c r="O30" s="166"/>
    </row>
    <row r="31" spans="2:15" ht="12" hidden="1" customHeight="1" x14ac:dyDescent="0.2"/>
    <row r="32" spans="2:15" ht="11.25" hidden="1" customHeight="1" x14ac:dyDescent="0.2"/>
    <row r="33" ht="11.25" hidden="1" customHeight="1" x14ac:dyDescent="0.2"/>
    <row r="34" ht="11.25" hidden="1" customHeight="1" x14ac:dyDescent="0.2"/>
    <row r="35" ht="11.25" hidden="1" customHeight="1" x14ac:dyDescent="0.2"/>
    <row r="36" ht="11.25" hidden="1" customHeight="1" x14ac:dyDescent="0.2"/>
    <row r="37" ht="11.25" hidden="1" customHeight="1" x14ac:dyDescent="0.2"/>
    <row r="38" ht="11.25" hidden="1" customHeight="1" x14ac:dyDescent="0.2"/>
    <row r="39" ht="15" hidden="1" customHeight="1" x14ac:dyDescent="0.2"/>
    <row r="40" ht="11.25" hidden="1" x14ac:dyDescent="0.2"/>
    <row r="41" ht="11.25" hidden="1" x14ac:dyDescent="0.2"/>
    <row r="42" ht="11.25" hidden="1" x14ac:dyDescent="0.2"/>
    <row r="43" ht="11.25" hidden="1" x14ac:dyDescent="0.2"/>
    <row r="44" ht="11.25" hidden="1" x14ac:dyDescent="0.2"/>
    <row r="45" ht="11.25" hidden="1" x14ac:dyDescent="0.2"/>
    <row r="46" ht="11.25" hidden="1" x14ac:dyDescent="0.2"/>
    <row r="47" ht="11.25" hidden="1" x14ac:dyDescent="0.2"/>
    <row r="48" ht="11.25" hidden="1" x14ac:dyDescent="0.2"/>
    <row r="49" ht="11.25" hidden="1" x14ac:dyDescent="0.2"/>
    <row r="50" ht="11.25" hidden="1" x14ac:dyDescent="0.2"/>
    <row r="51" ht="11.25" hidden="1" x14ac:dyDescent="0.2"/>
    <row r="52" ht="11.25" hidden="1" customHeight="1" x14ac:dyDescent="0.2"/>
    <row r="53" ht="11.25" hidden="1" customHeight="1" x14ac:dyDescent="0.2"/>
    <row r="54" ht="11.25" hidden="1" customHeight="1" x14ac:dyDescent="0.2"/>
    <row r="55" ht="11.25" hidden="1" customHeight="1" x14ac:dyDescent="0.2"/>
    <row r="56" ht="11.25" hidden="1" customHeight="1" x14ac:dyDescent="0.2"/>
    <row r="57" ht="11.25" hidden="1" customHeight="1" x14ac:dyDescent="0.2"/>
    <row r="58" ht="11.25" hidden="1" customHeight="1" x14ac:dyDescent="0.2"/>
    <row r="59" ht="11.25" hidden="1" customHeight="1" x14ac:dyDescent="0.2"/>
    <row r="60" ht="11.25" hidden="1" customHeight="1" x14ac:dyDescent="0.2"/>
    <row r="61" ht="11.25" hidden="1" customHeight="1" x14ac:dyDescent="0.2"/>
    <row r="62" ht="11.25" hidden="1" customHeight="1" x14ac:dyDescent="0.2"/>
    <row r="63" ht="11.25" hidden="1" customHeight="1" x14ac:dyDescent="0.2"/>
    <row r="64" ht="11.25" hidden="1" customHeight="1" x14ac:dyDescent="0.2"/>
    <row r="65" ht="0" hidden="1" customHeight="1" x14ac:dyDescent="0.2"/>
  </sheetData>
  <sheetProtection sheet="1" objects="1" scenarios="1" selectLockedCells="1" selectUnlockedCells="1"/>
  <mergeCells count="11">
    <mergeCell ref="B8:B10"/>
    <mergeCell ref="D8:F8"/>
    <mergeCell ref="H8:J8"/>
    <mergeCell ref="L8:N8"/>
    <mergeCell ref="B2:N2"/>
    <mergeCell ref="B3:N3"/>
    <mergeCell ref="L4:N4"/>
    <mergeCell ref="B5:B6"/>
    <mergeCell ref="D5:F6"/>
    <mergeCell ref="H5:J6"/>
    <mergeCell ref="L5:N6"/>
  </mergeCells>
  <printOptions horizontalCentered="1"/>
  <pageMargins left="0.43307086614173229" right="3.937007874015748E-2" top="0.59055118110236227" bottom="0" header="0" footer="0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O45"/>
  <sheetViews>
    <sheetView showGridLines="0" showRowColHeaders="0" zoomScale="90" zoomScaleNormal="90" workbookViewId="0">
      <selection activeCell="B4" sqref="B4:B5"/>
    </sheetView>
  </sheetViews>
  <sheetFormatPr defaultColWidth="0" defaultRowHeight="11.25" zeroHeight="1" x14ac:dyDescent="0.2"/>
  <cols>
    <col min="1" max="1" width="2.83203125" customWidth="1"/>
    <col min="2" max="2" width="32.33203125" customWidth="1"/>
    <col min="3" max="3" width="1" customWidth="1"/>
    <col min="4" max="5" width="24.83203125" customWidth="1"/>
    <col min="6" max="6" width="1.83203125" customWidth="1"/>
    <col min="7" max="7" width="1" customWidth="1"/>
    <col min="8" max="9" width="25.83203125" customWidth="1"/>
    <col min="10" max="10" width="1.83203125" customWidth="1"/>
    <col min="11" max="11" width="1" customWidth="1"/>
    <col min="12" max="13" width="24.83203125" customWidth="1"/>
    <col min="14" max="14" width="0.1640625" customWidth="1"/>
    <col min="15" max="15" width="3.33203125" customWidth="1"/>
    <col min="16" max="16384" width="9.33203125" hidden="1"/>
  </cols>
  <sheetData>
    <row r="1" spans="1:15" ht="23.25" x14ac:dyDescent="0.35">
      <c r="A1" s="463" t="s">
        <v>328</v>
      </c>
      <c r="B1" s="759" t="s">
        <v>56</v>
      </c>
      <c r="C1" s="759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468"/>
      <c r="O1" s="14"/>
    </row>
    <row r="2" spans="1:15" ht="13.5" customHeight="1" x14ac:dyDescent="0.2">
      <c r="A2" s="388"/>
      <c r="B2" s="761" t="str">
        <f>"Průběžné vyhodnocení stavu projektu"</f>
        <v>Průběžné vyhodnocení stavu projektu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467"/>
      <c r="O2" s="14"/>
    </row>
    <row r="3" spans="1:15" ht="26.25" customHeight="1" x14ac:dyDescent="0.25">
      <c r="A3" s="388"/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762" t="s">
        <v>264</v>
      </c>
      <c r="M3" s="762"/>
      <c r="N3" s="388"/>
      <c r="O3" s="14"/>
    </row>
    <row r="4" spans="1:15" ht="24.95" customHeight="1" x14ac:dyDescent="0.2">
      <c r="A4" s="387"/>
      <c r="B4" s="804" t="s">
        <v>265</v>
      </c>
      <c r="C4" s="471"/>
      <c r="D4" s="751" t="s">
        <v>538</v>
      </c>
      <c r="E4" s="800"/>
      <c r="F4" s="752"/>
      <c r="G4" s="470"/>
      <c r="H4" s="755" t="s">
        <v>453</v>
      </c>
      <c r="I4" s="756"/>
      <c r="J4" s="802"/>
      <c r="K4" s="469"/>
      <c r="L4" s="751" t="s">
        <v>456</v>
      </c>
      <c r="M4" s="800"/>
      <c r="N4" s="752"/>
      <c r="O4" s="165"/>
    </row>
    <row r="5" spans="1:15" ht="24.95" customHeight="1" x14ac:dyDescent="0.2">
      <c r="A5" s="387"/>
      <c r="B5" s="805"/>
      <c r="C5" s="471"/>
      <c r="D5" s="753"/>
      <c r="E5" s="801"/>
      <c r="F5" s="754"/>
      <c r="G5" s="470"/>
      <c r="H5" s="757"/>
      <c r="I5" s="758"/>
      <c r="J5" s="803"/>
      <c r="K5" s="469"/>
      <c r="L5" s="753"/>
      <c r="M5" s="801"/>
      <c r="N5" s="754"/>
      <c r="O5" s="165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</sheetData>
  <sheetProtection sheet="1" objects="1" scenarios="1" selectLockedCells="1" selectUnlockedCells="1"/>
  <mergeCells count="7">
    <mergeCell ref="B1:M1"/>
    <mergeCell ref="B2:M2"/>
    <mergeCell ref="L3:M3"/>
    <mergeCell ref="B4:B5"/>
    <mergeCell ref="D4:F5"/>
    <mergeCell ref="H4:J5"/>
    <mergeCell ref="L4:N5"/>
  </mergeCells>
  <hyperlinks>
    <hyperlink ref="A1" location="'I. Souhrn SMO'!A1" display="ç"/>
  </hyperlinks>
  <pageMargins left="0.7" right="0.7" top="0.78740157499999996" bottom="0.78740157499999996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4" tint="-0.249977111117893"/>
  </sheetPr>
  <dimension ref="A1:L64"/>
  <sheetViews>
    <sheetView showGridLines="0" showRowColHeaders="0" workbookViewId="0">
      <selection activeCell="K25" sqref="K25"/>
    </sheetView>
  </sheetViews>
  <sheetFormatPr defaultColWidth="0" defaultRowHeight="11.25" customHeight="1" zeroHeight="1" x14ac:dyDescent="0.2"/>
  <cols>
    <col min="1" max="12" width="9.33203125" style="513" customWidth="1"/>
  </cols>
  <sheetData>
    <row r="1" spans="1:12" ht="39" customHeight="1" x14ac:dyDescent="0.2">
      <c r="A1" s="807" t="s">
        <v>67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</row>
    <row r="2" spans="1:12" ht="15.75" x14ac:dyDescent="0.2">
      <c r="A2" s="806"/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</row>
    <row r="3" spans="1:12" x14ac:dyDescent="0.2"/>
    <row r="4" spans="1:12" x14ac:dyDescent="0.2"/>
    <row r="5" spans="1:12" x14ac:dyDescent="0.2"/>
    <row r="6" spans="1:12" x14ac:dyDescent="0.2"/>
    <row r="7" spans="1:12" x14ac:dyDescent="0.2"/>
    <row r="8" spans="1:12" x14ac:dyDescent="0.2"/>
    <row r="9" spans="1:12" x14ac:dyDescent="0.2"/>
    <row r="10" spans="1:12" x14ac:dyDescent="0.2"/>
    <row r="11" spans="1:12" x14ac:dyDescent="0.2"/>
    <row r="12" spans="1:12" x14ac:dyDescent="0.2"/>
    <row r="13" spans="1:12" x14ac:dyDescent="0.2"/>
    <row r="14" spans="1:12" x14ac:dyDescent="0.2">
      <c r="B14" s="518"/>
    </row>
    <row r="15" spans="1:12" x14ac:dyDescent="0.2"/>
    <row r="16" spans="1:12" x14ac:dyDescent="0.2"/>
    <row r="17" spans="1:12" x14ac:dyDescent="0.2"/>
    <row r="18" spans="1:12" x14ac:dyDescent="0.2"/>
    <row r="19" spans="1:12" x14ac:dyDescent="0.2"/>
    <row r="20" spans="1:12" ht="15.75" x14ac:dyDescent="0.2">
      <c r="A20" s="806"/>
      <c r="B20" s="806"/>
      <c r="C20" s="806"/>
      <c r="D20" s="806"/>
      <c r="E20" s="806"/>
      <c r="F20" s="806"/>
      <c r="G20" s="806"/>
      <c r="H20" s="806"/>
      <c r="I20" s="806"/>
      <c r="J20" s="806"/>
      <c r="K20" s="806"/>
      <c r="L20" s="806"/>
    </row>
    <row r="21" spans="1:12" x14ac:dyDescent="0.2"/>
    <row r="22" spans="1:12" x14ac:dyDescent="0.2"/>
    <row r="23" spans="1:12" ht="15.75" x14ac:dyDescent="0.2">
      <c r="A23" s="806"/>
      <c r="B23" s="806"/>
      <c r="C23" s="806"/>
      <c r="D23" s="806"/>
      <c r="E23" s="806"/>
      <c r="F23" s="806"/>
      <c r="G23" s="806"/>
      <c r="H23" s="806"/>
      <c r="I23" s="806"/>
      <c r="J23" s="806"/>
      <c r="K23" s="806"/>
      <c r="L23" s="806"/>
    </row>
    <row r="24" spans="1:12" ht="15.75" x14ac:dyDescent="0.2">
      <c r="A24" s="514"/>
      <c r="B24" s="514"/>
      <c r="C24" s="514"/>
      <c r="D24" s="514"/>
      <c r="E24" s="514"/>
      <c r="F24" s="514"/>
      <c r="G24" s="514"/>
      <c r="H24" s="514"/>
      <c r="I24" s="514"/>
      <c r="J24" s="514"/>
      <c r="K24" s="514"/>
      <c r="L24" s="514"/>
    </row>
    <row r="25" spans="1:12" ht="15.75" x14ac:dyDescent="0.2">
      <c r="A25" s="514"/>
      <c r="B25" s="514"/>
      <c r="C25" s="514"/>
      <c r="D25" s="514"/>
      <c r="E25" s="514"/>
      <c r="F25" s="514"/>
      <c r="G25" s="514"/>
      <c r="H25" s="514"/>
      <c r="I25" s="514"/>
      <c r="J25" s="514"/>
      <c r="K25" s="514"/>
      <c r="L25" s="514"/>
    </row>
    <row r="26" spans="1:12" ht="15.75" x14ac:dyDescent="0.2">
      <c r="A26" s="514"/>
      <c r="B26" s="514"/>
      <c r="C26" s="514"/>
      <c r="D26" s="514"/>
      <c r="E26" s="514"/>
      <c r="F26" s="514"/>
      <c r="G26" s="514"/>
      <c r="H26" s="514"/>
      <c r="I26" s="514"/>
      <c r="J26" s="514"/>
      <c r="K26" s="514"/>
      <c r="L26" s="514"/>
    </row>
    <row r="27" spans="1:12" x14ac:dyDescent="0.2"/>
    <row r="28" spans="1:12" x14ac:dyDescent="0.2"/>
    <row r="29" spans="1:12" x14ac:dyDescent="0.2"/>
    <row r="30" spans="1:12" x14ac:dyDescent="0.2"/>
    <row r="31" spans="1:12" x14ac:dyDescent="0.2"/>
    <row r="32" spans="1:12" x14ac:dyDescent="0.2"/>
    <row r="33" spans="1:12" x14ac:dyDescent="0.2"/>
    <row r="34" spans="1:12" ht="15" x14ac:dyDescent="0.2">
      <c r="A34" s="807" t="s">
        <v>60</v>
      </c>
      <c r="B34" s="807"/>
      <c r="C34" s="807"/>
      <c r="D34" s="807"/>
      <c r="E34" s="807"/>
      <c r="F34" s="807"/>
      <c r="G34" s="807"/>
      <c r="H34" s="807"/>
      <c r="I34" s="807"/>
      <c r="J34" s="807"/>
      <c r="K34" s="807"/>
      <c r="L34" s="807"/>
    </row>
    <row r="35" spans="1:12" x14ac:dyDescent="0.2"/>
    <row r="36" spans="1:12" x14ac:dyDescent="0.2"/>
    <row r="37" spans="1:12" x14ac:dyDescent="0.2"/>
    <row r="38" spans="1:12" x14ac:dyDescent="0.2"/>
    <row r="39" spans="1:12" x14ac:dyDescent="0.2"/>
    <row r="40" spans="1:12" x14ac:dyDescent="0.2"/>
    <row r="41" spans="1:12" x14ac:dyDescent="0.2"/>
    <row r="42" spans="1:12" x14ac:dyDescent="0.2"/>
    <row r="43" spans="1:12" x14ac:dyDescent="0.2"/>
    <row r="44" spans="1:12" x14ac:dyDescent="0.2"/>
    <row r="45" spans="1:12" ht="15.75" x14ac:dyDescent="0.2">
      <c r="A45" s="806"/>
      <c r="B45" s="806"/>
      <c r="C45" s="806"/>
      <c r="D45" s="806"/>
      <c r="E45" s="806"/>
      <c r="F45" s="806"/>
      <c r="G45" s="806"/>
      <c r="H45" s="806"/>
      <c r="I45" s="806"/>
      <c r="J45" s="806"/>
      <c r="K45" s="806"/>
      <c r="L45" s="806"/>
    </row>
    <row r="46" spans="1:12" x14ac:dyDescent="0.2"/>
    <row r="47" spans="1:12" x14ac:dyDescent="0.2"/>
    <row r="48" spans="1:1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ht="9" customHeight="1" x14ac:dyDescent="0.2"/>
    <row r="62" ht="3" customHeight="1" x14ac:dyDescent="0.2"/>
    <row r="63" ht="11.25" hidden="1" customHeight="1" x14ac:dyDescent="0.2"/>
    <row r="64" ht="11.25" customHeight="1" x14ac:dyDescent="0.2"/>
  </sheetData>
  <sheetProtection sheet="1" objects="1" scenarios="1" selectLockedCells="1" selectUnlockedCells="1"/>
  <mergeCells count="6">
    <mergeCell ref="A45:L45"/>
    <mergeCell ref="A1:L1"/>
    <mergeCell ref="A2:L2"/>
    <mergeCell ref="A20:L20"/>
    <mergeCell ref="A23:L23"/>
    <mergeCell ref="A34:L34"/>
  </mergeCells>
  <phoneticPr fontId="4" type="noConversion"/>
  <printOptions horizontalCentered="1" verticalCentered="1"/>
  <pageMargins left="0.31496062992125984" right="0.31496062992125984" top="0.78740157480314965" bottom="0.78740157480314965" header="0.31496062992125984" footer="0.31496062992125984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/>
  <dimension ref="A1:BL253"/>
  <sheetViews>
    <sheetView zoomScaleNormal="100" workbookViewId="0">
      <selection activeCell="A10" sqref="A10"/>
    </sheetView>
  </sheetViews>
  <sheetFormatPr defaultRowHeight="11.25" outlineLevelCol="1" x14ac:dyDescent="0.2"/>
  <cols>
    <col min="1" max="1" width="5.33203125" customWidth="1"/>
    <col min="2" max="2" width="8.1640625" customWidth="1"/>
    <col min="3" max="3" width="27.83203125" customWidth="1"/>
    <col min="4" max="6" width="4.83203125" style="168" hidden="1" customWidth="1" outlineLevel="1"/>
    <col min="7" max="9" width="15.83203125" style="176" hidden="1" customWidth="1" outlineLevel="1"/>
    <col min="10" max="10" width="7.33203125" style="176" hidden="1" customWidth="1" outlineLevel="1"/>
    <col min="11" max="11" width="9.33203125" style="176" hidden="1" customWidth="1" outlineLevel="1"/>
    <col min="12" max="12" width="12.83203125" style="183" customWidth="1" collapsed="1"/>
    <col min="13" max="13" width="12.1640625" style="183" customWidth="1"/>
    <col min="14" max="15" width="10.83203125" style="183" customWidth="1"/>
    <col min="16" max="16" width="12.83203125" style="183" customWidth="1"/>
    <col min="17" max="17" width="10.83203125" style="183" customWidth="1"/>
    <col min="18" max="18" width="12.5" style="183" customWidth="1"/>
    <col min="19" max="19" width="12.1640625" style="183" customWidth="1"/>
    <col min="20" max="20" width="11.6640625" customWidth="1"/>
    <col min="21" max="21" width="11.1640625" bestFit="1" customWidth="1"/>
    <col min="22" max="23" width="12.83203125" customWidth="1"/>
    <col min="24" max="26" width="7.83203125" customWidth="1"/>
    <col min="27" max="27" width="12.6640625" bestFit="1" customWidth="1"/>
    <col min="28" max="28" width="13.5" customWidth="1"/>
    <col min="29" max="30" width="11.1640625" customWidth="1"/>
    <col min="31" max="31" width="12.6640625" bestFit="1" customWidth="1"/>
    <col min="32" max="32" width="11" customWidth="1"/>
    <col min="33" max="33" width="14.5" bestFit="1" customWidth="1"/>
    <col min="34" max="34" width="8.1640625" customWidth="1"/>
    <col min="35" max="36" width="15.83203125" bestFit="1" customWidth="1"/>
    <col min="37" max="37" width="7.1640625" customWidth="1"/>
    <col min="38" max="39" width="9.5" bestFit="1" customWidth="1"/>
    <col min="40" max="40" width="7.83203125" bestFit="1" customWidth="1"/>
    <col min="41" max="41" width="15.6640625" bestFit="1" customWidth="1"/>
    <col min="42" max="42" width="7" bestFit="1" customWidth="1"/>
    <col min="43" max="43" width="12.1640625" bestFit="1" customWidth="1"/>
    <col min="44" max="44" width="12.33203125" bestFit="1" customWidth="1"/>
    <col min="45" max="45" width="10.83203125" bestFit="1" customWidth="1"/>
    <col min="46" max="46" width="12.33203125" bestFit="1" customWidth="1"/>
    <col min="47" max="47" width="9.83203125" customWidth="1"/>
    <col min="48" max="48" width="11.33203125" bestFit="1" customWidth="1"/>
    <col min="49" max="49" width="4.1640625" customWidth="1"/>
    <col min="51" max="51" width="10" customWidth="1"/>
    <col min="52" max="52" width="13.33203125" bestFit="1" customWidth="1"/>
    <col min="53" max="53" width="12.1640625" bestFit="1" customWidth="1"/>
    <col min="54" max="54" width="10.83203125" bestFit="1" customWidth="1"/>
    <col min="55" max="57" width="9.5" bestFit="1" customWidth="1"/>
    <col min="58" max="58" width="12.1640625" customWidth="1"/>
    <col min="59" max="59" width="12.1640625" bestFit="1" customWidth="1"/>
    <col min="60" max="60" width="10.83203125" bestFit="1" customWidth="1"/>
    <col min="61" max="61" width="9.83203125" bestFit="1" customWidth="1"/>
    <col min="62" max="62" width="12.1640625" bestFit="1" customWidth="1"/>
    <col min="63" max="63" width="10.83203125" bestFit="1" customWidth="1"/>
    <col min="64" max="64" width="9.83203125" bestFit="1" customWidth="1"/>
  </cols>
  <sheetData>
    <row r="1" spans="1:64" ht="11.25" customHeight="1" x14ac:dyDescent="0.2">
      <c r="A1" s="301"/>
      <c r="L1" s="808" t="s">
        <v>57</v>
      </c>
      <c r="M1" s="808"/>
      <c r="N1" s="216"/>
      <c r="O1" s="184"/>
      <c r="P1" s="185"/>
      <c r="Q1" s="259" t="s">
        <v>594</v>
      </c>
      <c r="R1" s="185"/>
      <c r="S1" s="185"/>
      <c r="T1" s="117"/>
      <c r="U1" s="7"/>
      <c r="V1" s="7"/>
      <c r="W1" s="116"/>
      <c r="X1" s="116"/>
      <c r="Y1" s="117"/>
      <c r="Z1" s="117"/>
      <c r="AA1" s="117"/>
      <c r="AB1" s="117"/>
      <c r="AC1" s="117"/>
      <c r="AD1" s="117"/>
      <c r="AE1" s="117"/>
      <c r="AF1" s="7"/>
      <c r="AG1" s="116"/>
      <c r="AH1" s="116"/>
      <c r="AI1" s="117"/>
      <c r="AM1" s="243" t="s">
        <v>329</v>
      </c>
      <c r="AQ1" s="365" t="s">
        <v>117</v>
      </c>
      <c r="AR1" s="365" t="s">
        <v>118</v>
      </c>
      <c r="AS1" s="365" t="s">
        <v>119</v>
      </c>
      <c r="AT1" s="365" t="s">
        <v>120</v>
      </c>
      <c r="AU1" s="365" t="s">
        <v>121</v>
      </c>
      <c r="AV1" s="365" t="s">
        <v>122</v>
      </c>
      <c r="AY1" s="19"/>
      <c r="AZ1" s="248" t="s">
        <v>345</v>
      </c>
      <c r="BA1" s="248" t="s">
        <v>426</v>
      </c>
      <c r="BB1" s="248" t="s">
        <v>427</v>
      </c>
      <c r="BC1" s="19"/>
      <c r="BD1" s="19"/>
      <c r="BE1" s="19"/>
      <c r="BF1" s="49">
        <v>600170160</v>
      </c>
      <c r="BG1" s="49">
        <v>60016320</v>
      </c>
      <c r="BH1" s="19"/>
      <c r="BI1" s="19"/>
      <c r="BJ1" s="19"/>
      <c r="BK1" s="19"/>
      <c r="BL1" s="19"/>
    </row>
    <row r="2" spans="1:64" x14ac:dyDescent="0.2">
      <c r="E2" s="169"/>
      <c r="F2" s="169"/>
      <c r="G2" s="177"/>
      <c r="H2" s="177"/>
      <c r="I2" s="177"/>
      <c r="L2" s="808" t="s">
        <v>58</v>
      </c>
      <c r="M2" s="808"/>
      <c r="N2" s="216"/>
      <c r="O2" s="186"/>
      <c r="P2" s="186"/>
      <c r="Q2" s="260" t="s">
        <v>572</v>
      </c>
      <c r="R2" s="186"/>
      <c r="S2" s="186"/>
      <c r="T2" s="118"/>
      <c r="U2" s="7"/>
      <c r="V2" s="7"/>
      <c r="W2" s="119"/>
      <c r="X2" s="120"/>
      <c r="Y2" s="120"/>
      <c r="Z2" s="120"/>
      <c r="AA2" s="120"/>
      <c r="AB2" s="120"/>
      <c r="AC2" s="120"/>
      <c r="AD2" s="120"/>
      <c r="AE2" s="120"/>
      <c r="AF2" s="7"/>
      <c r="AG2" s="119"/>
      <c r="AH2" s="120"/>
      <c r="AI2" s="120"/>
      <c r="AM2" s="244"/>
      <c r="AO2" s="809">
        <v>2010</v>
      </c>
      <c r="AP2" s="363" t="s">
        <v>239</v>
      </c>
      <c r="AQ2" s="114">
        <f t="shared" ref="AQ2:AV2" si="0">SUM(AQ22:AQ26,AQ32)</f>
        <v>2386969200</v>
      </c>
      <c r="AR2" s="101">
        <f t="shared" si="0"/>
        <v>40115120.359999999</v>
      </c>
      <c r="AS2" s="101">
        <f t="shared" si="0"/>
        <v>266407200</v>
      </c>
      <c r="AT2" s="101">
        <f t="shared" si="0"/>
        <v>40040292</v>
      </c>
      <c r="AU2" s="101">
        <f t="shared" si="0"/>
        <v>26640000</v>
      </c>
      <c r="AV2" s="102">
        <f t="shared" si="0"/>
        <v>18306312</v>
      </c>
      <c r="AY2" s="19"/>
      <c r="AZ2" s="19">
        <f>SUM(AZ6:AZ9)/4/4</f>
        <v>973159050</v>
      </c>
      <c r="BA2" s="19">
        <f>SUM(BA6:BA9)/4/4</f>
        <v>257887148.25</v>
      </c>
      <c r="BB2" s="19">
        <f>SUM(BB6:BB9)/4/4</f>
        <v>25788714.825000003</v>
      </c>
      <c r="BC2" s="19"/>
      <c r="BD2" s="19"/>
      <c r="BE2" s="19"/>
      <c r="BF2" s="49">
        <v>1018839600</v>
      </c>
      <c r="BG2" s="49">
        <v>101883600</v>
      </c>
      <c r="BH2" s="19"/>
      <c r="BI2" s="19"/>
      <c r="BJ2" s="19"/>
      <c r="BK2" s="19"/>
      <c r="BL2" s="19"/>
    </row>
    <row r="3" spans="1:64" x14ac:dyDescent="0.2">
      <c r="E3" s="169"/>
      <c r="F3" s="169"/>
      <c r="G3" s="177"/>
      <c r="H3" s="177"/>
      <c r="I3" s="177"/>
      <c r="L3" s="808" t="s">
        <v>302</v>
      </c>
      <c r="M3" s="808"/>
      <c r="N3" s="175">
        <f>VLOOKUP('II. Sledování projektu'!$C$5,vyber21,4,0)</f>
        <v>1</v>
      </c>
      <c r="O3" s="186"/>
      <c r="P3" s="186"/>
      <c r="Q3" s="259" t="s">
        <v>356</v>
      </c>
      <c r="R3" s="186"/>
      <c r="S3" s="186"/>
      <c r="T3" s="118"/>
      <c r="U3" s="7"/>
      <c r="V3" s="7"/>
      <c r="W3" s="119"/>
      <c r="X3" s="120"/>
      <c r="Y3" s="120"/>
      <c r="Z3" s="120"/>
      <c r="AA3" s="120"/>
      <c r="AB3" s="120"/>
      <c r="AC3" s="120"/>
      <c r="AD3" s="120"/>
      <c r="AE3" s="120"/>
      <c r="AF3" s="7"/>
      <c r="AG3" s="119"/>
      <c r="AH3" s="120"/>
      <c r="AI3" s="120"/>
      <c r="AM3" s="244"/>
      <c r="AO3" s="810"/>
      <c r="AP3" s="364" t="s">
        <v>238</v>
      </c>
      <c r="AQ3" s="115">
        <f t="shared" ref="AQ3:AV3" si="1">SUM(AQ27:AQ31,AQ33)</f>
        <v>1505667000</v>
      </c>
      <c r="AR3" s="106">
        <f t="shared" si="1"/>
        <v>15264596.440000001</v>
      </c>
      <c r="AS3" s="106">
        <f t="shared" si="1"/>
        <v>333947640</v>
      </c>
      <c r="AT3" s="106">
        <f t="shared" si="1"/>
        <v>11711293.380000001</v>
      </c>
      <c r="AU3" s="106">
        <f t="shared" si="1"/>
        <v>33394920</v>
      </c>
      <c r="AV3" s="107">
        <f t="shared" si="1"/>
        <v>5310034.8999999994</v>
      </c>
      <c r="AY3" s="19"/>
      <c r="AZ3" s="49">
        <f>SUM(AZ6:AZ9)</f>
        <v>15570544800</v>
      </c>
      <c r="BA3" s="49">
        <f>AZ3*26.5%/4</f>
        <v>1031548593</v>
      </c>
      <c r="BB3" s="49">
        <f>BA3*10%</f>
        <v>103154859.30000001</v>
      </c>
      <c r="BC3" s="19"/>
      <c r="BD3" s="19"/>
      <c r="BE3" s="19"/>
      <c r="BF3" s="49">
        <v>1145382000</v>
      </c>
      <c r="BG3" s="49">
        <v>114538800</v>
      </c>
      <c r="BH3" s="19"/>
      <c r="BI3" s="19"/>
      <c r="BJ3" s="19"/>
      <c r="BK3" s="19"/>
      <c r="BL3" s="19"/>
    </row>
    <row r="4" spans="1:64" x14ac:dyDescent="0.2">
      <c r="C4" s="19"/>
      <c r="D4" s="169"/>
      <c r="E4" s="169"/>
      <c r="F4" s="169"/>
      <c r="G4" s="177"/>
      <c r="H4" s="177"/>
      <c r="I4" s="177"/>
      <c r="L4" s="808" t="s">
        <v>301</v>
      </c>
      <c r="M4" s="808"/>
      <c r="N4" s="175" t="s">
        <v>113</v>
      </c>
      <c r="O4" s="186"/>
      <c r="P4" s="186"/>
      <c r="Q4" s="266" t="s">
        <v>354</v>
      </c>
      <c r="R4" s="186"/>
      <c r="S4" s="186"/>
      <c r="T4" s="118"/>
      <c r="U4" s="7"/>
      <c r="V4" s="7"/>
      <c r="W4" s="121"/>
      <c r="X4" s="40"/>
      <c r="Y4" s="40"/>
      <c r="Z4" s="40"/>
      <c r="AA4" s="40"/>
      <c r="AB4" s="40"/>
      <c r="AC4" s="40"/>
      <c r="AD4" s="40"/>
      <c r="AE4" s="40"/>
      <c r="AF4" s="7"/>
      <c r="AG4" s="40"/>
      <c r="AH4" s="40"/>
      <c r="AI4" s="40"/>
      <c r="AM4" s="244"/>
      <c r="AO4" s="809">
        <v>2011</v>
      </c>
      <c r="AP4" s="363" t="s">
        <v>239</v>
      </c>
      <c r="AQ4" s="114">
        <f t="shared" ref="AQ4:AV4" si="2">SUM(AQ34:AQ38,AQ44)</f>
        <v>2386969200</v>
      </c>
      <c r="AR4" s="101">
        <f t="shared" si="2"/>
        <v>154937118.31</v>
      </c>
      <c r="AS4" s="101">
        <f t="shared" si="2"/>
        <v>417445200</v>
      </c>
      <c r="AT4" s="101">
        <f t="shared" si="2"/>
        <v>114748937.33</v>
      </c>
      <c r="AU4" s="101">
        <f t="shared" si="2"/>
        <v>41744400</v>
      </c>
      <c r="AV4" s="102">
        <f t="shared" si="2"/>
        <v>52996500.979999997</v>
      </c>
      <c r="AY4" s="381" t="s">
        <v>451</v>
      </c>
      <c r="AZ4" s="382">
        <v>3731347633.4000001</v>
      </c>
      <c r="BA4" s="385">
        <v>1084436558.7878211</v>
      </c>
      <c r="BB4" s="385">
        <v>108443673.41745138</v>
      </c>
      <c r="BC4" s="19"/>
      <c r="BD4" s="19"/>
      <c r="BE4" s="19"/>
      <c r="BF4" s="49">
        <v>1229860800</v>
      </c>
      <c r="BG4" s="49">
        <v>122986080</v>
      </c>
      <c r="BH4" s="19"/>
      <c r="BI4" s="19"/>
      <c r="BJ4" s="19"/>
      <c r="BK4" s="19"/>
      <c r="BL4" s="19"/>
    </row>
    <row r="5" spans="1:64" x14ac:dyDescent="0.2">
      <c r="C5" s="19"/>
      <c r="D5" s="169"/>
      <c r="E5" s="169"/>
      <c r="F5" s="169"/>
      <c r="G5" s="177"/>
      <c r="H5" s="177"/>
      <c r="I5" s="177"/>
      <c r="L5" s="808" t="s">
        <v>355</v>
      </c>
      <c r="M5" s="808"/>
      <c r="N5" s="217">
        <v>0.1</v>
      </c>
      <c r="O5" s="340" t="s">
        <v>396</v>
      </c>
      <c r="P5" s="186"/>
      <c r="Q5" s="282" t="s">
        <v>571</v>
      </c>
      <c r="R5" s="283"/>
      <c r="S5" s="260"/>
      <c r="T5" s="118"/>
      <c r="U5" s="7"/>
      <c r="V5" s="7"/>
      <c r="W5" s="119"/>
      <c r="X5" s="120"/>
      <c r="Y5" s="120"/>
      <c r="Z5" s="120"/>
      <c r="AA5" s="120"/>
      <c r="AB5" s="120"/>
      <c r="AC5" s="120"/>
      <c r="AD5" s="120"/>
      <c r="AE5" s="120"/>
      <c r="AF5" s="7"/>
      <c r="AG5" s="119"/>
      <c r="AH5" s="120"/>
      <c r="AI5" s="120"/>
      <c r="AM5" s="244"/>
      <c r="AO5" s="810"/>
      <c r="AP5" s="364" t="s">
        <v>238</v>
      </c>
      <c r="AQ5" s="115">
        <f t="shared" ref="AQ5:AV5" si="3">SUM(AQ39:AQ43,AQ45)</f>
        <v>1505665800</v>
      </c>
      <c r="AR5" s="106">
        <f t="shared" si="3"/>
        <v>273705925.50999999</v>
      </c>
      <c r="AS5" s="106">
        <f t="shared" si="3"/>
        <v>601719888</v>
      </c>
      <c r="AT5" s="106">
        <f t="shared" si="3"/>
        <v>145337718.55000001</v>
      </c>
      <c r="AU5" s="106">
        <f t="shared" si="3"/>
        <v>60172800</v>
      </c>
      <c r="AV5" s="107">
        <f t="shared" si="3"/>
        <v>15354749.550000001</v>
      </c>
      <c r="AY5" s="379" t="s">
        <v>450</v>
      </c>
      <c r="AZ5" s="380">
        <v>3831066173</v>
      </c>
      <c r="BA5" s="380">
        <v>1124935428</v>
      </c>
      <c r="BB5" s="380">
        <v>95771528</v>
      </c>
      <c r="BC5" s="19"/>
      <c r="BD5" s="19"/>
      <c r="BE5" s="19"/>
      <c r="BF5" s="19"/>
      <c r="BG5" s="19"/>
      <c r="BH5" s="19"/>
      <c r="BI5" s="19"/>
      <c r="BJ5" s="19"/>
      <c r="BK5" s="19"/>
      <c r="BL5" s="19"/>
    </row>
    <row r="6" spans="1:64" x14ac:dyDescent="0.2">
      <c r="C6" s="19"/>
      <c r="D6" s="170"/>
      <c r="F6" s="169"/>
      <c r="G6" s="233"/>
      <c r="H6" s="177"/>
      <c r="I6" s="177"/>
      <c r="L6" s="808" t="s">
        <v>307</v>
      </c>
      <c r="M6" s="808"/>
      <c r="N6" s="217">
        <v>0.25600000000000001</v>
      </c>
      <c r="O6" s="341">
        <v>0.8</v>
      </c>
      <c r="Q6" s="358" t="s">
        <v>439</v>
      </c>
      <c r="R6" s="187"/>
      <c r="S6" s="260"/>
      <c r="T6" s="40"/>
      <c r="U6" s="7"/>
      <c r="V6" s="221"/>
      <c r="W6" s="119"/>
      <c r="X6" s="361" t="s">
        <v>433</v>
      </c>
      <c r="Y6" s="360"/>
      <c r="Z6" s="360"/>
      <c r="AA6" s="120"/>
      <c r="AB6" s="120"/>
      <c r="AC6" s="120"/>
      <c r="AD6" s="120"/>
      <c r="AE6" s="120"/>
      <c r="AF6" s="7"/>
      <c r="AG6" s="119"/>
      <c r="AH6" s="120"/>
      <c r="AI6" s="120"/>
      <c r="AM6" s="244"/>
      <c r="AO6" s="809">
        <v>2012</v>
      </c>
      <c r="AP6" s="363" t="s">
        <v>239</v>
      </c>
      <c r="AQ6" s="114">
        <f t="shared" ref="AQ6:AV6" si="4">SUM(AQ46:AQ50,AQ56)</f>
        <v>2386969200</v>
      </c>
      <c r="AR6" s="101">
        <f t="shared" si="4"/>
        <v>1763497635.7200003</v>
      </c>
      <c r="AS6" s="101">
        <f t="shared" si="4"/>
        <v>484452000</v>
      </c>
      <c r="AT6" s="101">
        <f t="shared" si="4"/>
        <v>176881244.72</v>
      </c>
      <c r="AU6" s="101">
        <f t="shared" si="4"/>
        <v>48444720</v>
      </c>
      <c r="AV6" s="102">
        <f t="shared" si="4"/>
        <v>50104879.099999994</v>
      </c>
      <c r="AY6" s="19" t="s">
        <v>335</v>
      </c>
      <c r="AZ6" s="49">
        <v>3892636200</v>
      </c>
      <c r="BA6" s="49">
        <v>1031548593</v>
      </c>
      <c r="BB6" s="49">
        <v>103154859.30000001</v>
      </c>
      <c r="BC6" s="19"/>
      <c r="BD6" s="19"/>
      <c r="BE6" s="19"/>
      <c r="BF6" s="19"/>
      <c r="BG6" s="19"/>
      <c r="BH6" s="19"/>
      <c r="BI6" s="19"/>
      <c r="BJ6" s="19"/>
      <c r="BK6" s="19"/>
      <c r="BL6" s="19"/>
    </row>
    <row r="7" spans="1:64" x14ac:dyDescent="0.2">
      <c r="C7" s="19"/>
      <c r="D7" s="169"/>
      <c r="E7" s="169"/>
      <c r="F7" s="169"/>
      <c r="G7" s="177"/>
      <c r="H7" s="177"/>
      <c r="I7" s="177"/>
      <c r="L7" s="808" t="s">
        <v>326</v>
      </c>
      <c r="M7" s="808"/>
      <c r="N7" s="171">
        <v>9</v>
      </c>
      <c r="Q7" s="666" t="s">
        <v>600</v>
      </c>
      <c r="R7" s="220"/>
      <c r="S7" s="220"/>
      <c r="T7" s="14"/>
      <c r="U7" s="14"/>
      <c r="V7" s="14"/>
      <c r="AM7" s="244"/>
      <c r="AO7" s="810"/>
      <c r="AP7" s="364" t="s">
        <v>238</v>
      </c>
      <c r="AQ7" s="115">
        <f t="shared" ref="AQ7:AV7" si="5">SUM(AQ51:AQ55,AQ57)</f>
        <v>1505665800</v>
      </c>
      <c r="AR7" s="106">
        <f t="shared" si="5"/>
        <v>818335848.56999993</v>
      </c>
      <c r="AS7" s="106">
        <f t="shared" si="5"/>
        <v>661069800</v>
      </c>
      <c r="AT7" s="106">
        <f t="shared" si="5"/>
        <v>374736362.25</v>
      </c>
      <c r="AU7" s="106">
        <f t="shared" si="5"/>
        <v>66107280</v>
      </c>
      <c r="AV7" s="107">
        <f t="shared" si="5"/>
        <v>28378237.41</v>
      </c>
      <c r="AY7" s="19" t="s">
        <v>336</v>
      </c>
      <c r="AZ7" s="49">
        <v>3892636200</v>
      </c>
      <c r="BA7" s="49">
        <v>1031548593</v>
      </c>
      <c r="BB7" s="49">
        <v>103154859.30000001</v>
      </c>
      <c r="BC7" s="19"/>
      <c r="BD7" s="19"/>
      <c r="BE7" s="19"/>
      <c r="BF7" s="19"/>
      <c r="BG7" s="19"/>
      <c r="BH7" s="19"/>
      <c r="BI7" s="19"/>
      <c r="BJ7" s="19"/>
      <c r="BK7" s="19"/>
      <c r="BL7" s="19"/>
    </row>
    <row r="8" spans="1:64" ht="12.75" x14ac:dyDescent="0.2">
      <c r="A8" s="48"/>
      <c r="B8" s="46" t="s">
        <v>69</v>
      </c>
      <c r="C8" s="208"/>
      <c r="D8" s="209"/>
      <c r="E8" s="209"/>
      <c r="F8" s="210"/>
      <c r="G8" s="211"/>
      <c r="H8" s="211"/>
      <c r="I8" s="212"/>
      <c r="L8" s="808" t="s">
        <v>327</v>
      </c>
      <c r="M8" s="808"/>
      <c r="N8" s="20" t="s">
        <v>601</v>
      </c>
      <c r="R8" s="222"/>
      <c r="S8" s="221"/>
      <c r="T8" s="222"/>
      <c r="U8" s="221"/>
      <c r="V8" s="14"/>
      <c r="W8" s="213" t="s">
        <v>68</v>
      </c>
      <c r="AA8" s="223" t="s">
        <v>62</v>
      </c>
      <c r="AB8" s="223" t="s">
        <v>63</v>
      </c>
      <c r="AC8" s="223" t="s">
        <v>65</v>
      </c>
      <c r="AE8" s="223" t="s">
        <v>66</v>
      </c>
      <c r="AF8" s="223" t="s">
        <v>77</v>
      </c>
      <c r="AH8" s="123"/>
      <c r="AI8" s="223" t="s">
        <v>61</v>
      </c>
      <c r="AM8" s="244"/>
      <c r="AO8" s="809">
        <v>2013</v>
      </c>
      <c r="AP8" s="363" t="s">
        <v>239</v>
      </c>
      <c r="AQ8" s="114">
        <f t="shared" ref="AQ8:AV8" si="6">SUM(AQ58:AQ62,AQ68)</f>
        <v>2386969200</v>
      </c>
      <c r="AR8" s="101">
        <f t="shared" si="6"/>
        <v>1993748290.8399999</v>
      </c>
      <c r="AS8" s="101">
        <f t="shared" si="6"/>
        <v>530836800</v>
      </c>
      <c r="AT8" s="101">
        <f t="shared" si="6"/>
        <v>184289993.37</v>
      </c>
      <c r="AU8" s="101">
        <f t="shared" si="6"/>
        <v>53083200</v>
      </c>
      <c r="AV8" s="102">
        <f t="shared" si="6"/>
        <v>73659882.290000007</v>
      </c>
      <c r="AY8" s="19" t="s">
        <v>334</v>
      </c>
      <c r="AZ8" s="49">
        <v>3892636200</v>
      </c>
      <c r="BA8" s="49">
        <v>1031548593</v>
      </c>
      <c r="BB8" s="49">
        <v>103154859.30000001</v>
      </c>
      <c r="BC8" s="19"/>
      <c r="BD8" s="19"/>
      <c r="BE8" s="19"/>
      <c r="BF8" s="19"/>
      <c r="BG8" s="19"/>
      <c r="BH8" s="19"/>
      <c r="BI8" s="19"/>
      <c r="BJ8" s="19" t="str">
        <f ca="1">BJ11&amp;TEXT(OFFSET(BJ11,COUNT(BJ12:BJ100),0)/1000000,"# ##0,00")&amp;" mil.Kč"</f>
        <v>Evidence : 0,00 mil.Kč</v>
      </c>
      <c r="BK8" s="19" t="str">
        <f ca="1">BK11&amp;TEXT(OFFSET(BK11,COUNT(BK12:BK100),0)/1000000,"# ##0,00")&amp;" mil.Kč"</f>
        <v>Dodržena cena : 0,00 mil.Kč</v>
      </c>
      <c r="BL8" s="19" t="str">
        <f ca="1">BL11&amp;TEXT(OFFSET(BL11,COUNT(BL12:BL100),0)/1000000,"# ##0,00")&amp;" mil.Kč"</f>
        <v>Úspora : 0,00 mil.Kč</v>
      </c>
    </row>
    <row r="9" spans="1:64" x14ac:dyDescent="0.2">
      <c r="A9" s="48">
        <v>1</v>
      </c>
      <c r="B9" s="47">
        <v>2</v>
      </c>
      <c r="C9" s="41">
        <v>3</v>
      </c>
      <c r="D9" s="172">
        <v>4</v>
      </c>
      <c r="E9" s="172">
        <v>5</v>
      </c>
      <c r="F9" s="172">
        <v>6</v>
      </c>
      <c r="G9" s="178">
        <v>7</v>
      </c>
      <c r="H9" s="178">
        <v>8</v>
      </c>
      <c r="I9" s="178">
        <v>9</v>
      </c>
      <c r="J9" s="178">
        <v>10</v>
      </c>
      <c r="K9" s="178">
        <v>11</v>
      </c>
      <c r="L9" s="94">
        <v>12</v>
      </c>
      <c r="M9" s="94">
        <v>13</v>
      </c>
      <c r="N9" s="94">
        <v>14</v>
      </c>
      <c r="O9" s="94">
        <v>15</v>
      </c>
      <c r="P9" s="94">
        <v>16</v>
      </c>
      <c r="Q9" s="94">
        <v>17</v>
      </c>
      <c r="R9" s="94">
        <v>18</v>
      </c>
      <c r="S9" s="219">
        <v>19</v>
      </c>
      <c r="T9" s="41">
        <v>20</v>
      </c>
      <c r="U9" s="41">
        <v>21</v>
      </c>
      <c r="V9" s="41">
        <v>22</v>
      </c>
      <c r="W9" s="218">
        <v>23</v>
      </c>
      <c r="X9" s="41">
        <v>24</v>
      </c>
      <c r="Y9" s="41">
        <v>25</v>
      </c>
      <c r="Z9" s="41">
        <v>26</v>
      </c>
      <c r="AA9" s="41">
        <v>27</v>
      </c>
      <c r="AB9" s="41">
        <v>28</v>
      </c>
      <c r="AC9" s="41">
        <v>29</v>
      </c>
      <c r="AD9" s="41">
        <v>30</v>
      </c>
      <c r="AE9" s="41">
        <v>31</v>
      </c>
      <c r="AF9" s="41">
        <v>32</v>
      </c>
      <c r="AG9" s="41">
        <v>33</v>
      </c>
      <c r="AH9" s="41">
        <v>34</v>
      </c>
      <c r="AI9" s="41">
        <v>35</v>
      </c>
      <c r="AJ9" s="41">
        <v>36</v>
      </c>
      <c r="AK9" s="41">
        <v>37</v>
      </c>
      <c r="AM9" s="244"/>
      <c r="AO9" s="810"/>
      <c r="AP9" s="364" t="s">
        <v>238</v>
      </c>
      <c r="AQ9" s="115">
        <f t="shared" ref="AQ9:AV9" si="7">SUM(AQ63:AQ67,AQ69)</f>
        <v>1505665800</v>
      </c>
      <c r="AR9" s="106">
        <f t="shared" si="7"/>
        <v>936148745.83000004</v>
      </c>
      <c r="AS9" s="106">
        <f t="shared" si="7"/>
        <v>699066624</v>
      </c>
      <c r="AT9" s="106">
        <f t="shared" si="7"/>
        <v>395523791.00999999</v>
      </c>
      <c r="AU9" s="106">
        <f t="shared" si="7"/>
        <v>69906600</v>
      </c>
      <c r="AV9" s="107">
        <f t="shared" si="7"/>
        <v>26504763.530000001</v>
      </c>
      <c r="AY9" s="19" t="s">
        <v>337</v>
      </c>
      <c r="AZ9" s="49">
        <v>3892636200</v>
      </c>
      <c r="BA9" s="49">
        <v>1031548593</v>
      </c>
      <c r="BB9" s="49">
        <v>103154859.30000001</v>
      </c>
      <c r="BC9" s="19"/>
      <c r="BD9" s="19"/>
      <c r="BE9" s="19"/>
      <c r="BF9" s="19"/>
      <c r="BG9" s="250">
        <f>SUBTOTAL(9,data!BG12:BG23)</f>
        <v>0</v>
      </c>
      <c r="BH9" s="250">
        <f>SUBTOTAL(9,data!BH12:BH23)</f>
        <v>0</v>
      </c>
      <c r="BI9" s="250">
        <f>SUBTOTAL(9,data!BI12:BI23)</f>
        <v>0</v>
      </c>
      <c r="BJ9" s="811" t="s">
        <v>248</v>
      </c>
      <c r="BK9" s="811"/>
      <c r="BL9" s="811"/>
    </row>
    <row r="10" spans="1:64" x14ac:dyDescent="0.2">
      <c r="A10" s="81"/>
      <c r="B10" s="82"/>
      <c r="C10" s="80" t="s">
        <v>16</v>
      </c>
      <c r="D10" s="677"/>
      <c r="E10" s="202"/>
      <c r="F10" s="203"/>
      <c r="G10" s="204"/>
      <c r="H10" s="204"/>
      <c r="I10" s="205"/>
      <c r="J10" s="206"/>
      <c r="K10" s="207"/>
      <c r="L10" s="83">
        <f t="shared" ref="L10:W10" si="8">SUBTOTAL(109,L12:L189)</f>
        <v>1892321366.0091512</v>
      </c>
      <c r="M10" s="83">
        <f t="shared" si="8"/>
        <v>1050976141.6300004</v>
      </c>
      <c r="N10" s="83">
        <f t="shared" si="8"/>
        <v>233931318.62793905</v>
      </c>
      <c r="O10" s="83">
        <f t="shared" si="8"/>
        <v>196435640.02000019</v>
      </c>
      <c r="P10" s="83">
        <f t="shared" si="8"/>
        <v>23393131.862793919</v>
      </c>
      <c r="Q10" s="83">
        <f t="shared" si="8"/>
        <v>76585528.129999995</v>
      </c>
      <c r="R10" s="83">
        <f t="shared" si="8"/>
        <v>971508868.69678998</v>
      </c>
      <c r="S10" s="83">
        <f t="shared" si="8"/>
        <v>461201864.36999971</v>
      </c>
      <c r="T10" s="83">
        <f t="shared" si="8"/>
        <v>283628767.80780947</v>
      </c>
      <c r="U10" s="83">
        <f t="shared" si="8"/>
        <v>179766940.08999997</v>
      </c>
      <c r="V10" s="83">
        <f t="shared" si="8"/>
        <v>28362876.780780941</v>
      </c>
      <c r="W10" s="264">
        <f t="shared" si="8"/>
        <v>23370781.380000014</v>
      </c>
      <c r="X10" s="262">
        <v>0.17895013724199199</v>
      </c>
      <c r="Y10" s="258">
        <v>0.38077863764275788</v>
      </c>
      <c r="Z10" s="258">
        <v>0.25707838260649069</v>
      </c>
      <c r="AA10" s="83">
        <f>SUBTOTAL(109,AA12:AA189)</f>
        <v>2863830234.7059417</v>
      </c>
      <c r="AB10" s="83">
        <f>SUBTOTAL(109,AB12:AB189)</f>
        <v>1512178006.0000002</v>
      </c>
      <c r="AC10" s="83"/>
      <c r="AD10" s="83">
        <f>SUBTOTAL(109,AD12:AD189)</f>
        <v>531966475.48923171</v>
      </c>
      <c r="AE10" s="83">
        <f>SUBTOTAL(109,AE12:AE189)</f>
        <v>376202580.11000031</v>
      </c>
      <c r="AF10" s="267">
        <f>SUBTOTAL(109,AF12:AF189)</f>
        <v>99956309.510000005</v>
      </c>
      <c r="AG10" s="226">
        <f>IF((AB10/(AA10*$O$6)*vahaE)&gt;vahaE,vahaE,AB10/(AA10*$O$6)*vahaE)</f>
        <v>26.401320645238435</v>
      </c>
      <c r="AH10" s="226">
        <f>IF((AE10/AD10*vahaD)&gt;vahaD,vahaD,AE10/AD10*vahaD)</f>
        <v>42.431536284013319</v>
      </c>
      <c r="AI10" s="226">
        <f>IF((AB10/(AA10*$O$6)*vahaE)&gt;vahaE,vahaE,AB10/(AA10*$O$6)*vahaE)+IF((AE10/AD10*vahaD)&gt;vahaD,vahaD,AE10/AD10*vahaD)</f>
        <v>68.832856929251761</v>
      </c>
      <c r="AJ10" s="314">
        <v>52.454083062655684</v>
      </c>
      <c r="AM10" s="244"/>
      <c r="AY10" s="812" t="s">
        <v>330</v>
      </c>
      <c r="AZ10" s="813"/>
      <c r="BA10" s="813"/>
      <c r="BB10" s="813"/>
      <c r="BC10" s="813"/>
      <c r="BD10" s="813"/>
      <c r="BE10" s="813"/>
      <c r="BF10" s="812" t="s">
        <v>333</v>
      </c>
      <c r="BG10" s="813"/>
      <c r="BH10" s="813"/>
      <c r="BI10" s="813"/>
      <c r="BJ10" s="813"/>
      <c r="BK10" s="813"/>
      <c r="BL10" s="814"/>
    </row>
    <row r="11" spans="1:64" s="17" customFormat="1" ht="33.75" x14ac:dyDescent="0.2">
      <c r="A11" s="663" t="s">
        <v>15</v>
      </c>
      <c r="B11" s="664" t="s">
        <v>281</v>
      </c>
      <c r="C11" s="679" t="s">
        <v>282</v>
      </c>
      <c r="D11" s="678" t="s">
        <v>298</v>
      </c>
      <c r="E11" s="197" t="s">
        <v>297</v>
      </c>
      <c r="F11" s="197" t="s">
        <v>296</v>
      </c>
      <c r="G11" s="197" t="s">
        <v>283</v>
      </c>
      <c r="H11" s="197" t="s">
        <v>284</v>
      </c>
      <c r="I11" s="197" t="s">
        <v>285</v>
      </c>
      <c r="J11" s="197" t="s">
        <v>286</v>
      </c>
      <c r="K11" s="198" t="s">
        <v>287</v>
      </c>
      <c r="L11" s="188" t="s">
        <v>311</v>
      </c>
      <c r="M11" s="189" t="s">
        <v>312</v>
      </c>
      <c r="N11" s="320" t="s">
        <v>315</v>
      </c>
      <c r="O11" s="189" t="s">
        <v>316</v>
      </c>
      <c r="P11" s="320" t="s">
        <v>314</v>
      </c>
      <c r="Q11" s="190" t="s">
        <v>313</v>
      </c>
      <c r="R11" s="191" t="s">
        <v>317</v>
      </c>
      <c r="S11" s="191" t="s">
        <v>318</v>
      </c>
      <c r="T11" s="320" t="s">
        <v>319</v>
      </c>
      <c r="U11" s="191" t="s">
        <v>320</v>
      </c>
      <c r="V11" s="320" t="s">
        <v>321</v>
      </c>
      <c r="W11" s="265" t="s">
        <v>322</v>
      </c>
      <c r="X11" s="263" t="s">
        <v>299</v>
      </c>
      <c r="Y11" s="255" t="s">
        <v>300</v>
      </c>
      <c r="Z11" s="198" t="s">
        <v>349</v>
      </c>
      <c r="AA11" s="16" t="s">
        <v>303</v>
      </c>
      <c r="AB11" s="16" t="s">
        <v>304</v>
      </c>
      <c r="AC11" s="16" t="s">
        <v>353</v>
      </c>
      <c r="AD11" s="16" t="s">
        <v>323</v>
      </c>
      <c r="AE11" s="16" t="s">
        <v>305</v>
      </c>
      <c r="AF11" s="16" t="s">
        <v>306</v>
      </c>
      <c r="AG11" s="268" t="s">
        <v>308</v>
      </c>
      <c r="AH11" s="269" t="s">
        <v>309</v>
      </c>
      <c r="AI11" s="239" t="s">
        <v>310</v>
      </c>
      <c r="AJ11" s="315" t="s">
        <v>389</v>
      </c>
      <c r="AK11" s="321" t="s">
        <v>392</v>
      </c>
      <c r="AL11" s="18"/>
      <c r="AY11" s="246" t="s">
        <v>247</v>
      </c>
      <c r="AZ11" s="247" t="s">
        <v>118</v>
      </c>
      <c r="BA11" s="247" t="s">
        <v>120</v>
      </c>
      <c r="BB11" s="247" t="s">
        <v>331</v>
      </c>
      <c r="BC11" s="247" t="s">
        <v>332</v>
      </c>
      <c r="BD11" s="247" t="s">
        <v>120</v>
      </c>
      <c r="BE11" s="247" t="s">
        <v>331</v>
      </c>
      <c r="BF11" s="251" t="s">
        <v>247</v>
      </c>
      <c r="BG11" s="251" t="s">
        <v>118</v>
      </c>
      <c r="BH11" s="251" t="s">
        <v>120</v>
      </c>
      <c r="BI11" s="251" t="s">
        <v>246</v>
      </c>
      <c r="BJ11" s="251" t="s">
        <v>379</v>
      </c>
      <c r="BK11" s="251" t="s">
        <v>380</v>
      </c>
      <c r="BL11" s="251" t="s">
        <v>423</v>
      </c>
    </row>
    <row r="12" spans="1:64" ht="11.25" customHeight="1" x14ac:dyDescent="0.2">
      <c r="A12" s="6">
        <v>1</v>
      </c>
      <c r="B12" s="199">
        <v>60351</v>
      </c>
      <c r="C12" s="680" t="s">
        <v>543</v>
      </c>
      <c r="D12" s="173" t="s">
        <v>14</v>
      </c>
      <c r="E12" s="173" t="s">
        <v>14</v>
      </c>
      <c r="F12" s="174" t="s">
        <v>113</v>
      </c>
      <c r="G12" s="179" t="s">
        <v>2</v>
      </c>
      <c r="H12" s="179" t="s">
        <v>575</v>
      </c>
      <c r="I12" s="180" t="s">
        <v>0</v>
      </c>
      <c r="J12" s="181" t="s">
        <v>288</v>
      </c>
      <c r="K12" s="200" t="b">
        <v>0</v>
      </c>
      <c r="L12" s="650">
        <v>18466500</v>
      </c>
      <c r="M12" s="89">
        <v>14316948.449999999</v>
      </c>
      <c r="N12" s="89">
        <f>L12*X12</f>
        <v>8309925</v>
      </c>
      <c r="O12" s="89">
        <v>1013611.86</v>
      </c>
      <c r="P12" s="89">
        <f t="shared" ref="P12:P75" si="9">N12*planUspor</f>
        <v>830992.5</v>
      </c>
      <c r="Q12" s="651">
        <v>497198.34</v>
      </c>
      <c r="R12" s="650">
        <v>9900000</v>
      </c>
      <c r="S12" s="89">
        <v>7601115.1699999999</v>
      </c>
      <c r="T12" s="89">
        <f>R12*Y12</f>
        <v>7029000</v>
      </c>
      <c r="U12" s="89">
        <v>6269239.0700000003</v>
      </c>
      <c r="V12" s="89">
        <f t="shared" ref="V12:V75" si="10">T12*planUspor</f>
        <v>702900</v>
      </c>
      <c r="W12" s="347">
        <v>1382760.06</v>
      </c>
      <c r="X12" s="256">
        <v>0.45</v>
      </c>
      <c r="Y12" s="256">
        <v>0.71</v>
      </c>
      <c r="Z12" s="648">
        <v>0.54</v>
      </c>
      <c r="AA12" s="89">
        <f t="shared" ref="AA12:AA42" si="11">IF(jakaKS=1,L12+R12,IF(jakaKS=2,L12,IF(jakaKS=3,R12,0)))</f>
        <v>28366500</v>
      </c>
      <c r="AB12" s="89">
        <f t="shared" ref="AB12:AB42" si="12">IF(jakaKS=1,M12+S12,IF(jakaKS=2,M12,IF(jakaKS=3,S12,0)))+IF(uspora="A",IF(jakaKS=1,Q12+W12,IF(jakaKS=2,Q12,IF(jakaKS=3,W12,0))),0)</f>
        <v>21918063.619999997</v>
      </c>
      <c r="AC12" s="257">
        <f t="shared" ref="AC12:AC42" si="13">IF(jakaKS=1,Z12,IF(jakaKS=2,X12,IF(jakaKS=3,Y12,0)))</f>
        <v>0.54</v>
      </c>
      <c r="AD12" s="90">
        <f t="shared" ref="AD12:AD42" si="14">IF(jakaKS=1,AA12*Z12,IF(jakaKS=2,N12,IF(jakaKS=3,T12,0)))</f>
        <v>15317910.000000002</v>
      </c>
      <c r="AE12" s="89">
        <f t="shared" ref="AE12:AE42" si="15">IF(jakaKS=1,O12+U12,IF(jakaKS=2,O12,IF(jakaKS=3,U12,0)))+IF(uspora="A",IF(jakaKS=1,Q12+W12,IF(jakaKS=2,Q12,IF(jakaKS=3,W12,0))),0)</f>
        <v>7282850.9300000006</v>
      </c>
      <c r="AF12" s="89">
        <f t="shared" ref="AF12:AF42" si="16">IF(jakaKS=1,Q12+W12,IF(jakaKS=2,Q12,IF(jakaKS=3,W12,0)))</f>
        <v>1879958.4000000001</v>
      </c>
      <c r="AG12" s="270">
        <f t="shared" ref="AG12:AG74" si="17">IF((AB12/(AA12*$O$6)*vahaE)&gt;vahaE,vahaE,AB12/(AA12*$O$6)*vahaE)</f>
        <v>38.63371163167821</v>
      </c>
      <c r="AH12" s="271">
        <f t="shared" ref="AH12:AH74" si="18">IF((AE12/AD12*vahaD)&gt;vahaD,vahaD,AE12/AD12*vahaD)</f>
        <v>28.526806581315597</v>
      </c>
      <c r="AI12" s="240">
        <f t="shared" ref="AI12:AI74" si="19">IF((AB12/(AA12*$O$6)*vahaE)&gt;vahaE,vahaE,AB12/(AA12*$O$6)*vahaE)+IF((AE12/AD12*vahaD)&gt;vahaD,vahaD,AE12/AD12*vahaD)</f>
        <v>67.160518212993807</v>
      </c>
      <c r="AJ12" s="316">
        <v>73.339230611255218</v>
      </c>
      <c r="AK12" s="672">
        <f>AI12-AJ12</f>
        <v>-6.1787123982614105</v>
      </c>
      <c r="AL12" t="str">
        <f t="shared" ref="AL12:AL35" si="20">IF($M12=AL$11,$A12,"")</f>
        <v/>
      </c>
      <c r="AO12" s="809">
        <v>2014</v>
      </c>
      <c r="AP12" s="363" t="s">
        <v>239</v>
      </c>
      <c r="AQ12" s="114">
        <f t="shared" ref="AQ12:AV12" si="21">SUM(AQ70:AQ74,AQ80)</f>
        <v>2402847577.3099995</v>
      </c>
      <c r="AR12" s="101">
        <f t="shared" si="21"/>
        <v>2024203274.6800001</v>
      </c>
      <c r="AS12" s="101">
        <f t="shared" si="21"/>
        <v>501149820</v>
      </c>
      <c r="AT12" s="101">
        <f t="shared" si="21"/>
        <v>192585199.56999999</v>
      </c>
      <c r="AU12" s="101">
        <f t="shared" si="21"/>
        <v>50115000</v>
      </c>
      <c r="AV12" s="102">
        <f t="shared" si="21"/>
        <v>57083599.790000007</v>
      </c>
      <c r="AY12" s="19" t="s">
        <v>338</v>
      </c>
      <c r="AZ12" s="49">
        <v>51870411.880000003</v>
      </c>
      <c r="BA12" s="49">
        <v>46546653.359999999</v>
      </c>
      <c r="BB12" s="49">
        <v>15845751.140000001</v>
      </c>
      <c r="BC12" s="53">
        <f>(AZ12)/($AZ$7/4)</f>
        <v>5.330106304822424E-2</v>
      </c>
      <c r="BD12" s="53">
        <f>BA12/($BA$7/4)</f>
        <v>0.18049233424721467</v>
      </c>
      <c r="BE12" s="53">
        <f>BB12/($BB$7/4)</f>
        <v>0.61444516516344083</v>
      </c>
      <c r="BF12" s="285" t="s">
        <v>365</v>
      </c>
      <c r="BG12" s="27"/>
      <c r="BH12" s="27"/>
      <c r="BI12" s="27"/>
      <c r="BJ12" s="27">
        <f>SUM($BG$12:BG12)</f>
        <v>0</v>
      </c>
      <c r="BK12" s="27">
        <f>SUM($BH$12:BH12)</f>
        <v>0</v>
      </c>
      <c r="BL12" s="27">
        <f>SUM($BI$12:BI12)</f>
        <v>0</v>
      </c>
    </row>
    <row r="13" spans="1:64" ht="11.25" customHeight="1" x14ac:dyDescent="0.2">
      <c r="A13" s="6">
        <v>2</v>
      </c>
      <c r="B13" s="199">
        <v>60344</v>
      </c>
      <c r="C13" s="680" t="s">
        <v>576</v>
      </c>
      <c r="D13" s="173" t="s">
        <v>14</v>
      </c>
      <c r="E13" s="173" t="s">
        <v>14</v>
      </c>
      <c r="F13" s="174" t="s">
        <v>14</v>
      </c>
      <c r="G13" s="179" t="s">
        <v>1</v>
      </c>
      <c r="H13" s="179" t="s">
        <v>289</v>
      </c>
      <c r="I13" s="180" t="s">
        <v>0</v>
      </c>
      <c r="J13" s="181" t="s">
        <v>135</v>
      </c>
      <c r="K13" s="200" t="b">
        <v>0</v>
      </c>
      <c r="L13" s="650">
        <v>154601410.2741513</v>
      </c>
      <c r="M13" s="89">
        <v>165964636.44</v>
      </c>
      <c r="N13" s="89">
        <f t="shared" ref="N13:N76" si="22">L13*X13</f>
        <v>9276084.6164490767</v>
      </c>
      <c r="O13" s="89">
        <v>26842449.510000002</v>
      </c>
      <c r="P13" s="89">
        <f t="shared" si="9"/>
        <v>927608.46164490771</v>
      </c>
      <c r="Q13" s="651">
        <v>7148588.3099999996</v>
      </c>
      <c r="R13" s="650">
        <v>157025725.48678994</v>
      </c>
      <c r="S13" s="89">
        <v>108853938.38</v>
      </c>
      <c r="T13" s="89">
        <f t="shared" ref="T13:T76" si="23">R13*Y13</f>
        <v>92645178.037206054</v>
      </c>
      <c r="U13" s="89">
        <v>51590658.439999998</v>
      </c>
      <c r="V13" s="89">
        <f t="shared" si="10"/>
        <v>9264517.8037206065</v>
      </c>
      <c r="W13" s="347">
        <v>1904738.9</v>
      </c>
      <c r="X13" s="256">
        <v>0.06</v>
      </c>
      <c r="Y13" s="256">
        <v>0.59</v>
      </c>
      <c r="Z13" s="648">
        <v>0.38</v>
      </c>
      <c r="AA13" s="89">
        <f t="shared" si="11"/>
        <v>311627135.76094127</v>
      </c>
      <c r="AB13" s="89">
        <f t="shared" si="12"/>
        <v>274818574.81999999</v>
      </c>
      <c r="AC13" s="257">
        <f t="shared" si="13"/>
        <v>0.38</v>
      </c>
      <c r="AD13" s="90">
        <f t="shared" si="14"/>
        <v>118418311.58915769</v>
      </c>
      <c r="AE13" s="89">
        <f t="shared" si="15"/>
        <v>78433107.950000003</v>
      </c>
      <c r="AF13" s="89">
        <f t="shared" si="16"/>
        <v>9053327.209999999</v>
      </c>
      <c r="AG13" s="270">
        <f t="shared" si="17"/>
        <v>40</v>
      </c>
      <c r="AH13" s="271">
        <f t="shared" si="18"/>
        <v>39.740361214801155</v>
      </c>
      <c r="AI13" s="240">
        <f t="shared" si="19"/>
        <v>79.740361214801155</v>
      </c>
      <c r="AJ13" s="316">
        <v>87.307406261470447</v>
      </c>
      <c r="AK13" s="672">
        <f t="shared" ref="AK13:AK75" si="24">AI13-AJ13</f>
        <v>-7.5670450466692927</v>
      </c>
      <c r="AL13" t="str">
        <f t="shared" si="20"/>
        <v/>
      </c>
      <c r="AO13" s="810"/>
      <c r="AP13" s="364" t="s">
        <v>238</v>
      </c>
      <c r="AQ13" s="115">
        <f t="shared" ref="AQ13:AV13" si="25">SUM(AQ75:AQ79,AQ81)</f>
        <v>1428218595.27</v>
      </c>
      <c r="AR13" s="106">
        <f t="shared" si="25"/>
        <v>1042455151.66</v>
      </c>
      <c r="AS13" s="106">
        <f t="shared" si="25"/>
        <v>623785608</v>
      </c>
      <c r="AT13" s="106">
        <f t="shared" si="25"/>
        <v>378641580.12</v>
      </c>
      <c r="AU13" s="106">
        <f t="shared" si="25"/>
        <v>62378568</v>
      </c>
      <c r="AV13" s="107">
        <f t="shared" si="25"/>
        <v>38687928.619999997</v>
      </c>
      <c r="AY13" s="19" t="s">
        <v>339</v>
      </c>
      <c r="AZ13" s="49">
        <v>62751340.210000001</v>
      </c>
      <c r="BA13" s="49">
        <v>53460675.329999998</v>
      </c>
      <c r="BB13" s="49">
        <v>16684996.08</v>
      </c>
      <c r="BC13" s="53">
        <f t="shared" ref="BC13:BC18" si="26">(AZ13)/($AZ$7/4)</f>
        <v>6.4482101060458721E-2</v>
      </c>
      <c r="BD13" s="53">
        <f>BA13/($BA$7/4)</f>
        <v>0.20730259608817089</v>
      </c>
      <c r="BE13" s="53">
        <f>BB13/($BB$7/4)</f>
        <v>0.64698827348407806</v>
      </c>
      <c r="BF13" s="288" t="s">
        <v>366</v>
      </c>
      <c r="BG13" s="33"/>
      <c r="BH13" s="33"/>
      <c r="BI13" s="33"/>
      <c r="BJ13" s="33">
        <f>SUM($BG$12:BG13)</f>
        <v>0</v>
      </c>
      <c r="BK13" s="33">
        <f>SUM($BH$12:BH13)</f>
        <v>0</v>
      </c>
      <c r="BL13" s="33">
        <f>SUM($BI$12:BI13)</f>
        <v>0</v>
      </c>
    </row>
    <row r="14" spans="1:64" ht="11.25" customHeight="1" x14ac:dyDescent="0.2">
      <c r="A14" s="6">
        <v>3</v>
      </c>
      <c r="B14" s="199">
        <v>60302</v>
      </c>
      <c r="C14" s="680" t="s">
        <v>0</v>
      </c>
      <c r="D14" s="173" t="s">
        <v>14</v>
      </c>
      <c r="E14" s="173" t="s">
        <v>14</v>
      </c>
      <c r="F14" s="174" t="s">
        <v>113</v>
      </c>
      <c r="G14" s="179" t="s">
        <v>3</v>
      </c>
      <c r="H14" s="179" t="s">
        <v>290</v>
      </c>
      <c r="I14" s="180" t="s">
        <v>0</v>
      </c>
      <c r="J14" s="181" t="s">
        <v>291</v>
      </c>
      <c r="K14" s="200" t="b">
        <v>0</v>
      </c>
      <c r="L14" s="650">
        <v>496580250</v>
      </c>
      <c r="M14" s="89">
        <v>420730480.69999999</v>
      </c>
      <c r="N14" s="89">
        <f t="shared" si="22"/>
        <v>29794815</v>
      </c>
      <c r="O14" s="89">
        <v>16238626.560000001</v>
      </c>
      <c r="P14" s="89">
        <f t="shared" si="9"/>
        <v>2979481.5</v>
      </c>
      <c r="Q14" s="651">
        <v>8820980.2799999993</v>
      </c>
      <c r="R14" s="650">
        <v>24980250</v>
      </c>
      <c r="S14" s="89">
        <v>13477520.869999999</v>
      </c>
      <c r="T14" s="89">
        <f t="shared" si="23"/>
        <v>4746247.5</v>
      </c>
      <c r="U14" s="89">
        <v>4187617.2799999998</v>
      </c>
      <c r="V14" s="89">
        <f t="shared" si="10"/>
        <v>474624.75</v>
      </c>
      <c r="W14" s="347">
        <v>786264.14</v>
      </c>
      <c r="X14" s="256">
        <v>0.06</v>
      </c>
      <c r="Y14" s="256">
        <v>0.19</v>
      </c>
      <c r="Z14" s="648">
        <v>7.0000000000000007E-2</v>
      </c>
      <c r="AA14" s="89">
        <f t="shared" si="11"/>
        <v>521560500</v>
      </c>
      <c r="AB14" s="89">
        <f t="shared" si="12"/>
        <v>434208001.56999999</v>
      </c>
      <c r="AC14" s="257">
        <f t="shared" si="13"/>
        <v>7.0000000000000007E-2</v>
      </c>
      <c r="AD14" s="90">
        <f t="shared" si="14"/>
        <v>36509235</v>
      </c>
      <c r="AE14" s="89">
        <f t="shared" si="15"/>
        <v>20426243.84</v>
      </c>
      <c r="AF14" s="89">
        <f t="shared" si="16"/>
        <v>9607244.4199999999</v>
      </c>
      <c r="AG14" s="270">
        <f t="shared" si="17"/>
        <v>40</v>
      </c>
      <c r="AH14" s="271">
        <f t="shared" si="18"/>
        <v>33.568893744281411</v>
      </c>
      <c r="AI14" s="240">
        <f t="shared" si="19"/>
        <v>73.568893744281411</v>
      </c>
      <c r="AJ14" s="316">
        <v>72.910730181767917</v>
      </c>
      <c r="AK14" s="672">
        <f t="shared" si="24"/>
        <v>0.65816356251349362</v>
      </c>
      <c r="AL14" t="str">
        <f t="shared" si="20"/>
        <v/>
      </c>
      <c r="AO14" s="809">
        <v>2015</v>
      </c>
      <c r="AP14" s="370" t="s">
        <v>239</v>
      </c>
      <c r="AQ14" s="114">
        <f>SUM(AQ82:AQ86,AQ92)</f>
        <v>2270940797.3499985</v>
      </c>
      <c r="AR14" s="101">
        <f t="shared" ref="AR14:AV14" si="27">SUM(AR82:AR86,AR92)</f>
        <v>1870324639.1399999</v>
      </c>
      <c r="AS14" s="101">
        <f t="shared" si="27"/>
        <v>507023892</v>
      </c>
      <c r="AT14" s="101">
        <f t="shared" si="27"/>
        <v>231934644.66000003</v>
      </c>
      <c r="AU14" s="101">
        <f t="shared" si="27"/>
        <v>50702388</v>
      </c>
      <c r="AV14" s="102">
        <f t="shared" si="27"/>
        <v>79166997.319999993</v>
      </c>
      <c r="AY14" s="19" t="s">
        <v>340</v>
      </c>
      <c r="AZ14" s="49">
        <v>110363616.52</v>
      </c>
      <c r="BA14" s="49">
        <v>63008609.990000002</v>
      </c>
      <c r="BB14" s="49">
        <v>16556777.029999999</v>
      </c>
      <c r="BC14" s="53">
        <f t="shared" si="26"/>
        <v>0.11340758380657304</v>
      </c>
      <c r="BD14" s="53">
        <f>BA14/($BA$7/4)</f>
        <v>0.24432628929968403</v>
      </c>
      <c r="BE14" s="53">
        <f>BB14/($BB$7/4)</f>
        <v>0.6420163681033686</v>
      </c>
      <c r="BF14" s="286" t="s">
        <v>367</v>
      </c>
      <c r="BG14" s="33"/>
      <c r="BH14" s="33"/>
      <c r="BI14" s="33"/>
      <c r="BJ14" s="33">
        <f>SUM($BG$12:BG14)</f>
        <v>0</v>
      </c>
      <c r="BK14" s="33">
        <f>SUM($BH$12:BH14)</f>
        <v>0</v>
      </c>
      <c r="BL14" s="33">
        <f>SUM($BI$12:BI14)</f>
        <v>0</v>
      </c>
    </row>
    <row r="15" spans="1:64" ht="11.25" customHeight="1" x14ac:dyDescent="0.2">
      <c r="A15" s="6">
        <v>4</v>
      </c>
      <c r="B15" s="199">
        <v>60350</v>
      </c>
      <c r="C15" s="680" t="s">
        <v>544</v>
      </c>
      <c r="D15" s="173" t="s">
        <v>14</v>
      </c>
      <c r="E15" s="173" t="s">
        <v>14</v>
      </c>
      <c r="F15" s="174" t="s">
        <v>113</v>
      </c>
      <c r="G15" s="179" t="s">
        <v>2</v>
      </c>
      <c r="H15" s="179" t="s">
        <v>575</v>
      </c>
      <c r="I15" s="180" t="s">
        <v>0</v>
      </c>
      <c r="J15" s="181" t="s">
        <v>292</v>
      </c>
      <c r="K15" s="200" t="b">
        <v>0</v>
      </c>
      <c r="L15" s="650">
        <v>82476750</v>
      </c>
      <c r="M15" s="89">
        <v>0</v>
      </c>
      <c r="N15" s="89">
        <f t="shared" si="22"/>
        <v>7373421.4499999993</v>
      </c>
      <c r="O15" s="89">
        <v>6023378.4299999997</v>
      </c>
      <c r="P15" s="89">
        <f t="shared" si="9"/>
        <v>737342.14500000002</v>
      </c>
      <c r="Q15" s="651">
        <v>2707996.5</v>
      </c>
      <c r="R15" s="650">
        <v>324306750</v>
      </c>
      <c r="S15" s="89">
        <v>102342680.73</v>
      </c>
      <c r="T15" s="89">
        <f t="shared" si="23"/>
        <v>19523266.349999998</v>
      </c>
      <c r="U15" s="89">
        <v>13651899.43</v>
      </c>
      <c r="V15" s="89">
        <f t="shared" si="10"/>
        <v>1952326.6349999998</v>
      </c>
      <c r="W15" s="347">
        <v>3105962.07</v>
      </c>
      <c r="X15" s="256">
        <v>8.9399999999999993E-2</v>
      </c>
      <c r="Y15" s="256">
        <v>6.0199999999999997E-2</v>
      </c>
      <c r="Z15" s="648">
        <v>6.6600000000000006E-2</v>
      </c>
      <c r="AA15" s="89">
        <f t="shared" si="11"/>
        <v>406783500</v>
      </c>
      <c r="AB15" s="89">
        <f t="shared" si="12"/>
        <v>102342680.73</v>
      </c>
      <c r="AC15" s="257">
        <f t="shared" si="13"/>
        <v>6.6600000000000006E-2</v>
      </c>
      <c r="AD15" s="90">
        <f t="shared" si="14"/>
        <v>27091781.100000001</v>
      </c>
      <c r="AE15" s="89">
        <f t="shared" si="15"/>
        <v>19675277.859999999</v>
      </c>
      <c r="AF15" s="89">
        <f t="shared" si="16"/>
        <v>5813958.5700000003</v>
      </c>
      <c r="AG15" s="270">
        <f t="shared" si="17"/>
        <v>12.579502454008091</v>
      </c>
      <c r="AH15" s="271">
        <f t="shared" si="18"/>
        <v>43.574716156258916</v>
      </c>
      <c r="AI15" s="240">
        <f t="shared" si="19"/>
        <v>56.154218610267009</v>
      </c>
      <c r="AJ15" s="316">
        <v>87.835987624929601</v>
      </c>
      <c r="AK15" s="672">
        <f t="shared" si="24"/>
        <v>-31.681769014662592</v>
      </c>
      <c r="AL15">
        <f t="shared" si="20"/>
        <v>4</v>
      </c>
      <c r="AO15" s="810"/>
      <c r="AP15" s="371" t="s">
        <v>238</v>
      </c>
      <c r="AQ15" s="115">
        <f>SUM(AQ87:AQ91,AQ93)</f>
        <v>1443314003.3900011</v>
      </c>
      <c r="AR15" s="106">
        <f t="shared" ref="AR15:AV15" si="28">SUM(AR87:AR91,AR93)</f>
        <v>840367925.24000001</v>
      </c>
      <c r="AS15" s="106">
        <f t="shared" si="28"/>
        <v>609744768</v>
      </c>
      <c r="AT15" s="106">
        <f t="shared" si="28"/>
        <v>323312912.76999998</v>
      </c>
      <c r="AU15" s="106">
        <f t="shared" si="28"/>
        <v>60974484</v>
      </c>
      <c r="AV15" s="107">
        <f t="shared" si="28"/>
        <v>40038900.390000001</v>
      </c>
      <c r="AY15" s="19" t="s">
        <v>341</v>
      </c>
      <c r="AZ15" s="49">
        <v>199153726.84</v>
      </c>
      <c r="BA15" s="49">
        <v>94572810.780000001</v>
      </c>
      <c r="BB15" s="49">
        <v>17951337.539999999</v>
      </c>
      <c r="BC15" s="53">
        <f t="shared" si="26"/>
        <v>0.20464663699114755</v>
      </c>
      <c r="BD15" s="53">
        <f>BA15/($BA$7/4)</f>
        <v>0.36672168978470993</v>
      </c>
      <c r="BE15" s="53">
        <f>BB15/($BB$7/4)</f>
        <v>0.69609275459503228</v>
      </c>
      <c r="BF15" s="286" t="s">
        <v>368</v>
      </c>
      <c r="BG15" s="33"/>
      <c r="BH15" s="33"/>
      <c r="BI15" s="33"/>
      <c r="BJ15" s="33">
        <f>SUM($BG$12:BG15)</f>
        <v>0</v>
      </c>
      <c r="BK15" s="33">
        <f>SUM($BH$12:BH15)</f>
        <v>0</v>
      </c>
      <c r="BL15" s="33">
        <f>SUM($BI$12:BI15)</f>
        <v>0</v>
      </c>
    </row>
    <row r="16" spans="1:64" ht="11.25" customHeight="1" x14ac:dyDescent="0.2">
      <c r="A16" s="6">
        <v>5</v>
      </c>
      <c r="B16" s="199">
        <v>60438</v>
      </c>
      <c r="C16" s="680" t="s">
        <v>545</v>
      </c>
      <c r="D16" s="173" t="s">
        <v>14</v>
      </c>
      <c r="E16" s="173" t="s">
        <v>14</v>
      </c>
      <c r="F16" s="174" t="s">
        <v>113</v>
      </c>
      <c r="G16" s="179" t="s">
        <v>2</v>
      </c>
      <c r="H16" s="179" t="s">
        <v>577</v>
      </c>
      <c r="I16" s="180" t="s">
        <v>0</v>
      </c>
      <c r="J16" s="181" t="s">
        <v>291</v>
      </c>
      <c r="K16" s="200" t="b">
        <v>0</v>
      </c>
      <c r="L16" s="650">
        <v>39475972.5</v>
      </c>
      <c r="M16" s="89">
        <v>35830823.560000002</v>
      </c>
      <c r="N16" s="89">
        <f t="shared" si="22"/>
        <v>1316480.3563283558</v>
      </c>
      <c r="O16" s="89">
        <v>974320.47</v>
      </c>
      <c r="P16" s="89">
        <f t="shared" si="9"/>
        <v>131648.03563283558</v>
      </c>
      <c r="Q16" s="651">
        <v>789599.52</v>
      </c>
      <c r="R16" s="650">
        <v>11971027.5</v>
      </c>
      <c r="S16" s="89">
        <v>5053657.95</v>
      </c>
      <c r="T16" s="89">
        <f t="shared" si="23"/>
        <v>3694712.7923399447</v>
      </c>
      <c r="U16" s="89">
        <v>3123668.5</v>
      </c>
      <c r="V16" s="89">
        <f t="shared" si="10"/>
        <v>369471.27923399449</v>
      </c>
      <c r="W16" s="347">
        <v>1053779.8999999999</v>
      </c>
      <c r="X16" s="256">
        <v>3.3348902457776206E-2</v>
      </c>
      <c r="Y16" s="256">
        <v>0.30863790032559402</v>
      </c>
      <c r="Z16" s="648">
        <v>9.8124220413000354E-2</v>
      </c>
      <c r="AA16" s="89">
        <f t="shared" si="11"/>
        <v>51447000</v>
      </c>
      <c r="AB16" s="89">
        <f t="shared" si="12"/>
        <v>40884481.510000005</v>
      </c>
      <c r="AC16" s="257">
        <f t="shared" si="13"/>
        <v>9.8124220413000354E-2</v>
      </c>
      <c r="AD16" s="90">
        <f t="shared" si="14"/>
        <v>5048196.7675876291</v>
      </c>
      <c r="AE16" s="89">
        <f t="shared" si="15"/>
        <v>4097988.9699999997</v>
      </c>
      <c r="AF16" s="89">
        <f t="shared" si="16"/>
        <v>1843379.42</v>
      </c>
      <c r="AG16" s="270">
        <f t="shared" si="17"/>
        <v>39.734563249557802</v>
      </c>
      <c r="AH16" s="271">
        <f t="shared" si="18"/>
        <v>48.706369723678144</v>
      </c>
      <c r="AI16" s="240">
        <f t="shared" si="19"/>
        <v>88.440932973235945</v>
      </c>
      <c r="AJ16" s="316">
        <v>89.830288654570907</v>
      </c>
      <c r="AK16" s="672">
        <f t="shared" si="24"/>
        <v>-1.3893556813349619</v>
      </c>
      <c r="AL16" t="str">
        <f t="shared" si="20"/>
        <v/>
      </c>
      <c r="AO16" s="809">
        <v>2016</v>
      </c>
      <c r="AP16" s="667" t="s">
        <v>239</v>
      </c>
      <c r="AQ16" s="114">
        <f>SUM(AQ94:AQ98,AQ104)</f>
        <v>1892312901</v>
      </c>
      <c r="AR16" s="101">
        <f t="shared" ref="AR16:AV16" si="29">SUM(AR94:AR98,AR104)</f>
        <v>1050976141.63</v>
      </c>
      <c r="AS16" s="101">
        <f t="shared" si="29"/>
        <v>0</v>
      </c>
      <c r="AT16" s="101">
        <f t="shared" si="29"/>
        <v>196435640.01999998</v>
      </c>
      <c r="AU16" s="101">
        <f t="shared" si="29"/>
        <v>0</v>
      </c>
      <c r="AV16" s="102">
        <f t="shared" si="29"/>
        <v>76585528.129999995</v>
      </c>
      <c r="AY16" s="19" t="s">
        <v>342</v>
      </c>
      <c r="AZ16" s="49">
        <v>653670898.28999996</v>
      </c>
      <c r="BA16" s="49">
        <v>124443973.3</v>
      </c>
      <c r="BB16" s="49">
        <v>19234197.670000002</v>
      </c>
      <c r="BC16" s="53">
        <f t="shared" si="26"/>
        <v>0.67169996342324512</v>
      </c>
      <c r="BD16" s="53">
        <f>BA16/($BA$8/4)</f>
        <v>0.48255205482113434</v>
      </c>
      <c r="BE16" s="53">
        <f>BB16/($BB$8/4)</f>
        <v>0.74583777441107901</v>
      </c>
      <c r="BF16" s="286" t="s">
        <v>369</v>
      </c>
      <c r="BG16" s="33"/>
      <c r="BH16" s="33"/>
      <c r="BI16" s="33"/>
      <c r="BJ16" s="33">
        <f>SUM($BG$12:BG16)</f>
        <v>0</v>
      </c>
      <c r="BK16" s="33">
        <f>SUM($BH$12:BH16)</f>
        <v>0</v>
      </c>
      <c r="BL16" s="33">
        <f>SUM($BI$12:BI16)</f>
        <v>0</v>
      </c>
    </row>
    <row r="17" spans="1:64" ht="11.25" customHeight="1" x14ac:dyDescent="0.2">
      <c r="A17" s="6">
        <v>6</v>
      </c>
      <c r="B17" s="199">
        <v>60699</v>
      </c>
      <c r="C17" s="680" t="s">
        <v>578</v>
      </c>
      <c r="D17" s="173" t="s">
        <v>14</v>
      </c>
      <c r="E17" s="173" t="s">
        <v>14</v>
      </c>
      <c r="F17" s="174" t="s">
        <v>14</v>
      </c>
      <c r="G17" s="179" t="s">
        <v>1</v>
      </c>
      <c r="H17" s="179" t="s">
        <v>444</v>
      </c>
      <c r="I17" s="180" t="s">
        <v>0</v>
      </c>
      <c r="J17" s="181" t="s">
        <v>135</v>
      </c>
      <c r="K17" s="200" t="b">
        <v>0</v>
      </c>
      <c r="L17" s="650">
        <v>62456250</v>
      </c>
      <c r="M17" s="89">
        <v>56381382.810000002</v>
      </c>
      <c r="N17" s="89">
        <f t="shared" si="22"/>
        <v>1873687.5</v>
      </c>
      <c r="O17" s="89">
        <v>1228218.3</v>
      </c>
      <c r="P17" s="89">
        <f t="shared" si="9"/>
        <v>187368.75</v>
      </c>
      <c r="Q17" s="651">
        <v>1091144.43</v>
      </c>
      <c r="R17" s="650">
        <v>49676250</v>
      </c>
      <c r="S17" s="89">
        <v>30988956.52</v>
      </c>
      <c r="T17" s="89">
        <f t="shared" si="23"/>
        <v>25334887.5</v>
      </c>
      <c r="U17" s="89">
        <v>14572160.34</v>
      </c>
      <c r="V17" s="89">
        <f t="shared" si="10"/>
        <v>2533488.75</v>
      </c>
      <c r="W17" s="347">
        <v>501621.33</v>
      </c>
      <c r="X17" s="256">
        <v>0.03</v>
      </c>
      <c r="Y17" s="256">
        <v>0.51</v>
      </c>
      <c r="Z17" s="648">
        <v>0.23</v>
      </c>
      <c r="AA17" s="89">
        <f t="shared" si="11"/>
        <v>112132500</v>
      </c>
      <c r="AB17" s="89">
        <f t="shared" si="12"/>
        <v>87370339.329999998</v>
      </c>
      <c r="AC17" s="257">
        <f t="shared" si="13"/>
        <v>0.23</v>
      </c>
      <c r="AD17" s="90">
        <f t="shared" si="14"/>
        <v>25790475</v>
      </c>
      <c r="AE17" s="89">
        <f t="shared" si="15"/>
        <v>15800378.640000001</v>
      </c>
      <c r="AF17" s="89">
        <f t="shared" si="16"/>
        <v>1592765.76</v>
      </c>
      <c r="AG17" s="270">
        <f t="shared" si="17"/>
        <v>38.95852644416204</v>
      </c>
      <c r="AH17" s="271">
        <f t="shared" si="18"/>
        <v>36.758637380660886</v>
      </c>
      <c r="AI17" s="240">
        <f t="shared" si="19"/>
        <v>75.717163824822933</v>
      </c>
      <c r="AJ17" s="316">
        <v>92.574797996288041</v>
      </c>
      <c r="AK17" s="672">
        <f t="shared" si="24"/>
        <v>-16.857634171465108</v>
      </c>
      <c r="AL17" t="str">
        <f t="shared" si="20"/>
        <v/>
      </c>
      <c r="AO17" s="810"/>
      <c r="AP17" s="668" t="s">
        <v>238</v>
      </c>
      <c r="AQ17" s="669">
        <f>SUM(AQ99:AQ103,AQ105)</f>
        <v>971508870</v>
      </c>
      <c r="AR17" s="670">
        <f t="shared" ref="AR17:AV17" si="30">SUM(AR99:AR103,AR105)</f>
        <v>461201864.36999995</v>
      </c>
      <c r="AS17" s="670">
        <f t="shared" si="30"/>
        <v>0</v>
      </c>
      <c r="AT17" s="670">
        <f t="shared" si="30"/>
        <v>179766940.08999997</v>
      </c>
      <c r="AU17" s="670">
        <f t="shared" si="30"/>
        <v>0</v>
      </c>
      <c r="AV17" s="671">
        <f t="shared" si="30"/>
        <v>23370781.379999999</v>
      </c>
      <c r="AY17" s="19" t="s">
        <v>343</v>
      </c>
      <c r="AZ17" s="49">
        <v>664181379.42999995</v>
      </c>
      <c r="BA17" s="49">
        <v>139217529.84</v>
      </c>
      <c r="BB17" s="49">
        <v>18899105.640000001</v>
      </c>
      <c r="BC17" s="53">
        <f t="shared" si="26"/>
        <v>0.68250033684627398</v>
      </c>
      <c r="BD17" s="53">
        <f>BA17/($BA$8/4)</f>
        <v>0.53983895973381446</v>
      </c>
      <c r="BE17" s="53">
        <f>BB17/($BB$8/4)</f>
        <v>0.73284402763951995</v>
      </c>
      <c r="BF17" s="286" t="s">
        <v>370</v>
      </c>
      <c r="BG17" s="33"/>
      <c r="BH17" s="33"/>
      <c r="BI17" s="33"/>
      <c r="BJ17" s="33">
        <f>SUM($BG$12:BG17)</f>
        <v>0</v>
      </c>
      <c r="BK17" s="33">
        <f>SUM($BH$12:BH17)</f>
        <v>0</v>
      </c>
      <c r="BL17" s="33">
        <f>SUM($BI$12:BI17)</f>
        <v>0</v>
      </c>
    </row>
    <row r="18" spans="1:64" ht="11.25" customHeight="1" x14ac:dyDescent="0.2">
      <c r="A18" s="6">
        <v>7</v>
      </c>
      <c r="B18" s="199">
        <v>60360</v>
      </c>
      <c r="C18" s="680" t="s">
        <v>546</v>
      </c>
      <c r="D18" s="173" t="s">
        <v>136</v>
      </c>
      <c r="E18" s="173" t="s">
        <v>14</v>
      </c>
      <c r="F18" s="174" t="s">
        <v>113</v>
      </c>
      <c r="G18" s="179" t="s">
        <v>4</v>
      </c>
      <c r="H18" s="179" t="s">
        <v>293</v>
      </c>
      <c r="I18" s="182" t="s">
        <v>8</v>
      </c>
      <c r="J18" s="181" t="s">
        <v>136</v>
      </c>
      <c r="K18" s="200" t="b">
        <v>0</v>
      </c>
      <c r="L18" s="650">
        <v>7319250</v>
      </c>
      <c r="M18" s="89">
        <v>0</v>
      </c>
      <c r="N18" s="89">
        <f t="shared" si="22"/>
        <v>516583.61071851442</v>
      </c>
      <c r="O18" s="89">
        <v>116187.48</v>
      </c>
      <c r="P18" s="89">
        <f t="shared" si="9"/>
        <v>51658.361071851446</v>
      </c>
      <c r="Q18" s="651">
        <v>111168.27</v>
      </c>
      <c r="R18" s="650">
        <v>327000</v>
      </c>
      <c r="S18" s="89">
        <v>13668.88</v>
      </c>
      <c r="T18" s="89">
        <f t="shared" si="23"/>
        <v>49110.841991845205</v>
      </c>
      <c r="U18" s="89">
        <v>13668.88</v>
      </c>
      <c r="V18" s="89">
        <f t="shared" si="10"/>
        <v>4911.0841991845209</v>
      </c>
      <c r="W18" s="347">
        <v>2269.7800000000002</v>
      </c>
      <c r="X18" s="256">
        <v>7.0578762949552815E-2</v>
      </c>
      <c r="Y18" s="256">
        <v>0.15018606113714131</v>
      </c>
      <c r="Z18" s="648">
        <v>7.3318441064654863E-2</v>
      </c>
      <c r="AA18" s="89">
        <f t="shared" si="11"/>
        <v>7646250</v>
      </c>
      <c r="AB18" s="89">
        <f t="shared" si="12"/>
        <v>13668.88</v>
      </c>
      <c r="AC18" s="257">
        <f t="shared" si="13"/>
        <v>7.3318441064654863E-2</v>
      </c>
      <c r="AD18" s="90">
        <f t="shared" si="14"/>
        <v>560611.12999061728</v>
      </c>
      <c r="AE18" s="89">
        <f t="shared" si="15"/>
        <v>129856.36</v>
      </c>
      <c r="AF18" s="89">
        <f t="shared" si="16"/>
        <v>113438.05</v>
      </c>
      <c r="AG18" s="270">
        <f t="shared" si="17"/>
        <v>8.9382900114435171E-2</v>
      </c>
      <c r="AH18" s="271">
        <f t="shared" si="18"/>
        <v>13.898014475970895</v>
      </c>
      <c r="AI18" s="240">
        <f t="shared" si="19"/>
        <v>13.98739737608533</v>
      </c>
      <c r="AJ18" s="316">
        <v>23.493397161413611</v>
      </c>
      <c r="AK18" s="672">
        <f t="shared" si="24"/>
        <v>-9.5059997853282816</v>
      </c>
      <c r="AL18">
        <f t="shared" si="20"/>
        <v>7</v>
      </c>
      <c r="AY18" s="19" t="s">
        <v>344</v>
      </c>
      <c r="AZ18" s="49">
        <v>654998860.82000005</v>
      </c>
      <c r="BA18" s="49">
        <v>134789844.06</v>
      </c>
      <c r="BB18" s="49">
        <v>19892983.010000002</v>
      </c>
      <c r="BC18" s="53">
        <f t="shared" si="26"/>
        <v>0.6730645528292627</v>
      </c>
      <c r="BD18" s="53">
        <f>BA18/($BA$8/4)</f>
        <v>0.52266987701664192</v>
      </c>
      <c r="BE18" s="53">
        <f>BB18/($BB$8/4)</f>
        <v>0.77138326376448263</v>
      </c>
      <c r="BF18" s="286" t="s">
        <v>371</v>
      </c>
      <c r="BG18" s="33"/>
      <c r="BH18" s="33"/>
      <c r="BI18" s="33"/>
      <c r="BJ18" s="33">
        <f>SUM($BG$12:BG18)</f>
        <v>0</v>
      </c>
      <c r="BK18" s="33">
        <f>SUM($BH$12:BH18)</f>
        <v>0</v>
      </c>
      <c r="BL18" s="33">
        <f>SUM($BI$12:BI18)</f>
        <v>0</v>
      </c>
    </row>
    <row r="19" spans="1:64" ht="11.25" customHeight="1" x14ac:dyDescent="0.2">
      <c r="A19" s="6">
        <v>8</v>
      </c>
      <c r="B19" s="199">
        <v>60363</v>
      </c>
      <c r="C19" s="680" t="s">
        <v>547</v>
      </c>
      <c r="D19" s="173" t="s">
        <v>136</v>
      </c>
      <c r="E19" s="173" t="s">
        <v>14</v>
      </c>
      <c r="F19" s="174" t="s">
        <v>113</v>
      </c>
      <c r="G19" s="179" t="s">
        <v>2</v>
      </c>
      <c r="H19" s="179" t="s">
        <v>575</v>
      </c>
      <c r="I19" s="180" t="s">
        <v>0</v>
      </c>
      <c r="J19" s="181" t="s">
        <v>136</v>
      </c>
      <c r="K19" s="200" t="b">
        <v>0</v>
      </c>
      <c r="L19" s="650">
        <v>17754750</v>
      </c>
      <c r="M19" s="89">
        <v>11952824.98</v>
      </c>
      <c r="N19" s="89">
        <f>L19*X19</f>
        <v>6924352.5</v>
      </c>
      <c r="O19" s="89">
        <v>6237615.2400000002</v>
      </c>
      <c r="P19" s="89">
        <f t="shared" si="9"/>
        <v>692435.25</v>
      </c>
      <c r="Q19" s="651">
        <v>3072412.17</v>
      </c>
      <c r="R19" s="650">
        <v>9908250</v>
      </c>
      <c r="S19" s="89">
        <v>8813514.3699999992</v>
      </c>
      <c r="T19" s="89">
        <f>R19*Y19</f>
        <v>4260547.5</v>
      </c>
      <c r="U19" s="89">
        <v>4734438.08</v>
      </c>
      <c r="V19" s="89">
        <f t="shared" si="10"/>
        <v>426054.75</v>
      </c>
      <c r="W19" s="347">
        <v>1025897.4</v>
      </c>
      <c r="X19" s="256">
        <v>0.39</v>
      </c>
      <c r="Y19" s="256">
        <v>0.43</v>
      </c>
      <c r="Z19" s="648">
        <v>0.4</v>
      </c>
      <c r="AA19" s="89">
        <f t="shared" si="11"/>
        <v>27663000</v>
      </c>
      <c r="AB19" s="89">
        <f t="shared" si="12"/>
        <v>20766339.350000001</v>
      </c>
      <c r="AC19" s="257">
        <f t="shared" si="13"/>
        <v>0.4</v>
      </c>
      <c r="AD19" s="90">
        <f t="shared" si="14"/>
        <v>11065200</v>
      </c>
      <c r="AE19" s="89">
        <f t="shared" si="15"/>
        <v>10972053.32</v>
      </c>
      <c r="AF19" s="89">
        <f t="shared" si="16"/>
        <v>4098309.57</v>
      </c>
      <c r="AG19" s="270">
        <f t="shared" si="17"/>
        <v>37.534503398040705</v>
      </c>
      <c r="AH19" s="271">
        <f t="shared" si="18"/>
        <v>59.494920941329575</v>
      </c>
      <c r="AI19" s="240">
        <f t="shared" si="19"/>
        <v>97.02942433937028</v>
      </c>
      <c r="AJ19" s="316">
        <v>94.268278810325285</v>
      </c>
      <c r="AK19" s="672">
        <f t="shared" si="24"/>
        <v>2.7611455290449953</v>
      </c>
      <c r="AL19" t="str">
        <f t="shared" si="20"/>
        <v/>
      </c>
      <c r="AY19" s="19" t="s">
        <v>394</v>
      </c>
      <c r="AZ19" s="49">
        <v>779127051.28999996</v>
      </c>
      <c r="BA19" s="49">
        <v>151473394.62</v>
      </c>
      <c r="BB19" s="49">
        <v>20201799.760000002</v>
      </c>
      <c r="BC19" s="53">
        <f t="shared" ref="BC19:BC23" si="31">(AZ19)/($AZ$7/4)</f>
        <v>0.80061635483942728</v>
      </c>
      <c r="BD19" s="53">
        <f>BA19/($BA$8/4)</f>
        <v>0.58736309912256357</v>
      </c>
      <c r="BE19" s="53">
        <f>BB19/($BB$8/4)</f>
        <v>0.78335814316795838</v>
      </c>
      <c r="BF19" s="286" t="s">
        <v>372</v>
      </c>
      <c r="BG19" s="33"/>
      <c r="BH19" s="33"/>
      <c r="BI19" s="33"/>
      <c r="BJ19" s="33">
        <f>SUM($BG$12:BG19)</f>
        <v>0</v>
      </c>
      <c r="BK19" s="33">
        <f>SUM($BH$12:BH19)</f>
        <v>0</v>
      </c>
      <c r="BL19" s="33">
        <f>SUM($BI$12:BI19)</f>
        <v>0</v>
      </c>
    </row>
    <row r="20" spans="1:64" ht="11.25" customHeight="1" x14ac:dyDescent="0.2">
      <c r="A20" s="6">
        <v>9</v>
      </c>
      <c r="B20" s="199">
        <v>60364</v>
      </c>
      <c r="C20" s="680" t="s">
        <v>548</v>
      </c>
      <c r="D20" s="173" t="s">
        <v>136</v>
      </c>
      <c r="E20" s="173" t="s">
        <v>14</v>
      </c>
      <c r="F20" s="174" t="s">
        <v>113</v>
      </c>
      <c r="G20" s="179" t="s">
        <v>2</v>
      </c>
      <c r="H20" s="179" t="s">
        <v>575</v>
      </c>
      <c r="I20" s="180" t="s">
        <v>0</v>
      </c>
      <c r="J20" s="181" t="s">
        <v>136</v>
      </c>
      <c r="K20" s="200" t="b">
        <v>0</v>
      </c>
      <c r="L20" s="650">
        <v>2981250</v>
      </c>
      <c r="M20" s="89">
        <v>2293915.85</v>
      </c>
      <c r="N20" s="89">
        <f t="shared" si="22"/>
        <v>821927.31258413626</v>
      </c>
      <c r="O20" s="89">
        <v>828162.27</v>
      </c>
      <c r="P20" s="89">
        <f t="shared" si="9"/>
        <v>82192.731258413638</v>
      </c>
      <c r="Q20" s="651">
        <v>447053.04</v>
      </c>
      <c r="R20" s="650">
        <v>4659000</v>
      </c>
      <c r="S20" s="89">
        <v>2515782.0499999998</v>
      </c>
      <c r="T20" s="89">
        <f t="shared" si="23"/>
        <v>1623378.8816872016</v>
      </c>
      <c r="U20" s="89">
        <v>964256.24</v>
      </c>
      <c r="V20" s="89">
        <f t="shared" si="10"/>
        <v>162337.88816872018</v>
      </c>
      <c r="W20" s="347">
        <v>121166.86</v>
      </c>
      <c r="X20" s="256">
        <v>0.2756988889171107</v>
      </c>
      <c r="Y20" s="256">
        <v>0.34843933927606818</v>
      </c>
      <c r="Z20" s="648">
        <v>0.31910743587956197</v>
      </c>
      <c r="AA20" s="89">
        <f t="shared" si="11"/>
        <v>7640250</v>
      </c>
      <c r="AB20" s="89">
        <f t="shared" si="12"/>
        <v>4809697.9000000004</v>
      </c>
      <c r="AC20" s="257">
        <f t="shared" si="13"/>
        <v>0.31910743587956197</v>
      </c>
      <c r="AD20" s="90">
        <f t="shared" si="14"/>
        <v>2438060.5869788234</v>
      </c>
      <c r="AE20" s="89">
        <f t="shared" si="15"/>
        <v>1792418.51</v>
      </c>
      <c r="AF20" s="89">
        <f t="shared" si="16"/>
        <v>568219.9</v>
      </c>
      <c r="AG20" s="270">
        <f t="shared" si="17"/>
        <v>31.476050521907005</v>
      </c>
      <c r="AH20" s="271">
        <f t="shared" si="18"/>
        <v>44.110926190422077</v>
      </c>
      <c r="AI20" s="240">
        <f t="shared" si="19"/>
        <v>75.58697671232909</v>
      </c>
      <c r="AJ20" s="316">
        <v>99.550277288905022</v>
      </c>
      <c r="AK20" s="672">
        <f t="shared" si="24"/>
        <v>-23.963300576575932</v>
      </c>
      <c r="AL20" t="str">
        <f t="shared" si="20"/>
        <v/>
      </c>
      <c r="AY20" s="19" t="s">
        <v>425</v>
      </c>
      <c r="AZ20" s="49">
        <v>738674343.14999998</v>
      </c>
      <c r="BA20" s="49">
        <v>140423134.97</v>
      </c>
      <c r="BB20" s="49">
        <v>23805614.699999999</v>
      </c>
      <c r="BC20" s="53">
        <f t="shared" si="31"/>
        <v>0.75904791015404927</v>
      </c>
      <c r="BD20" s="53">
        <f t="shared" ref="BD20:BD23" si="32">BA20/($BA$9/4)</f>
        <v>0.54451389269647332</v>
      </c>
      <c r="BE20" s="53">
        <f t="shared" ref="BE20:BE23" si="33">BB20/($BB$9/4)</f>
        <v>0.92310201813246029</v>
      </c>
      <c r="BF20" s="286" t="s">
        <v>373</v>
      </c>
      <c r="BG20" s="33"/>
      <c r="BH20" s="33"/>
      <c r="BI20" s="33"/>
      <c r="BJ20" s="33">
        <f>SUM($BG$12:BG20)</f>
        <v>0</v>
      </c>
      <c r="BK20" s="33">
        <f>SUM($BH$12:BH20)</f>
        <v>0</v>
      </c>
      <c r="BL20" s="33">
        <f>SUM($BI$12:BI20)</f>
        <v>0</v>
      </c>
    </row>
    <row r="21" spans="1:64" ht="11.25" customHeight="1" x14ac:dyDescent="0.2">
      <c r="A21" s="6">
        <v>10</v>
      </c>
      <c r="B21" s="199">
        <v>60365</v>
      </c>
      <c r="C21" s="680" t="s">
        <v>549</v>
      </c>
      <c r="D21" s="173" t="s">
        <v>136</v>
      </c>
      <c r="E21" s="173" t="s">
        <v>14</v>
      </c>
      <c r="F21" s="174" t="s">
        <v>113</v>
      </c>
      <c r="G21" s="179" t="s">
        <v>2</v>
      </c>
      <c r="H21" s="179" t="s">
        <v>577</v>
      </c>
      <c r="I21" s="180" t="s">
        <v>0</v>
      </c>
      <c r="J21" s="181" t="s">
        <v>136</v>
      </c>
      <c r="K21" s="200" t="b">
        <v>0</v>
      </c>
      <c r="L21" s="650">
        <v>4713300</v>
      </c>
      <c r="M21" s="89">
        <v>3745763.71</v>
      </c>
      <c r="N21" s="89">
        <f t="shared" si="22"/>
        <v>1086678.8177827485</v>
      </c>
      <c r="O21" s="89">
        <v>898828.7</v>
      </c>
      <c r="P21" s="89">
        <f t="shared" si="9"/>
        <v>108667.88177827485</v>
      </c>
      <c r="Q21" s="651">
        <v>659951.32999999996</v>
      </c>
      <c r="R21" s="650">
        <v>945405</v>
      </c>
      <c r="S21" s="89">
        <v>1025489.39</v>
      </c>
      <c r="T21" s="89">
        <f t="shared" si="23"/>
        <v>254896.53211283</v>
      </c>
      <c r="U21" s="89">
        <v>258457.29</v>
      </c>
      <c r="V21" s="89">
        <f t="shared" si="10"/>
        <v>25489.653211283003</v>
      </c>
      <c r="W21" s="347">
        <v>4693.97</v>
      </c>
      <c r="X21" s="256">
        <v>0.23055583514368883</v>
      </c>
      <c r="Y21" s="256">
        <v>0.26961623020063358</v>
      </c>
      <c r="Z21" s="648">
        <v>0.23641056672313276</v>
      </c>
      <c r="AA21" s="89">
        <f t="shared" si="11"/>
        <v>5658705</v>
      </c>
      <c r="AB21" s="89">
        <f t="shared" si="12"/>
        <v>4771253.0999999996</v>
      </c>
      <c r="AC21" s="257">
        <f t="shared" si="13"/>
        <v>0.23641056672313276</v>
      </c>
      <c r="AD21" s="90">
        <f t="shared" si="14"/>
        <v>1337777.6559690251</v>
      </c>
      <c r="AE21" s="89">
        <f t="shared" si="15"/>
        <v>1157285.99</v>
      </c>
      <c r="AF21" s="89">
        <f t="shared" si="16"/>
        <v>664645.29999999993</v>
      </c>
      <c r="AG21" s="270">
        <f t="shared" si="17"/>
        <v>40</v>
      </c>
      <c r="AH21" s="271">
        <f t="shared" si="18"/>
        <v>51.904858098188882</v>
      </c>
      <c r="AI21" s="240">
        <f t="shared" si="19"/>
        <v>91.904858098188882</v>
      </c>
      <c r="AJ21" s="316">
        <v>100</v>
      </c>
      <c r="AK21" s="672">
        <f t="shared" si="24"/>
        <v>-8.0951419018111181</v>
      </c>
      <c r="AL21" t="str">
        <f t="shared" si="20"/>
        <v/>
      </c>
      <c r="AM21" s="245"/>
      <c r="AN21" s="19" t="s">
        <v>114</v>
      </c>
      <c r="AO21" s="19" t="s">
        <v>115</v>
      </c>
      <c r="AP21" s="19" t="s">
        <v>116</v>
      </c>
      <c r="AQ21" s="365" t="s">
        <v>117</v>
      </c>
      <c r="AR21" s="365" t="s">
        <v>118</v>
      </c>
      <c r="AS21" s="365" t="s">
        <v>119</v>
      </c>
      <c r="AT21" s="365" t="s">
        <v>120</v>
      </c>
      <c r="AU21" s="365" t="s">
        <v>121</v>
      </c>
      <c r="AV21" s="365" t="s">
        <v>122</v>
      </c>
      <c r="AY21" s="19" t="s">
        <v>428</v>
      </c>
      <c r="AZ21" s="49">
        <v>748931339.27999997</v>
      </c>
      <c r="BA21" s="49">
        <v>137001022.65000001</v>
      </c>
      <c r="BB21" s="49">
        <v>22657140.149999999</v>
      </c>
      <c r="BC21" s="53">
        <f t="shared" si="31"/>
        <v>0.76958780713183517</v>
      </c>
      <c r="BD21" s="53">
        <f t="shared" si="32"/>
        <v>0.53124408711204552</v>
      </c>
      <c r="BE21" s="53">
        <f t="shared" si="33"/>
        <v>0.87856802108012744</v>
      </c>
      <c r="BF21" s="286" t="s">
        <v>374</v>
      </c>
      <c r="BG21" s="33"/>
      <c r="BH21" s="33"/>
      <c r="BI21" s="33"/>
      <c r="BJ21" s="33">
        <f>SUM($BG$12:BG21)</f>
        <v>0</v>
      </c>
      <c r="BK21" s="33">
        <f>SUM($BH$12:BH21)</f>
        <v>0</v>
      </c>
      <c r="BL21" s="33">
        <f>SUM($BI$12:BI21)</f>
        <v>0</v>
      </c>
    </row>
    <row r="22" spans="1:64" ht="11.25" customHeight="1" x14ac:dyDescent="0.2">
      <c r="A22" s="6">
        <v>11</v>
      </c>
      <c r="B22" s="199">
        <v>60367</v>
      </c>
      <c r="C22" s="680" t="s">
        <v>550</v>
      </c>
      <c r="D22" s="173" t="s">
        <v>136</v>
      </c>
      <c r="E22" s="173" t="s">
        <v>14</v>
      </c>
      <c r="F22" s="174" t="s">
        <v>113</v>
      </c>
      <c r="G22" s="179" t="s">
        <v>2</v>
      </c>
      <c r="H22" s="179" t="s">
        <v>575</v>
      </c>
      <c r="I22" s="180" t="s">
        <v>0</v>
      </c>
      <c r="J22" s="181" t="s">
        <v>136</v>
      </c>
      <c r="K22" s="200" t="b">
        <v>0</v>
      </c>
      <c r="L22" s="650">
        <v>5326500</v>
      </c>
      <c r="M22" s="89">
        <v>1952328.2</v>
      </c>
      <c r="N22" s="89">
        <f t="shared" si="22"/>
        <v>692445</v>
      </c>
      <c r="O22" s="89">
        <v>634794.75</v>
      </c>
      <c r="P22" s="89">
        <f t="shared" si="9"/>
        <v>69244.5</v>
      </c>
      <c r="Q22" s="651">
        <v>446713.47</v>
      </c>
      <c r="R22" s="650">
        <v>9645000</v>
      </c>
      <c r="S22" s="89">
        <v>8676464.7300000004</v>
      </c>
      <c r="T22" s="89">
        <f t="shared" si="23"/>
        <v>5497649.9999999991</v>
      </c>
      <c r="U22" s="89">
        <v>6114273.8399999999</v>
      </c>
      <c r="V22" s="89">
        <f t="shared" si="10"/>
        <v>549764.99999999988</v>
      </c>
      <c r="W22" s="347">
        <v>1506954.33</v>
      </c>
      <c r="X22" s="256">
        <v>0.13</v>
      </c>
      <c r="Y22" s="256">
        <v>0.56999999999999995</v>
      </c>
      <c r="Z22" s="648">
        <v>0.39</v>
      </c>
      <c r="AA22" s="89">
        <f t="shared" si="11"/>
        <v>14971500</v>
      </c>
      <c r="AB22" s="89">
        <f t="shared" si="12"/>
        <v>10628792.93</v>
      </c>
      <c r="AC22" s="257">
        <f t="shared" si="13"/>
        <v>0.39</v>
      </c>
      <c r="AD22" s="90">
        <f t="shared" si="14"/>
        <v>5838885</v>
      </c>
      <c r="AE22" s="89">
        <f t="shared" si="15"/>
        <v>6749068.5899999999</v>
      </c>
      <c r="AF22" s="89">
        <f t="shared" si="16"/>
        <v>1953667.8</v>
      </c>
      <c r="AG22" s="270">
        <f t="shared" si="17"/>
        <v>35.496753598503823</v>
      </c>
      <c r="AH22" s="271">
        <f t="shared" si="18"/>
        <v>60</v>
      </c>
      <c r="AI22" s="240">
        <f t="shared" si="19"/>
        <v>95.49675359850383</v>
      </c>
      <c r="AJ22" s="316">
        <v>95.467173423489044</v>
      </c>
      <c r="AK22" s="672">
        <f t="shared" si="24"/>
        <v>2.9580175014785937E-2</v>
      </c>
      <c r="AL22" t="str">
        <f t="shared" si="20"/>
        <v/>
      </c>
      <c r="AM22" s="821">
        <v>2010</v>
      </c>
      <c r="AN22" s="99">
        <v>1</v>
      </c>
      <c r="AO22" s="99" t="s">
        <v>123</v>
      </c>
      <c r="AP22" s="99" t="s">
        <v>269</v>
      </c>
      <c r="AQ22" s="101">
        <v>384177600</v>
      </c>
      <c r="AR22" s="101">
        <v>40040292</v>
      </c>
      <c r="AS22" s="101">
        <v>192088800</v>
      </c>
      <c r="AT22" s="101">
        <v>40040292</v>
      </c>
      <c r="AU22" s="101">
        <v>19212000</v>
      </c>
      <c r="AV22" s="102">
        <v>18306312</v>
      </c>
      <c r="AY22" s="19" t="s">
        <v>431</v>
      </c>
      <c r="AZ22" s="49">
        <v>772737331.25999999</v>
      </c>
      <c r="BA22" s="49">
        <v>137449507.97</v>
      </c>
      <c r="BB22" s="49">
        <v>23966996.379999999</v>
      </c>
      <c r="BC22" s="53">
        <f t="shared" si="31"/>
        <v>0.79405039829820212</v>
      </c>
      <c r="BD22" s="53">
        <f t="shared" si="32"/>
        <v>0.53298316299482362</v>
      </c>
      <c r="BE22" s="53">
        <f t="shared" si="33"/>
        <v>0.92935985924998477</v>
      </c>
      <c r="BF22" s="286" t="s">
        <v>393</v>
      </c>
      <c r="BG22" s="33"/>
      <c r="BH22" s="33"/>
      <c r="BI22" s="33"/>
      <c r="BJ22" s="33">
        <f>SUM($BG$12:BG22)</f>
        <v>0</v>
      </c>
      <c r="BK22" s="33">
        <f>SUM($BH$12:BH22)</f>
        <v>0</v>
      </c>
      <c r="BL22" s="33">
        <f>SUM($BI$12:BI22)</f>
        <v>0</v>
      </c>
    </row>
    <row r="23" spans="1:64" ht="11.25" customHeight="1" x14ac:dyDescent="0.2">
      <c r="A23" s="6">
        <v>12</v>
      </c>
      <c r="B23" s="199">
        <v>60922</v>
      </c>
      <c r="C23" s="680" t="s">
        <v>551</v>
      </c>
      <c r="D23" s="173" t="s">
        <v>136</v>
      </c>
      <c r="E23" s="173" t="s">
        <v>14</v>
      </c>
      <c r="F23" s="174" t="s">
        <v>113</v>
      </c>
      <c r="G23" s="179" t="s">
        <v>2</v>
      </c>
      <c r="H23" s="179" t="s">
        <v>575</v>
      </c>
      <c r="I23" s="180" t="s">
        <v>0</v>
      </c>
      <c r="J23" s="181" t="s">
        <v>136</v>
      </c>
      <c r="K23" s="200" t="b">
        <v>0</v>
      </c>
      <c r="L23" s="650">
        <v>8872665.75</v>
      </c>
      <c r="M23" s="89">
        <v>4796195.04</v>
      </c>
      <c r="N23" s="89">
        <f t="shared" si="22"/>
        <v>1685806.4924999999</v>
      </c>
      <c r="O23" s="89">
        <v>1473094.44</v>
      </c>
      <c r="P23" s="89">
        <f t="shared" si="9"/>
        <v>168580.64925000002</v>
      </c>
      <c r="Q23" s="651">
        <v>615172.77</v>
      </c>
      <c r="R23" s="650">
        <v>9603000</v>
      </c>
      <c r="S23" s="89">
        <v>7656812.3399999999</v>
      </c>
      <c r="T23" s="89">
        <f t="shared" si="23"/>
        <v>4993560</v>
      </c>
      <c r="U23" s="89">
        <v>5491772.5700000003</v>
      </c>
      <c r="V23" s="89">
        <f t="shared" si="10"/>
        <v>499356</v>
      </c>
      <c r="W23" s="347">
        <v>984390.4</v>
      </c>
      <c r="X23" s="256">
        <v>0.19</v>
      </c>
      <c r="Y23" s="256">
        <v>0.52</v>
      </c>
      <c r="Z23" s="648">
        <v>0.38</v>
      </c>
      <c r="AA23" s="89">
        <f t="shared" si="11"/>
        <v>18475665.75</v>
      </c>
      <c r="AB23" s="89">
        <f t="shared" si="12"/>
        <v>12453007.379999999</v>
      </c>
      <c r="AC23" s="257">
        <f t="shared" si="13"/>
        <v>0.38</v>
      </c>
      <c r="AD23" s="90">
        <f t="shared" si="14"/>
        <v>7020752.9850000003</v>
      </c>
      <c r="AE23" s="89">
        <f t="shared" si="15"/>
        <v>6964867.0099999998</v>
      </c>
      <c r="AF23" s="89">
        <f t="shared" si="16"/>
        <v>1599563.17</v>
      </c>
      <c r="AG23" s="270">
        <f t="shared" si="17"/>
        <v>33.701105953380861</v>
      </c>
      <c r="AH23" s="271">
        <f t="shared" si="18"/>
        <v>59.522393323456313</v>
      </c>
      <c r="AI23" s="240">
        <f t="shared" si="19"/>
        <v>93.223499276837174</v>
      </c>
      <c r="AJ23" s="316">
        <v>93.879655097401383</v>
      </c>
      <c r="AK23" s="672">
        <f t="shared" si="24"/>
        <v>-0.65615582056420863</v>
      </c>
      <c r="AL23" t="str">
        <f t="shared" si="20"/>
        <v/>
      </c>
      <c r="AM23" s="822"/>
      <c r="AN23" s="103">
        <v>2</v>
      </c>
      <c r="AO23" s="103" t="s">
        <v>124</v>
      </c>
      <c r="AP23" s="103" t="s">
        <v>270</v>
      </c>
      <c r="AQ23" s="104">
        <v>73844400</v>
      </c>
      <c r="AR23" s="104">
        <v>0</v>
      </c>
      <c r="AS23" s="104">
        <v>59074800</v>
      </c>
      <c r="AT23" s="104">
        <v>0</v>
      </c>
      <c r="AU23" s="104">
        <v>5904000</v>
      </c>
      <c r="AV23" s="105">
        <v>0</v>
      </c>
      <c r="AY23" s="19" t="s">
        <v>434</v>
      </c>
      <c r="AZ23" s="49">
        <v>845864165.87</v>
      </c>
      <c r="BA23" s="49">
        <v>163808390.37</v>
      </c>
      <c r="BB23" s="49">
        <v>29343642.91</v>
      </c>
      <c r="BC23" s="53">
        <f t="shared" si="31"/>
        <v>0.86919416293770269</v>
      </c>
      <c r="BD23" s="53">
        <f t="shared" si="32"/>
        <v>0.6351940819136962</v>
      </c>
      <c r="BE23" s="53">
        <f t="shared" si="33"/>
        <v>1.1378482064392674</v>
      </c>
      <c r="BF23" s="287" t="s">
        <v>395</v>
      </c>
      <c r="BG23" s="249"/>
      <c r="BH23" s="249"/>
      <c r="BI23" s="249"/>
      <c r="BJ23" s="249">
        <f>SUM($BG$12:BG23)</f>
        <v>0</v>
      </c>
      <c r="BK23" s="249">
        <f>SUM($BH$12:BH23)</f>
        <v>0</v>
      </c>
      <c r="BL23" s="249">
        <f>SUM($BI$12:BI23)</f>
        <v>0</v>
      </c>
    </row>
    <row r="24" spans="1:64" ht="11.25" customHeight="1" x14ac:dyDescent="0.2">
      <c r="A24" s="6">
        <v>13</v>
      </c>
      <c r="B24" s="199">
        <v>60371</v>
      </c>
      <c r="C24" s="680" t="s">
        <v>552</v>
      </c>
      <c r="D24" s="173" t="s">
        <v>136</v>
      </c>
      <c r="E24" s="173" t="s">
        <v>14</v>
      </c>
      <c r="F24" s="174" t="s">
        <v>113</v>
      </c>
      <c r="G24" s="179" t="s">
        <v>2</v>
      </c>
      <c r="H24" s="179" t="s">
        <v>575</v>
      </c>
      <c r="I24" s="180" t="s">
        <v>0</v>
      </c>
      <c r="J24" s="181" t="s">
        <v>136</v>
      </c>
      <c r="K24" s="200" t="b">
        <v>0</v>
      </c>
      <c r="L24" s="650">
        <v>2819250</v>
      </c>
      <c r="M24" s="89">
        <v>1584827.78</v>
      </c>
      <c r="N24" s="89">
        <f t="shared" si="22"/>
        <v>1240470</v>
      </c>
      <c r="O24" s="89">
        <v>1384619.07</v>
      </c>
      <c r="P24" s="89">
        <f t="shared" si="9"/>
        <v>124047</v>
      </c>
      <c r="Q24" s="651">
        <v>1013894.07</v>
      </c>
      <c r="R24" s="650">
        <v>2605500</v>
      </c>
      <c r="S24" s="89">
        <v>2442669.52</v>
      </c>
      <c r="T24" s="89">
        <f t="shared" si="23"/>
        <v>1589355</v>
      </c>
      <c r="U24" s="89">
        <v>839134.32</v>
      </c>
      <c r="V24" s="89">
        <f t="shared" si="10"/>
        <v>158935.5</v>
      </c>
      <c r="W24" s="347">
        <v>268733.19</v>
      </c>
      <c r="X24" s="256">
        <v>0.44</v>
      </c>
      <c r="Y24" s="256">
        <v>0.61</v>
      </c>
      <c r="Z24" s="648">
        <v>0.51</v>
      </c>
      <c r="AA24" s="89">
        <f t="shared" si="11"/>
        <v>5424750</v>
      </c>
      <c r="AB24" s="89">
        <f t="shared" si="12"/>
        <v>4027497.3</v>
      </c>
      <c r="AC24" s="257">
        <f t="shared" si="13"/>
        <v>0.51</v>
      </c>
      <c r="AD24" s="90">
        <f t="shared" si="14"/>
        <v>2766622.5</v>
      </c>
      <c r="AE24" s="89">
        <f t="shared" si="15"/>
        <v>2223753.39</v>
      </c>
      <c r="AF24" s="89">
        <f t="shared" si="16"/>
        <v>1282627.26</v>
      </c>
      <c r="AG24" s="270">
        <f t="shared" si="17"/>
        <v>37.121501451679798</v>
      </c>
      <c r="AH24" s="271">
        <f t="shared" si="18"/>
        <v>48.226747017346966</v>
      </c>
      <c r="AI24" s="240">
        <f t="shared" si="19"/>
        <v>85.348248469026771</v>
      </c>
      <c r="AJ24" s="316">
        <v>70.825655658874041</v>
      </c>
      <c r="AK24" s="672">
        <f t="shared" si="24"/>
        <v>14.52259281015273</v>
      </c>
      <c r="AL24" t="str">
        <f t="shared" si="20"/>
        <v/>
      </c>
      <c r="AM24" s="822"/>
      <c r="AN24" s="103">
        <v>3</v>
      </c>
      <c r="AO24" s="103" t="s">
        <v>125</v>
      </c>
      <c r="AP24" s="103" t="s">
        <v>271</v>
      </c>
      <c r="AQ24" s="104">
        <v>67322400</v>
      </c>
      <c r="AR24" s="104">
        <v>0</v>
      </c>
      <c r="AS24" s="104">
        <v>13465200</v>
      </c>
      <c r="AT24" s="104">
        <v>0</v>
      </c>
      <c r="AU24" s="104">
        <v>1346400</v>
      </c>
      <c r="AV24" s="105">
        <v>0</v>
      </c>
      <c r="AY24" s="19" t="s">
        <v>437</v>
      </c>
      <c r="AZ24" s="49">
        <v>702868285.49000001</v>
      </c>
      <c r="BA24" s="49">
        <v>143948890.43000001</v>
      </c>
      <c r="BB24" s="49">
        <v>23868234.59</v>
      </c>
      <c r="BC24" s="378">
        <f>(AZ24)/($AZ$5/4)</f>
        <v>0.73386180634891374</v>
      </c>
      <c r="BD24" s="378">
        <f>BA24/($BA$5/4)</f>
        <v>0.51184765577495883</v>
      </c>
      <c r="BE24" s="378">
        <f>BB24/($BB$5/4)</f>
        <v>0.99688227131554175</v>
      </c>
    </row>
    <row r="25" spans="1:64" ht="11.25" customHeight="1" x14ac:dyDescent="0.2">
      <c r="A25" s="6">
        <v>14</v>
      </c>
      <c r="B25" s="199">
        <v>60375</v>
      </c>
      <c r="C25" s="680" t="s">
        <v>579</v>
      </c>
      <c r="D25" s="173" t="s">
        <v>136</v>
      </c>
      <c r="E25" s="173" t="s">
        <v>14</v>
      </c>
      <c r="F25" s="174" t="s">
        <v>14</v>
      </c>
      <c r="G25" s="179" t="s">
        <v>1</v>
      </c>
      <c r="H25" s="179" t="s">
        <v>577</v>
      </c>
      <c r="I25" s="180" t="s">
        <v>0</v>
      </c>
      <c r="J25" s="181" t="s">
        <v>136</v>
      </c>
      <c r="K25" s="200" t="b">
        <v>0</v>
      </c>
      <c r="L25" s="650">
        <v>6960000</v>
      </c>
      <c r="M25" s="89">
        <v>0</v>
      </c>
      <c r="N25" s="89">
        <f t="shared" si="22"/>
        <v>487200.00000000006</v>
      </c>
      <c r="O25" s="89">
        <v>357950.16</v>
      </c>
      <c r="P25" s="89">
        <f t="shared" si="9"/>
        <v>48720.000000000007</v>
      </c>
      <c r="Q25" s="651">
        <v>215934.57</v>
      </c>
      <c r="R25" s="650">
        <v>3900000</v>
      </c>
      <c r="S25" s="89">
        <v>2443682.0099999998</v>
      </c>
      <c r="T25" s="89">
        <f t="shared" si="23"/>
        <v>1209000</v>
      </c>
      <c r="U25" s="89">
        <v>175893.52</v>
      </c>
      <c r="V25" s="89">
        <f t="shared" si="10"/>
        <v>120900</v>
      </c>
      <c r="W25" s="347">
        <v>58704.93</v>
      </c>
      <c r="X25" s="256">
        <v>7.0000000000000007E-2</v>
      </c>
      <c r="Y25" s="256">
        <v>0.31</v>
      </c>
      <c r="Z25" s="648">
        <v>0.15</v>
      </c>
      <c r="AA25" s="89">
        <f t="shared" si="11"/>
        <v>10860000</v>
      </c>
      <c r="AB25" s="89">
        <f t="shared" si="12"/>
        <v>2443682.0099999998</v>
      </c>
      <c r="AC25" s="257">
        <f t="shared" si="13"/>
        <v>0.15</v>
      </c>
      <c r="AD25" s="90">
        <f t="shared" si="14"/>
        <v>1629000</v>
      </c>
      <c r="AE25" s="89">
        <f t="shared" si="15"/>
        <v>533843.67999999993</v>
      </c>
      <c r="AF25" s="89">
        <f t="shared" si="16"/>
        <v>274639.5</v>
      </c>
      <c r="AG25" s="270">
        <f t="shared" si="17"/>
        <v>11.250837983425413</v>
      </c>
      <c r="AH25" s="271">
        <f t="shared" si="18"/>
        <v>19.662750644567218</v>
      </c>
      <c r="AI25" s="240">
        <f t="shared" si="19"/>
        <v>30.913588627992631</v>
      </c>
      <c r="AJ25" s="316">
        <v>59.844236397033811</v>
      </c>
      <c r="AK25" s="672">
        <f t="shared" si="24"/>
        <v>-28.93064776904118</v>
      </c>
      <c r="AL25">
        <f t="shared" si="20"/>
        <v>14</v>
      </c>
      <c r="AM25" s="822"/>
      <c r="AN25" s="103">
        <v>4</v>
      </c>
      <c r="AO25" s="103" t="s">
        <v>132</v>
      </c>
      <c r="AP25" s="103" t="s">
        <v>272</v>
      </c>
      <c r="AQ25" s="104">
        <v>582636000</v>
      </c>
      <c r="AR25" s="104">
        <v>1737.96</v>
      </c>
      <c r="AS25" s="104">
        <v>0</v>
      </c>
      <c r="AT25" s="104">
        <v>0</v>
      </c>
      <c r="AU25" s="104">
        <v>0</v>
      </c>
      <c r="AV25" s="105">
        <v>0</v>
      </c>
      <c r="AY25" s="19" t="s">
        <v>440</v>
      </c>
      <c r="AZ25" s="49">
        <v>760805453.25999999</v>
      </c>
      <c r="BA25" s="49">
        <v>138851925.16999999</v>
      </c>
      <c r="BB25" s="49">
        <v>23863494.949999999</v>
      </c>
      <c r="BC25" s="378">
        <f t="shared" ref="BC25:BC26" si="34">(AZ25)/($AZ$5/4)</f>
        <v>0.79435375835780431</v>
      </c>
      <c r="BD25" s="378">
        <f t="shared" ref="BD25:BD27" si="35">BA25/($BA$5/4)</f>
        <v>0.49372407238293498</v>
      </c>
      <c r="BE25" s="378">
        <f t="shared" ref="BE25:BE27" si="36">BB25/($BB$5/4)</f>
        <v>0.9966843151964746</v>
      </c>
      <c r="BG25" s="168">
        <f>COUNTIF($AI$12:$AI$189,"&gt;=77")</f>
        <v>34</v>
      </c>
      <c r="BH25" s="168">
        <f>COUNTIFS($AI$12:$AI$189,"&gt;=53",$AI$12:$AI$189,"&lt;77")</f>
        <v>37</v>
      </c>
      <c r="BI25" s="168">
        <f>COUNTIFS($AI$12:$AI$189,"&gt;=29",$AI$12:$AI$189,"&lt;53")</f>
        <v>48</v>
      </c>
      <c r="BJ25" s="168">
        <f>COUNTIF($AI$12:$AI$189,"&lt;29")</f>
        <v>54</v>
      </c>
    </row>
    <row r="26" spans="1:64" ht="11.25" customHeight="1" x14ac:dyDescent="0.2">
      <c r="A26" s="6">
        <v>15</v>
      </c>
      <c r="B26" s="199">
        <v>60923</v>
      </c>
      <c r="C26" s="680" t="s">
        <v>553</v>
      </c>
      <c r="D26" s="173" t="s">
        <v>136</v>
      </c>
      <c r="E26" s="173" t="s">
        <v>14</v>
      </c>
      <c r="F26" s="174" t="s">
        <v>113</v>
      </c>
      <c r="G26" s="179" t="s">
        <v>2</v>
      </c>
      <c r="H26" s="179" t="s">
        <v>577</v>
      </c>
      <c r="I26" s="180" t="s">
        <v>0</v>
      </c>
      <c r="J26" s="181" t="s">
        <v>136</v>
      </c>
      <c r="K26" s="200" t="b">
        <v>0</v>
      </c>
      <c r="L26" s="650">
        <v>2768250</v>
      </c>
      <c r="M26" s="89">
        <v>1741385.78</v>
      </c>
      <c r="N26" s="89">
        <f t="shared" si="22"/>
        <v>239432.61721437355</v>
      </c>
      <c r="O26" s="89">
        <v>43761.87</v>
      </c>
      <c r="P26" s="89">
        <f t="shared" si="9"/>
        <v>23943.261721437357</v>
      </c>
      <c r="Q26" s="651">
        <v>72261.36</v>
      </c>
      <c r="R26" s="650">
        <v>1068750</v>
      </c>
      <c r="S26" s="89">
        <v>1046924.52</v>
      </c>
      <c r="T26" s="89">
        <f t="shared" si="23"/>
        <v>107422.23596652875</v>
      </c>
      <c r="U26" s="89">
        <v>19006.47</v>
      </c>
      <c r="V26" s="89">
        <f t="shared" si="10"/>
        <v>10742.223596652875</v>
      </c>
      <c r="W26" s="347">
        <v>2352.0500000000002</v>
      </c>
      <c r="X26" s="256">
        <v>8.6492411167478925E-2</v>
      </c>
      <c r="Y26" s="256">
        <v>0.10051203365289239</v>
      </c>
      <c r="Z26" s="648">
        <v>8.9867162672331385E-2</v>
      </c>
      <c r="AA26" s="89">
        <f t="shared" si="11"/>
        <v>3837000</v>
      </c>
      <c r="AB26" s="89">
        <f t="shared" si="12"/>
        <v>2788310.3</v>
      </c>
      <c r="AC26" s="257">
        <f t="shared" si="13"/>
        <v>8.9867162672331385E-2</v>
      </c>
      <c r="AD26" s="90">
        <f t="shared" si="14"/>
        <v>344820.3031737355</v>
      </c>
      <c r="AE26" s="89">
        <f t="shared" si="15"/>
        <v>62768.340000000004</v>
      </c>
      <c r="AF26" s="89">
        <f t="shared" si="16"/>
        <v>74613.41</v>
      </c>
      <c r="AG26" s="270">
        <f t="shared" si="17"/>
        <v>36.334510033880633</v>
      </c>
      <c r="AH26" s="271">
        <f t="shared" si="18"/>
        <v>10.921921839684929</v>
      </c>
      <c r="AI26" s="240">
        <f t="shared" si="19"/>
        <v>47.25643187356556</v>
      </c>
      <c r="AJ26" s="316">
        <v>86.611571582029626</v>
      </c>
      <c r="AK26" s="672">
        <f t="shared" si="24"/>
        <v>-39.355139708464066</v>
      </c>
      <c r="AL26" t="str">
        <f t="shared" si="20"/>
        <v/>
      </c>
      <c r="AM26" s="822"/>
      <c r="AN26" s="40">
        <v>5</v>
      </c>
      <c r="AO26" s="40" t="s">
        <v>126</v>
      </c>
      <c r="AP26" s="40" t="s">
        <v>273</v>
      </c>
      <c r="AQ26" s="122">
        <v>17791200</v>
      </c>
      <c r="AR26" s="122">
        <v>0</v>
      </c>
      <c r="AS26" s="122">
        <v>1778400</v>
      </c>
      <c r="AT26" s="122">
        <v>0</v>
      </c>
      <c r="AU26" s="122">
        <v>177600</v>
      </c>
      <c r="AV26" s="167">
        <v>0</v>
      </c>
      <c r="AY26" s="19" t="s">
        <v>441</v>
      </c>
      <c r="AZ26" s="49">
        <v>751638238.72000003</v>
      </c>
      <c r="BA26" s="49">
        <v>137495814.33000001</v>
      </c>
      <c r="BB26" s="49">
        <v>22578893.93</v>
      </c>
      <c r="BC26" s="378">
        <f t="shared" si="34"/>
        <v>0.78478230839997554</v>
      </c>
      <c r="BD26" s="378">
        <f t="shared" si="35"/>
        <v>0.4889020681816415</v>
      </c>
      <c r="BE26" s="378">
        <f t="shared" si="36"/>
        <v>0.94303158366649431</v>
      </c>
      <c r="BF26" s="349" t="s">
        <v>247</v>
      </c>
      <c r="BG26" s="350" t="s">
        <v>14</v>
      </c>
      <c r="BH26" s="350" t="s">
        <v>258</v>
      </c>
      <c r="BI26" s="350" t="s">
        <v>255</v>
      </c>
      <c r="BJ26" s="350" t="s">
        <v>254</v>
      </c>
    </row>
    <row r="27" spans="1:64" ht="11.25" customHeight="1" x14ac:dyDescent="0.2">
      <c r="A27" s="6">
        <v>16</v>
      </c>
      <c r="B27" s="199">
        <v>60439</v>
      </c>
      <c r="C27" s="680" t="s">
        <v>580</v>
      </c>
      <c r="D27" s="173" t="s">
        <v>136</v>
      </c>
      <c r="E27" s="173" t="s">
        <v>14</v>
      </c>
      <c r="F27" s="174" t="s">
        <v>14</v>
      </c>
      <c r="G27" s="179" t="s">
        <v>1</v>
      </c>
      <c r="H27" s="179" t="s">
        <v>289</v>
      </c>
      <c r="I27" s="180" t="s">
        <v>0</v>
      </c>
      <c r="J27" s="181" t="s">
        <v>136</v>
      </c>
      <c r="K27" s="200" t="b">
        <v>0</v>
      </c>
      <c r="L27" s="650">
        <v>101842374</v>
      </c>
      <c r="M27" s="89">
        <v>0</v>
      </c>
      <c r="N27" s="89">
        <f t="shared" si="22"/>
        <v>15276356.1</v>
      </c>
      <c r="O27" s="89">
        <v>11238224.67</v>
      </c>
      <c r="P27" s="89">
        <f t="shared" si="9"/>
        <v>1527635.61</v>
      </c>
      <c r="Q27" s="651">
        <v>925835.58</v>
      </c>
      <c r="R27" s="650">
        <v>41589000</v>
      </c>
      <c r="S27" s="89">
        <v>12448514.27</v>
      </c>
      <c r="T27" s="89">
        <f t="shared" si="23"/>
        <v>14556150</v>
      </c>
      <c r="U27" s="89">
        <v>12077114.57</v>
      </c>
      <c r="V27" s="89">
        <f t="shared" si="10"/>
        <v>1455615</v>
      </c>
      <c r="W27" s="347">
        <v>479533.52</v>
      </c>
      <c r="X27" s="256">
        <v>0.15</v>
      </c>
      <c r="Y27" s="256">
        <v>0.35</v>
      </c>
      <c r="Z27" s="648">
        <v>0.21</v>
      </c>
      <c r="AA27" s="89">
        <f t="shared" si="11"/>
        <v>143431374</v>
      </c>
      <c r="AB27" s="89">
        <f t="shared" si="12"/>
        <v>12448514.27</v>
      </c>
      <c r="AC27" s="257">
        <f t="shared" si="13"/>
        <v>0.21</v>
      </c>
      <c r="AD27" s="90">
        <f t="shared" si="14"/>
        <v>30120588.539999999</v>
      </c>
      <c r="AE27" s="89">
        <f t="shared" si="15"/>
        <v>23315339.240000002</v>
      </c>
      <c r="AF27" s="89">
        <f t="shared" si="16"/>
        <v>1405369.1</v>
      </c>
      <c r="AG27" s="270">
        <f t="shared" si="17"/>
        <v>4.3395367146102917</v>
      </c>
      <c r="AH27" s="271">
        <f t="shared" si="18"/>
        <v>46.443991376272095</v>
      </c>
      <c r="AI27" s="240">
        <f t="shared" si="19"/>
        <v>50.783528090882385</v>
      </c>
      <c r="AJ27" s="316">
        <v>61.808916486599074</v>
      </c>
      <c r="AK27" s="672">
        <f t="shared" si="24"/>
        <v>-11.025388395716689</v>
      </c>
      <c r="AL27">
        <f t="shared" si="20"/>
        <v>16</v>
      </c>
      <c r="AM27" s="822"/>
      <c r="AN27" s="108">
        <v>11</v>
      </c>
      <c r="AO27" s="108" t="s">
        <v>129</v>
      </c>
      <c r="AP27" s="108" t="s">
        <v>274</v>
      </c>
      <c r="AQ27" s="109">
        <v>212645040</v>
      </c>
      <c r="AR27" s="109">
        <v>0</v>
      </c>
      <c r="AS27" s="109">
        <v>66492960</v>
      </c>
      <c r="AT27" s="109">
        <v>0</v>
      </c>
      <c r="AU27" s="109">
        <v>6649320</v>
      </c>
      <c r="AV27" s="110">
        <v>0</v>
      </c>
      <c r="AY27" s="19" t="s">
        <v>442</v>
      </c>
      <c r="AZ27" s="49">
        <v>1039850438.64</v>
      </c>
      <c r="BA27" s="49">
        <v>150094847.16</v>
      </c>
      <c r="BB27" s="49">
        <v>25228896.969999999</v>
      </c>
      <c r="BC27" s="378">
        <f>(AZ27)/($AZ$5/4)</f>
        <v>1.0857034482656533</v>
      </c>
      <c r="BD27" s="378">
        <f t="shared" si="35"/>
        <v>0.53370120070571725</v>
      </c>
      <c r="BE27" s="378">
        <f t="shared" si="36"/>
        <v>1.0537117866596009</v>
      </c>
      <c r="BF27" s="377" t="s">
        <v>429</v>
      </c>
      <c r="BG27" s="356">
        <v>37</v>
      </c>
      <c r="BH27" s="357">
        <v>33</v>
      </c>
      <c r="BI27" s="357">
        <v>46</v>
      </c>
      <c r="BJ27" s="357">
        <v>58</v>
      </c>
    </row>
    <row r="28" spans="1:64" ht="11.25" customHeight="1" x14ac:dyDescent="0.2">
      <c r="A28" s="6">
        <v>17</v>
      </c>
      <c r="B28" s="199">
        <v>60445</v>
      </c>
      <c r="C28" s="680" t="s">
        <v>581</v>
      </c>
      <c r="D28" s="173" t="s">
        <v>136</v>
      </c>
      <c r="E28" s="173" t="s">
        <v>14</v>
      </c>
      <c r="F28" s="174" t="s">
        <v>14</v>
      </c>
      <c r="G28" s="179" t="s">
        <v>1</v>
      </c>
      <c r="H28" s="179" t="s">
        <v>582</v>
      </c>
      <c r="I28" s="180" t="s">
        <v>0</v>
      </c>
      <c r="J28" s="181" t="s">
        <v>136</v>
      </c>
      <c r="K28" s="200" t="b">
        <v>0</v>
      </c>
      <c r="L28" s="650">
        <v>42254250</v>
      </c>
      <c r="M28" s="89">
        <v>31613327.760000002</v>
      </c>
      <c r="N28" s="89">
        <f t="shared" si="22"/>
        <v>10563562.5</v>
      </c>
      <c r="O28" s="89">
        <v>5325702.03</v>
      </c>
      <c r="P28" s="89">
        <f t="shared" si="9"/>
        <v>1056356.25</v>
      </c>
      <c r="Q28" s="651">
        <v>2748089.97</v>
      </c>
      <c r="R28" s="650">
        <v>7443750</v>
      </c>
      <c r="S28" s="89">
        <v>4337858.6900000004</v>
      </c>
      <c r="T28" s="89">
        <f t="shared" si="23"/>
        <v>1042125.0000000001</v>
      </c>
      <c r="U28" s="89">
        <v>1028632.38</v>
      </c>
      <c r="V28" s="89">
        <f t="shared" si="10"/>
        <v>104212.50000000001</v>
      </c>
      <c r="W28" s="347">
        <v>339021.88</v>
      </c>
      <c r="X28" s="256">
        <v>0.25</v>
      </c>
      <c r="Y28" s="256">
        <v>0.14000000000000001</v>
      </c>
      <c r="Z28" s="648">
        <v>0.22</v>
      </c>
      <c r="AA28" s="89">
        <f t="shared" si="11"/>
        <v>49698000</v>
      </c>
      <c r="AB28" s="89">
        <f t="shared" si="12"/>
        <v>35951186.450000003</v>
      </c>
      <c r="AC28" s="257">
        <f t="shared" si="13"/>
        <v>0.22</v>
      </c>
      <c r="AD28" s="90">
        <f t="shared" si="14"/>
        <v>10933560</v>
      </c>
      <c r="AE28" s="89">
        <f t="shared" si="15"/>
        <v>6354334.4100000001</v>
      </c>
      <c r="AF28" s="89">
        <f t="shared" si="16"/>
        <v>3087111.85</v>
      </c>
      <c r="AG28" s="270">
        <f t="shared" si="17"/>
        <v>36.169651142903135</v>
      </c>
      <c r="AH28" s="271">
        <f t="shared" si="18"/>
        <v>34.870624444371273</v>
      </c>
      <c r="AI28" s="240">
        <f t="shared" si="19"/>
        <v>71.040275587274408</v>
      </c>
      <c r="AJ28" s="316">
        <v>75.822962474488719</v>
      </c>
      <c r="AK28" s="672">
        <f t="shared" si="24"/>
        <v>-4.7826868872143109</v>
      </c>
      <c r="AL28" t="str">
        <f t="shared" si="20"/>
        <v/>
      </c>
      <c r="AM28" s="822"/>
      <c r="AN28" s="108">
        <v>12</v>
      </c>
      <c r="AO28" s="108" t="s">
        <v>130</v>
      </c>
      <c r="AP28" s="108" t="s">
        <v>275</v>
      </c>
      <c r="AQ28" s="109">
        <v>162747960</v>
      </c>
      <c r="AR28" s="109">
        <v>0</v>
      </c>
      <c r="AS28" s="109">
        <v>32438040</v>
      </c>
      <c r="AT28" s="109">
        <v>0</v>
      </c>
      <c r="AU28" s="109">
        <v>3243840</v>
      </c>
      <c r="AV28" s="110">
        <v>0</v>
      </c>
      <c r="AY28" s="19" t="s">
        <v>449</v>
      </c>
      <c r="AZ28" s="49">
        <v>688416275.38</v>
      </c>
      <c r="BA28" s="49">
        <v>136792388.38</v>
      </c>
      <c r="BB28" s="49">
        <v>29447684.989999998</v>
      </c>
      <c r="BC28" s="383">
        <f t="shared" ref="BC28:BC33" si="37">(AZ28)/($AZ$4/4)</f>
        <v>0.73798138690467263</v>
      </c>
      <c r="BD28" s="383">
        <f t="shared" ref="BD28:BD33" si="38">BA28/($BA$4/4)</f>
        <v>0.50456575729208542</v>
      </c>
      <c r="BE28" s="383">
        <f t="shared" ref="BE28:BE33" si="39">BB28/($BB$4/4)</f>
        <v>1.086192824790869</v>
      </c>
      <c r="BF28" s="377" t="s">
        <v>436</v>
      </c>
      <c r="BG28" s="356">
        <v>58</v>
      </c>
      <c r="BH28" s="357">
        <v>40</v>
      </c>
      <c r="BI28" s="357">
        <v>41</v>
      </c>
      <c r="BJ28" s="357">
        <v>35</v>
      </c>
    </row>
    <row r="29" spans="1:64" ht="11.25" customHeight="1" x14ac:dyDescent="0.2">
      <c r="A29" s="6">
        <v>18</v>
      </c>
      <c r="B29" s="199">
        <v>60452</v>
      </c>
      <c r="C29" s="680" t="s">
        <v>583</v>
      </c>
      <c r="D29" s="173" t="s">
        <v>136</v>
      </c>
      <c r="E29" s="173" t="s">
        <v>14</v>
      </c>
      <c r="F29" s="174" t="s">
        <v>14</v>
      </c>
      <c r="G29" s="179" t="s">
        <v>1</v>
      </c>
      <c r="H29" s="179" t="s">
        <v>582</v>
      </c>
      <c r="I29" s="180" t="s">
        <v>0</v>
      </c>
      <c r="J29" s="181" t="s">
        <v>136</v>
      </c>
      <c r="K29" s="200" t="b">
        <v>0</v>
      </c>
      <c r="L29" s="650">
        <v>48949500</v>
      </c>
      <c r="M29" s="89">
        <v>30154629.030000001</v>
      </c>
      <c r="N29" s="89">
        <f t="shared" si="22"/>
        <v>3915960</v>
      </c>
      <c r="O29" s="89">
        <v>2937409.02</v>
      </c>
      <c r="P29" s="89">
        <f t="shared" si="9"/>
        <v>391596</v>
      </c>
      <c r="Q29" s="651">
        <v>1398729.51</v>
      </c>
      <c r="R29" s="650">
        <v>10210500</v>
      </c>
      <c r="S29" s="89">
        <v>8269108.0099999998</v>
      </c>
      <c r="T29" s="89">
        <f t="shared" si="23"/>
        <v>102105</v>
      </c>
      <c r="U29" s="89">
        <v>48904.800000000003</v>
      </c>
      <c r="V29" s="89">
        <f t="shared" si="10"/>
        <v>10210.5</v>
      </c>
      <c r="W29" s="347">
        <v>8844.52</v>
      </c>
      <c r="X29" s="256">
        <v>0.08</v>
      </c>
      <c r="Y29" s="256">
        <v>0.01</v>
      </c>
      <c r="Z29" s="648">
        <v>7.0000000000000007E-2</v>
      </c>
      <c r="AA29" s="89">
        <f t="shared" si="11"/>
        <v>59160000</v>
      </c>
      <c r="AB29" s="89">
        <f t="shared" si="12"/>
        <v>38423737.039999999</v>
      </c>
      <c r="AC29" s="257">
        <f t="shared" si="13"/>
        <v>7.0000000000000007E-2</v>
      </c>
      <c r="AD29" s="90">
        <f t="shared" si="14"/>
        <v>4141200.0000000005</v>
      </c>
      <c r="AE29" s="89">
        <f t="shared" si="15"/>
        <v>2986313.82</v>
      </c>
      <c r="AF29" s="89">
        <f t="shared" si="16"/>
        <v>1407574.03</v>
      </c>
      <c r="AG29" s="270">
        <f t="shared" si="17"/>
        <v>32.474422785665993</v>
      </c>
      <c r="AH29" s="271">
        <f t="shared" si="18"/>
        <v>43.267369168356986</v>
      </c>
      <c r="AI29" s="240">
        <f t="shared" si="19"/>
        <v>75.741791954022972</v>
      </c>
      <c r="AJ29" s="316">
        <v>87.871773127266408</v>
      </c>
      <c r="AK29" s="672">
        <f t="shared" si="24"/>
        <v>-12.129981173243436</v>
      </c>
      <c r="AL29" t="str">
        <f t="shared" si="20"/>
        <v/>
      </c>
      <c r="AM29" s="822"/>
      <c r="AN29" s="108">
        <v>13</v>
      </c>
      <c r="AO29" s="108" t="s">
        <v>127</v>
      </c>
      <c r="AP29" s="108" t="s">
        <v>276</v>
      </c>
      <c r="AQ29" s="109">
        <v>789925320</v>
      </c>
      <c r="AR29" s="109">
        <v>3149642.55</v>
      </c>
      <c r="AS29" s="109">
        <v>140764692</v>
      </c>
      <c r="AT29" s="109">
        <v>1581349.94</v>
      </c>
      <c r="AU29" s="109">
        <v>14076480</v>
      </c>
      <c r="AV29" s="110">
        <v>944266.85</v>
      </c>
      <c r="AY29" s="19" t="s">
        <v>540</v>
      </c>
      <c r="AZ29" s="49">
        <v>711971191.53999996</v>
      </c>
      <c r="BA29" s="49">
        <v>138659966.03</v>
      </c>
      <c r="BB29" s="49">
        <v>30153393.469999999</v>
      </c>
      <c r="BC29" s="383">
        <f t="shared" si="37"/>
        <v>0.76323222759199472</v>
      </c>
      <c r="BD29" s="383">
        <f t="shared" si="38"/>
        <v>0.51145441346976928</v>
      </c>
      <c r="BE29" s="383">
        <f t="shared" si="39"/>
        <v>1.1122232406836761</v>
      </c>
      <c r="BF29" s="377" t="s">
        <v>447</v>
      </c>
      <c r="BG29" s="357">
        <v>62</v>
      </c>
      <c r="BH29" s="357">
        <v>32</v>
      </c>
      <c r="BI29" s="357">
        <v>33</v>
      </c>
      <c r="BJ29" s="357">
        <v>47</v>
      </c>
    </row>
    <row r="30" spans="1:64" ht="11.25" customHeight="1" x14ac:dyDescent="0.2">
      <c r="A30" s="6">
        <v>19</v>
      </c>
      <c r="B30" s="199">
        <v>60453</v>
      </c>
      <c r="C30" s="680" t="s">
        <v>554</v>
      </c>
      <c r="D30" s="173" t="s">
        <v>136</v>
      </c>
      <c r="E30" s="173" t="s">
        <v>14</v>
      </c>
      <c r="F30" s="174" t="s">
        <v>113</v>
      </c>
      <c r="G30" s="179" t="s">
        <v>2</v>
      </c>
      <c r="H30" s="179" t="s">
        <v>444</v>
      </c>
      <c r="I30" s="180" t="s">
        <v>0</v>
      </c>
      <c r="J30" s="181" t="s">
        <v>136</v>
      </c>
      <c r="K30" s="200" t="b">
        <v>0</v>
      </c>
      <c r="L30" s="650">
        <v>13317750</v>
      </c>
      <c r="M30" s="89">
        <v>0</v>
      </c>
      <c r="N30" s="89">
        <f t="shared" si="22"/>
        <v>4160465.1</v>
      </c>
      <c r="O30" s="89">
        <v>2397100.3199999998</v>
      </c>
      <c r="P30" s="89">
        <f t="shared" si="9"/>
        <v>416046.51</v>
      </c>
      <c r="Q30" s="651">
        <v>1166326.56</v>
      </c>
      <c r="R30" s="650">
        <v>8580000</v>
      </c>
      <c r="S30" s="89">
        <v>5049782.1900000004</v>
      </c>
      <c r="T30" s="89">
        <f t="shared" si="23"/>
        <v>2011152.0000000002</v>
      </c>
      <c r="U30" s="89">
        <v>1864930.15</v>
      </c>
      <c r="V30" s="89">
        <f t="shared" si="10"/>
        <v>201115.20000000004</v>
      </c>
      <c r="W30" s="347">
        <v>342546.96</v>
      </c>
      <c r="X30" s="256">
        <v>0.31240000000000001</v>
      </c>
      <c r="Y30" s="256">
        <v>0.23440000000000003</v>
      </c>
      <c r="Z30" s="648">
        <v>0.28270000000000001</v>
      </c>
      <c r="AA30" s="89">
        <f t="shared" si="11"/>
        <v>21897750</v>
      </c>
      <c r="AB30" s="89">
        <f t="shared" si="12"/>
        <v>5049782.1900000004</v>
      </c>
      <c r="AC30" s="257">
        <f t="shared" si="13"/>
        <v>0.28270000000000001</v>
      </c>
      <c r="AD30" s="90">
        <f t="shared" si="14"/>
        <v>6190493.9249999998</v>
      </c>
      <c r="AE30" s="89">
        <f t="shared" si="15"/>
        <v>4262030.47</v>
      </c>
      <c r="AF30" s="89">
        <f t="shared" si="16"/>
        <v>1508873.52</v>
      </c>
      <c r="AG30" s="270">
        <f t="shared" si="17"/>
        <v>11.5303677090112</v>
      </c>
      <c r="AH30" s="271">
        <f t="shared" si="18"/>
        <v>41.308792367484635</v>
      </c>
      <c r="AI30" s="240">
        <f t="shared" si="19"/>
        <v>52.839160076495837</v>
      </c>
      <c r="AJ30" s="316">
        <v>93.362842725110568</v>
      </c>
      <c r="AK30" s="672">
        <f t="shared" si="24"/>
        <v>-40.523682648614731</v>
      </c>
      <c r="AL30">
        <f t="shared" si="20"/>
        <v>19</v>
      </c>
      <c r="AM30" s="822"/>
      <c r="AN30" s="108">
        <v>14</v>
      </c>
      <c r="AO30" s="108" t="s">
        <v>128</v>
      </c>
      <c r="AP30" s="108" t="s">
        <v>277</v>
      </c>
      <c r="AQ30" s="109">
        <v>163011000</v>
      </c>
      <c r="AR30" s="109">
        <v>9948348.8900000006</v>
      </c>
      <c r="AS30" s="109">
        <v>65204040</v>
      </c>
      <c r="AT30" s="109">
        <v>7963338.4400000004</v>
      </c>
      <c r="AU30" s="109">
        <v>6520440</v>
      </c>
      <c r="AV30" s="110">
        <v>4372760.18</v>
      </c>
      <c r="AY30" s="19" t="s">
        <v>541</v>
      </c>
      <c r="AZ30" s="49">
        <v>697799609.38</v>
      </c>
      <c r="BA30" s="49">
        <v>142200449.03999999</v>
      </c>
      <c r="BB30" s="49">
        <v>27818093.48</v>
      </c>
      <c r="BC30" s="383">
        <f t="shared" si="37"/>
        <v>0.7480403092264718</v>
      </c>
      <c r="BD30" s="383">
        <f t="shared" si="38"/>
        <v>0.52451366707500569</v>
      </c>
      <c r="BE30" s="383">
        <f t="shared" si="39"/>
        <v>1.0260845138624142</v>
      </c>
      <c r="BF30" s="377" t="s">
        <v>574</v>
      </c>
      <c r="BG30" s="356">
        <v>48</v>
      </c>
      <c r="BH30" s="357">
        <v>45</v>
      </c>
      <c r="BI30" s="357">
        <v>34</v>
      </c>
      <c r="BJ30" s="357">
        <v>47</v>
      </c>
    </row>
    <row r="31" spans="1:64" ht="11.25" customHeight="1" x14ac:dyDescent="0.2">
      <c r="A31" s="6">
        <v>20</v>
      </c>
      <c r="B31" s="199">
        <v>60455</v>
      </c>
      <c r="C31" s="680" t="s">
        <v>137</v>
      </c>
      <c r="D31" s="173" t="s">
        <v>136</v>
      </c>
      <c r="E31" s="173" t="s">
        <v>14</v>
      </c>
      <c r="F31" s="174" t="s">
        <v>113</v>
      </c>
      <c r="G31" s="179" t="s">
        <v>4</v>
      </c>
      <c r="H31" s="179" t="s">
        <v>294</v>
      </c>
      <c r="I31" s="180" t="s">
        <v>8</v>
      </c>
      <c r="J31" s="181" t="s">
        <v>136</v>
      </c>
      <c r="K31" s="200" t="b">
        <v>0</v>
      </c>
      <c r="L31" s="650">
        <v>4263750</v>
      </c>
      <c r="M31" s="89">
        <v>1128097</v>
      </c>
      <c r="N31" s="89">
        <f t="shared" si="22"/>
        <v>163728</v>
      </c>
      <c r="O31" s="89">
        <v>144971.64000000001</v>
      </c>
      <c r="P31" s="89">
        <f t="shared" si="9"/>
        <v>16372.800000000001</v>
      </c>
      <c r="Q31" s="651">
        <v>138975.39000000001</v>
      </c>
      <c r="R31" s="650">
        <v>5017500</v>
      </c>
      <c r="S31" s="89">
        <v>2105592.21</v>
      </c>
      <c r="T31" s="89">
        <f t="shared" si="23"/>
        <v>2406894.75</v>
      </c>
      <c r="U31" s="89">
        <v>1031937.09</v>
      </c>
      <c r="V31" s="89">
        <f t="shared" si="10"/>
        <v>240689.47500000001</v>
      </c>
      <c r="W31" s="347">
        <v>358560.94</v>
      </c>
      <c r="X31" s="256">
        <v>3.8399999999999997E-2</v>
      </c>
      <c r="Y31" s="256">
        <v>0.47970000000000002</v>
      </c>
      <c r="Z31" s="648">
        <v>0.23549999999999999</v>
      </c>
      <c r="AA31" s="89">
        <f t="shared" si="11"/>
        <v>9281250</v>
      </c>
      <c r="AB31" s="89">
        <f t="shared" si="12"/>
        <v>3233689.21</v>
      </c>
      <c r="AC31" s="257">
        <f t="shared" si="13"/>
        <v>0.23549999999999999</v>
      </c>
      <c r="AD31" s="90">
        <f t="shared" si="14"/>
        <v>2185734.375</v>
      </c>
      <c r="AE31" s="89">
        <f t="shared" si="15"/>
        <v>1176908.73</v>
      </c>
      <c r="AF31" s="89">
        <f t="shared" si="16"/>
        <v>497536.33</v>
      </c>
      <c r="AG31" s="270">
        <f t="shared" si="17"/>
        <v>17.420547932659932</v>
      </c>
      <c r="AH31" s="271">
        <f t="shared" si="18"/>
        <v>32.307001531235926</v>
      </c>
      <c r="AI31" s="240">
        <f t="shared" si="19"/>
        <v>49.727549463895855</v>
      </c>
      <c r="AJ31" s="316">
        <v>50.657499270633288</v>
      </c>
      <c r="AK31" s="672">
        <f t="shared" si="24"/>
        <v>-0.92994980673743299</v>
      </c>
      <c r="AL31" t="str">
        <f t="shared" si="20"/>
        <v/>
      </c>
      <c r="AM31" s="822"/>
      <c r="AN31" s="108">
        <v>15</v>
      </c>
      <c r="AO31" s="108" t="s">
        <v>131</v>
      </c>
      <c r="AP31" s="108" t="s">
        <v>278</v>
      </c>
      <c r="AQ31" s="109">
        <v>177337680</v>
      </c>
      <c r="AR31" s="109">
        <v>2166605</v>
      </c>
      <c r="AS31" s="109">
        <v>29047908</v>
      </c>
      <c r="AT31" s="109">
        <v>2166605</v>
      </c>
      <c r="AU31" s="109">
        <v>2904840</v>
      </c>
      <c r="AV31" s="110">
        <v>-6992.13</v>
      </c>
      <c r="AY31" s="19" t="s">
        <v>542</v>
      </c>
      <c r="AZ31" s="49">
        <v>836186587.54999995</v>
      </c>
      <c r="BA31" s="49">
        <v>137591699.21000001</v>
      </c>
      <c r="BB31" s="49">
        <v>31786018.350000001</v>
      </c>
      <c r="BC31" s="383">
        <f t="shared" si="37"/>
        <v>0.89639097688474301</v>
      </c>
      <c r="BD31" s="383">
        <f t="shared" si="38"/>
        <v>0.50751405638260472</v>
      </c>
      <c r="BE31" s="383">
        <f t="shared" si="39"/>
        <v>1.1724434390059979</v>
      </c>
      <c r="BF31" s="373" t="s">
        <v>365</v>
      </c>
      <c r="BG31" s="351">
        <v>32</v>
      </c>
      <c r="BH31" s="352">
        <v>39</v>
      </c>
      <c r="BI31" s="352">
        <v>42</v>
      </c>
      <c r="BJ31" s="352">
        <v>59</v>
      </c>
    </row>
    <row r="32" spans="1:64" ht="11.25" customHeight="1" x14ac:dyDescent="0.2">
      <c r="A32" s="6">
        <v>21</v>
      </c>
      <c r="B32" s="199">
        <v>60456</v>
      </c>
      <c r="C32" s="680" t="s">
        <v>138</v>
      </c>
      <c r="D32" s="173" t="s">
        <v>136</v>
      </c>
      <c r="E32" s="173" t="s">
        <v>14</v>
      </c>
      <c r="F32" s="174" t="s">
        <v>113</v>
      </c>
      <c r="G32" s="179" t="s">
        <v>4</v>
      </c>
      <c r="H32" s="179" t="s">
        <v>294</v>
      </c>
      <c r="I32" s="182" t="s">
        <v>9</v>
      </c>
      <c r="J32" s="181" t="s">
        <v>136</v>
      </c>
      <c r="K32" s="200" t="b">
        <v>0</v>
      </c>
      <c r="L32" s="650">
        <v>5015250</v>
      </c>
      <c r="M32" s="89">
        <v>2234565.19</v>
      </c>
      <c r="N32" s="89">
        <f t="shared" si="22"/>
        <v>237221.32500000001</v>
      </c>
      <c r="O32" s="89">
        <v>171227.34</v>
      </c>
      <c r="P32" s="89">
        <f t="shared" si="9"/>
        <v>23722.132500000003</v>
      </c>
      <c r="Q32" s="651">
        <v>131014.8</v>
      </c>
      <c r="R32" s="650">
        <v>3280575</v>
      </c>
      <c r="S32" s="89">
        <v>0</v>
      </c>
      <c r="T32" s="89">
        <f t="shared" si="23"/>
        <v>1546463.0549999999</v>
      </c>
      <c r="U32" s="89">
        <v>0</v>
      </c>
      <c r="V32" s="89">
        <f t="shared" si="10"/>
        <v>154646.30549999999</v>
      </c>
      <c r="W32" s="347">
        <v>0</v>
      </c>
      <c r="X32" s="256">
        <v>4.7300000000000002E-2</v>
      </c>
      <c r="Y32" s="256">
        <v>0.47139999999999999</v>
      </c>
      <c r="Z32" s="648">
        <v>0.22450000000000001</v>
      </c>
      <c r="AA32" s="89">
        <f t="shared" si="11"/>
        <v>8295825</v>
      </c>
      <c r="AB32" s="89">
        <f t="shared" si="12"/>
        <v>2234565.19</v>
      </c>
      <c r="AC32" s="257">
        <f t="shared" si="13"/>
        <v>0.22450000000000001</v>
      </c>
      <c r="AD32" s="90">
        <f t="shared" si="14"/>
        <v>1862412.7125000001</v>
      </c>
      <c r="AE32" s="89">
        <f t="shared" si="15"/>
        <v>171227.34</v>
      </c>
      <c r="AF32" s="89">
        <f t="shared" si="16"/>
        <v>131014.8</v>
      </c>
      <c r="AG32" s="270">
        <f t="shared" si="17"/>
        <v>13.468010655962487</v>
      </c>
      <c r="AH32" s="271">
        <f t="shared" si="18"/>
        <v>5.5163070629008066</v>
      </c>
      <c r="AI32" s="240">
        <f t="shared" si="19"/>
        <v>18.984317718863295</v>
      </c>
      <c r="AJ32" s="316">
        <v>6.8546300188285878</v>
      </c>
      <c r="AK32" s="672">
        <f t="shared" si="24"/>
        <v>12.129687700034708</v>
      </c>
      <c r="AL32" t="str">
        <f t="shared" si="20"/>
        <v/>
      </c>
      <c r="AM32" s="822"/>
      <c r="AN32" s="103">
        <v>19</v>
      </c>
      <c r="AO32" s="103" t="s">
        <v>133</v>
      </c>
      <c r="AP32" s="103" t="s">
        <v>279</v>
      </c>
      <c r="AQ32" s="104">
        <v>1261197600</v>
      </c>
      <c r="AR32" s="104">
        <v>73090.399999999994</v>
      </c>
      <c r="AS32" s="104">
        <v>0</v>
      </c>
      <c r="AT32" s="104">
        <v>0</v>
      </c>
      <c r="AU32" s="104">
        <v>0</v>
      </c>
      <c r="AV32" s="105">
        <v>0</v>
      </c>
      <c r="AY32" s="19" t="s">
        <v>595</v>
      </c>
      <c r="AZ32" s="49">
        <v>599480579.67999995</v>
      </c>
      <c r="BA32" s="49">
        <v>121483355.03</v>
      </c>
      <c r="BB32" s="49">
        <v>34265097.340000004</v>
      </c>
      <c r="BC32" s="383">
        <f t="shared" si="37"/>
        <v>0.64264243225577333</v>
      </c>
      <c r="BD32" s="383">
        <f t="shared" si="38"/>
        <v>0.44809760071458166</v>
      </c>
      <c r="BE32" s="383">
        <f t="shared" si="39"/>
        <v>1.2638855273040157</v>
      </c>
      <c r="BF32" s="374" t="s">
        <v>366</v>
      </c>
      <c r="BG32" s="353">
        <v>26</v>
      </c>
      <c r="BH32" s="354">
        <v>46</v>
      </c>
      <c r="BI32" s="354">
        <v>44</v>
      </c>
      <c r="BJ32" s="354">
        <v>56</v>
      </c>
    </row>
    <row r="33" spans="1:62" ht="11.25" customHeight="1" x14ac:dyDescent="0.2">
      <c r="A33" s="6">
        <v>22</v>
      </c>
      <c r="B33" s="199">
        <v>60459</v>
      </c>
      <c r="C33" s="680" t="s">
        <v>139</v>
      </c>
      <c r="D33" s="173" t="s">
        <v>136</v>
      </c>
      <c r="E33" s="173" t="s">
        <v>14</v>
      </c>
      <c r="F33" s="174" t="s">
        <v>113</v>
      </c>
      <c r="G33" s="179" t="s">
        <v>4</v>
      </c>
      <c r="H33" s="179" t="s">
        <v>294</v>
      </c>
      <c r="I33" s="182" t="s">
        <v>9</v>
      </c>
      <c r="J33" s="181" t="s">
        <v>136</v>
      </c>
      <c r="K33" s="200" t="b">
        <v>0</v>
      </c>
      <c r="L33" s="650">
        <v>4211749.5</v>
      </c>
      <c r="M33" s="89">
        <v>2217782.25</v>
      </c>
      <c r="N33" s="89">
        <f t="shared" si="22"/>
        <v>178999.35375000001</v>
      </c>
      <c r="O33" s="89">
        <v>209802.51</v>
      </c>
      <c r="P33" s="89">
        <f t="shared" si="9"/>
        <v>17899.935375000001</v>
      </c>
      <c r="Q33" s="651">
        <v>171306.63</v>
      </c>
      <c r="R33" s="650">
        <v>5437125</v>
      </c>
      <c r="S33" s="89">
        <v>808474.96</v>
      </c>
      <c r="T33" s="89">
        <f t="shared" si="23"/>
        <v>2798488.2375000003</v>
      </c>
      <c r="U33" s="89">
        <v>808323.73</v>
      </c>
      <c r="V33" s="89">
        <f t="shared" si="10"/>
        <v>279848.82375000004</v>
      </c>
      <c r="W33" s="347">
        <v>138957.47</v>
      </c>
      <c r="X33" s="256">
        <v>4.2500000000000003E-2</v>
      </c>
      <c r="Y33" s="256">
        <v>0.51470000000000005</v>
      </c>
      <c r="Z33" s="648">
        <v>0.2606</v>
      </c>
      <c r="AA33" s="89">
        <f t="shared" si="11"/>
        <v>9648874.5</v>
      </c>
      <c r="AB33" s="89">
        <f t="shared" si="12"/>
        <v>3026257.21</v>
      </c>
      <c r="AC33" s="257">
        <f t="shared" si="13"/>
        <v>0.2606</v>
      </c>
      <c r="AD33" s="90">
        <f t="shared" si="14"/>
        <v>2514496.6946999999</v>
      </c>
      <c r="AE33" s="89">
        <f t="shared" si="15"/>
        <v>1018126.24</v>
      </c>
      <c r="AF33" s="89">
        <f t="shared" si="16"/>
        <v>310264.09999999998</v>
      </c>
      <c r="AG33" s="270">
        <f t="shared" si="17"/>
        <v>15.681918186416455</v>
      </c>
      <c r="AH33" s="271">
        <f t="shared" si="18"/>
        <v>24.294155776286772</v>
      </c>
      <c r="AI33" s="240">
        <f t="shared" si="19"/>
        <v>39.976073962703225</v>
      </c>
      <c r="AJ33" s="316">
        <v>35.607702479788642</v>
      </c>
      <c r="AK33" s="672">
        <f t="shared" si="24"/>
        <v>4.3683714829145828</v>
      </c>
      <c r="AL33" t="str">
        <f t="shared" si="20"/>
        <v/>
      </c>
      <c r="AM33" s="823"/>
      <c r="AN33" s="111">
        <v>20</v>
      </c>
      <c r="AO33" s="111" t="s">
        <v>134</v>
      </c>
      <c r="AP33" s="111" t="s">
        <v>280</v>
      </c>
      <c r="AQ33" s="112">
        <v>0</v>
      </c>
      <c r="AR33" s="112">
        <v>0</v>
      </c>
      <c r="AS33" s="112">
        <v>0</v>
      </c>
      <c r="AT33" s="112">
        <v>0</v>
      </c>
      <c r="AU33" s="112">
        <v>0</v>
      </c>
      <c r="AV33" s="113">
        <v>0</v>
      </c>
      <c r="AY33" s="19" t="s">
        <v>597</v>
      </c>
      <c r="AZ33" s="49">
        <v>638045485.88</v>
      </c>
      <c r="BA33" s="49">
        <v>136673136.94999999</v>
      </c>
      <c r="BB33" s="49">
        <v>34381618.049999997</v>
      </c>
      <c r="BC33" s="383">
        <f t="shared" si="37"/>
        <v>0.68398396350823376</v>
      </c>
      <c r="BD33" s="383">
        <f t="shared" si="38"/>
        <v>0.50412589226159132</v>
      </c>
      <c r="BE33" s="383">
        <f t="shared" si="39"/>
        <v>1.2681834529027347</v>
      </c>
      <c r="BF33" s="375" t="s">
        <v>367</v>
      </c>
      <c r="BG33" s="353">
        <v>32</v>
      </c>
      <c r="BH33" s="354">
        <v>35</v>
      </c>
      <c r="BI33" s="354">
        <v>50</v>
      </c>
      <c r="BJ33" s="354">
        <v>56</v>
      </c>
    </row>
    <row r="34" spans="1:62" ht="11.25" customHeight="1" x14ac:dyDescent="0.2">
      <c r="A34" s="6">
        <v>23</v>
      </c>
      <c r="B34" s="199">
        <v>60479</v>
      </c>
      <c r="C34" s="680" t="s">
        <v>140</v>
      </c>
      <c r="D34" s="173" t="s">
        <v>136</v>
      </c>
      <c r="E34" s="173" t="s">
        <v>14</v>
      </c>
      <c r="F34" s="174" t="s">
        <v>113</v>
      </c>
      <c r="G34" s="179" t="s">
        <v>4</v>
      </c>
      <c r="H34" s="179" t="s">
        <v>294</v>
      </c>
      <c r="I34" s="180" t="s">
        <v>8</v>
      </c>
      <c r="J34" s="181" t="s">
        <v>136</v>
      </c>
      <c r="K34" s="200" t="b">
        <v>0</v>
      </c>
      <c r="L34" s="650">
        <v>3604500</v>
      </c>
      <c r="M34" s="89">
        <v>0</v>
      </c>
      <c r="N34" s="89">
        <f t="shared" si="22"/>
        <v>311789.25</v>
      </c>
      <c r="O34" s="89">
        <v>320951.43</v>
      </c>
      <c r="P34" s="89">
        <f t="shared" si="9"/>
        <v>31178.925000000003</v>
      </c>
      <c r="Q34" s="651">
        <v>245590.47</v>
      </c>
      <c r="R34" s="650">
        <v>4580250</v>
      </c>
      <c r="S34" s="89">
        <v>4909080.68</v>
      </c>
      <c r="T34" s="89">
        <f t="shared" si="23"/>
        <v>2246612.625</v>
      </c>
      <c r="U34" s="89">
        <v>2735485.6</v>
      </c>
      <c r="V34" s="89">
        <f t="shared" si="10"/>
        <v>224661.26250000001</v>
      </c>
      <c r="W34" s="347">
        <v>575194.57999999996</v>
      </c>
      <c r="X34" s="256">
        <v>8.6499999999999994E-2</v>
      </c>
      <c r="Y34" s="256">
        <v>0.49049999999999999</v>
      </c>
      <c r="Z34" s="648">
        <v>0.32140000000000002</v>
      </c>
      <c r="AA34" s="89">
        <f t="shared" si="11"/>
        <v>8184750</v>
      </c>
      <c r="AB34" s="89">
        <f t="shared" si="12"/>
        <v>4909080.68</v>
      </c>
      <c r="AC34" s="257">
        <f t="shared" si="13"/>
        <v>0.32140000000000002</v>
      </c>
      <c r="AD34" s="90">
        <f t="shared" si="14"/>
        <v>2630578.6500000004</v>
      </c>
      <c r="AE34" s="89">
        <f t="shared" si="15"/>
        <v>3056437.0300000003</v>
      </c>
      <c r="AF34" s="89">
        <f t="shared" si="16"/>
        <v>820785.04999999993</v>
      </c>
      <c r="AG34" s="270">
        <f t="shared" si="17"/>
        <v>29.989191361984176</v>
      </c>
      <c r="AH34" s="271">
        <f t="shared" si="18"/>
        <v>60</v>
      </c>
      <c r="AI34" s="240">
        <f t="shared" si="19"/>
        <v>89.989191361984183</v>
      </c>
      <c r="AJ34" s="316">
        <v>74.062008173301365</v>
      </c>
      <c r="AK34" s="672">
        <f t="shared" si="24"/>
        <v>15.927183188682818</v>
      </c>
      <c r="AL34">
        <f t="shared" si="20"/>
        <v>23</v>
      </c>
      <c r="AM34" s="821">
        <v>2011</v>
      </c>
      <c r="AN34" s="99">
        <v>1</v>
      </c>
      <c r="AO34" s="99" t="s">
        <v>123</v>
      </c>
      <c r="AP34" s="99" t="s">
        <v>269</v>
      </c>
      <c r="AQ34" s="101">
        <v>384177600</v>
      </c>
      <c r="AR34" s="101">
        <v>86014140</v>
      </c>
      <c r="AS34" s="101">
        <v>192088800</v>
      </c>
      <c r="AT34" s="101">
        <v>86014140</v>
      </c>
      <c r="AU34" s="101">
        <v>19208400</v>
      </c>
      <c r="AV34" s="102">
        <v>35709012</v>
      </c>
      <c r="AY34" s="19" t="s">
        <v>605</v>
      </c>
      <c r="AZ34" s="49">
        <v>476691970.45999998</v>
      </c>
      <c r="BA34" s="49">
        <v>123650478.13</v>
      </c>
      <c r="BB34" s="49">
        <v>30700204.120000001</v>
      </c>
      <c r="BC34" s="383">
        <f t="shared" ref="BC34" si="40">(AZ34)/($AZ$4/4)</f>
        <v>0.51101319661887279</v>
      </c>
      <c r="BD34" s="383">
        <f t="shared" ref="BD34" si="41">BA34/($BA$4/4)</f>
        <v>0.45609114568478221</v>
      </c>
      <c r="BE34" s="383">
        <f t="shared" ref="BE34" si="42">BB34/($BB$4/4)</f>
        <v>1.132392629372496</v>
      </c>
      <c r="BF34" s="375" t="s">
        <v>368</v>
      </c>
      <c r="BG34" s="354">
        <v>33</v>
      </c>
      <c r="BH34" s="354">
        <v>39</v>
      </c>
      <c r="BI34" s="354">
        <v>47</v>
      </c>
      <c r="BJ34" s="354">
        <v>54</v>
      </c>
    </row>
    <row r="35" spans="1:62" ht="11.25" customHeight="1" x14ac:dyDescent="0.2">
      <c r="A35" s="6">
        <v>24</v>
      </c>
      <c r="B35" s="199">
        <v>60362</v>
      </c>
      <c r="C35" s="680" t="s">
        <v>555</v>
      </c>
      <c r="D35" s="173" t="s">
        <v>136</v>
      </c>
      <c r="E35" s="173" t="s">
        <v>136</v>
      </c>
      <c r="F35" s="174" t="s">
        <v>113</v>
      </c>
      <c r="G35" s="179" t="s">
        <v>4</v>
      </c>
      <c r="H35" s="179" t="s">
        <v>293</v>
      </c>
      <c r="I35" s="182" t="s">
        <v>10</v>
      </c>
      <c r="J35" s="181" t="s">
        <v>136</v>
      </c>
      <c r="K35" s="200" t="b">
        <v>0</v>
      </c>
      <c r="L35" s="650">
        <v>2565750</v>
      </c>
      <c r="M35" s="89">
        <v>1629159.52</v>
      </c>
      <c r="N35" s="89">
        <f t="shared" si="22"/>
        <v>353657.34442009509</v>
      </c>
      <c r="O35" s="89">
        <v>334689.57</v>
      </c>
      <c r="P35" s="89">
        <f t="shared" si="9"/>
        <v>35365.734442009511</v>
      </c>
      <c r="Q35" s="651">
        <v>72603.81</v>
      </c>
      <c r="R35" s="650">
        <v>463875</v>
      </c>
      <c r="S35" s="89">
        <v>486642.31</v>
      </c>
      <c r="T35" s="89">
        <f t="shared" si="23"/>
        <v>79335.118816973074</v>
      </c>
      <c r="U35" s="89">
        <v>7538.91</v>
      </c>
      <c r="V35" s="89">
        <f t="shared" si="10"/>
        <v>7933.5118816973081</v>
      </c>
      <c r="W35" s="347">
        <v>7715.47</v>
      </c>
      <c r="X35" s="256">
        <v>0.13783780353506581</v>
      </c>
      <c r="Y35" s="256">
        <v>0.17102693358549842</v>
      </c>
      <c r="Z35" s="648">
        <v>0.14353952548280566</v>
      </c>
      <c r="AA35" s="89">
        <f t="shared" si="11"/>
        <v>3029625</v>
      </c>
      <c r="AB35" s="89">
        <f t="shared" si="12"/>
        <v>2115801.83</v>
      </c>
      <c r="AC35" s="257">
        <f t="shared" si="13"/>
        <v>0.14353952548280566</v>
      </c>
      <c r="AD35" s="90">
        <f t="shared" si="14"/>
        <v>434870.93489084509</v>
      </c>
      <c r="AE35" s="89">
        <f t="shared" si="15"/>
        <v>342228.47999999998</v>
      </c>
      <c r="AF35" s="89">
        <f t="shared" si="16"/>
        <v>80319.28</v>
      </c>
      <c r="AG35" s="270">
        <f t="shared" si="17"/>
        <v>34.918543219045262</v>
      </c>
      <c r="AH35" s="271">
        <f t="shared" si="18"/>
        <v>47.217937904160159</v>
      </c>
      <c r="AI35" s="240">
        <f t="shared" si="19"/>
        <v>82.136481123205414</v>
      </c>
      <c r="AJ35" s="316">
        <v>25.042575285565942</v>
      </c>
      <c r="AK35" s="672">
        <f t="shared" si="24"/>
        <v>57.093905837639468</v>
      </c>
      <c r="AL35" t="str">
        <f t="shared" si="20"/>
        <v/>
      </c>
      <c r="AM35" s="822"/>
      <c r="AN35" s="103">
        <v>2</v>
      </c>
      <c r="AO35" s="103" t="s">
        <v>124</v>
      </c>
      <c r="AP35" s="103" t="s">
        <v>270</v>
      </c>
      <c r="AQ35" s="104">
        <v>73844400</v>
      </c>
      <c r="AR35" s="104">
        <v>25991340</v>
      </c>
      <c r="AS35" s="104">
        <v>59074800</v>
      </c>
      <c r="AT35" s="104">
        <v>25991340</v>
      </c>
      <c r="AU35" s="104">
        <v>5907600</v>
      </c>
      <c r="AV35" s="105">
        <v>14877828</v>
      </c>
      <c r="BF35" s="375" t="s">
        <v>369</v>
      </c>
      <c r="BG35" s="354">
        <v>37</v>
      </c>
      <c r="BH35" s="354">
        <v>39</v>
      </c>
      <c r="BI35" s="354">
        <v>45</v>
      </c>
      <c r="BJ35" s="354">
        <v>52</v>
      </c>
    </row>
    <row r="36" spans="1:62" ht="11.25" customHeight="1" x14ac:dyDescent="0.2">
      <c r="A36" s="6">
        <v>25</v>
      </c>
      <c r="B36" s="199">
        <v>60921</v>
      </c>
      <c r="C36" s="680" t="s">
        <v>584</v>
      </c>
      <c r="D36" s="173" t="s">
        <v>136</v>
      </c>
      <c r="E36" s="173" t="s">
        <v>136</v>
      </c>
      <c r="F36" s="174" t="s">
        <v>14</v>
      </c>
      <c r="G36" s="179" t="s">
        <v>1</v>
      </c>
      <c r="H36" s="179" t="s">
        <v>577</v>
      </c>
      <c r="I36" s="180" t="s">
        <v>0</v>
      </c>
      <c r="J36" s="181" t="s">
        <v>136</v>
      </c>
      <c r="K36" s="200" t="b">
        <v>0</v>
      </c>
      <c r="L36" s="650">
        <v>1471500</v>
      </c>
      <c r="M36" s="89">
        <v>0</v>
      </c>
      <c r="N36" s="89">
        <f t="shared" si="22"/>
        <v>92410.2</v>
      </c>
      <c r="O36" s="89">
        <v>92032.74</v>
      </c>
      <c r="P36" s="89">
        <f t="shared" si="9"/>
        <v>9241.02</v>
      </c>
      <c r="Q36" s="651">
        <v>67887</v>
      </c>
      <c r="R36" s="650">
        <v>126750</v>
      </c>
      <c r="S36" s="89">
        <v>0</v>
      </c>
      <c r="T36" s="89">
        <f t="shared" si="23"/>
        <v>31902.974999999999</v>
      </c>
      <c r="U36" s="89">
        <v>0</v>
      </c>
      <c r="V36" s="89">
        <f t="shared" si="10"/>
        <v>3190.2975000000001</v>
      </c>
      <c r="W36" s="347">
        <v>0</v>
      </c>
      <c r="X36" s="256">
        <v>6.2799999999999995E-2</v>
      </c>
      <c r="Y36" s="256">
        <v>0.25169999999999998</v>
      </c>
      <c r="Z36" s="648">
        <v>7.5300000000000006E-2</v>
      </c>
      <c r="AA36" s="89">
        <f t="shared" si="11"/>
        <v>1598250</v>
      </c>
      <c r="AB36" s="89">
        <f t="shared" si="12"/>
        <v>0</v>
      </c>
      <c r="AC36" s="257">
        <f t="shared" si="13"/>
        <v>7.5300000000000006E-2</v>
      </c>
      <c r="AD36" s="90">
        <f t="shared" si="14"/>
        <v>120348.22500000001</v>
      </c>
      <c r="AE36" s="89">
        <f t="shared" si="15"/>
        <v>92032.74</v>
      </c>
      <c r="AF36" s="89">
        <f t="shared" si="16"/>
        <v>67887</v>
      </c>
      <c r="AG36" s="270">
        <f t="shared" si="17"/>
        <v>0</v>
      </c>
      <c r="AH36" s="271">
        <f t="shared" si="18"/>
        <v>45.883222623349866</v>
      </c>
      <c r="AI36" s="240">
        <f t="shared" si="19"/>
        <v>45.883222623349866</v>
      </c>
      <c r="AJ36" s="316">
        <v>87.147688474692728</v>
      </c>
      <c r="AK36" s="672">
        <f t="shared" si="24"/>
        <v>-41.264465851342862</v>
      </c>
      <c r="AL36" t="e">
        <f>IF(#REF!=AL$11,#REF!,"")</f>
        <v>#REF!</v>
      </c>
      <c r="AM36" s="822"/>
      <c r="AN36" s="103">
        <v>3</v>
      </c>
      <c r="AO36" s="103" t="s">
        <v>125</v>
      </c>
      <c r="AP36" s="103" t="s">
        <v>271</v>
      </c>
      <c r="AQ36" s="104">
        <v>67322400</v>
      </c>
      <c r="AR36" s="104">
        <v>223358.74</v>
      </c>
      <c r="AS36" s="104">
        <v>40394400</v>
      </c>
      <c r="AT36" s="104">
        <v>207360</v>
      </c>
      <c r="AU36" s="104">
        <v>4039200</v>
      </c>
      <c r="AV36" s="105">
        <v>1156080</v>
      </c>
      <c r="BF36" s="375" t="s">
        <v>370</v>
      </c>
      <c r="BG36" s="354">
        <v>38</v>
      </c>
      <c r="BH36" s="354">
        <v>40</v>
      </c>
      <c r="BI36" s="354">
        <v>40</v>
      </c>
      <c r="BJ36" s="354">
        <v>55</v>
      </c>
    </row>
    <row r="37" spans="1:62" ht="11.25" customHeight="1" x14ac:dyDescent="0.2">
      <c r="A37" s="6">
        <v>26</v>
      </c>
      <c r="B37" s="199">
        <v>61061</v>
      </c>
      <c r="C37" s="680" t="s">
        <v>556</v>
      </c>
      <c r="D37" s="173" t="s">
        <v>136</v>
      </c>
      <c r="E37" s="173" t="s">
        <v>136</v>
      </c>
      <c r="F37" s="174" t="s">
        <v>113</v>
      </c>
      <c r="G37" s="179" t="s">
        <v>2</v>
      </c>
      <c r="H37" s="179" t="s">
        <v>575</v>
      </c>
      <c r="I37" s="182" t="s">
        <v>0</v>
      </c>
      <c r="J37" s="181" t="s">
        <v>136</v>
      </c>
      <c r="K37" s="200" t="b">
        <v>0</v>
      </c>
      <c r="L37" s="650">
        <v>5303250</v>
      </c>
      <c r="M37" s="89">
        <v>3460768.18</v>
      </c>
      <c r="N37" s="89">
        <f t="shared" si="22"/>
        <v>2015235</v>
      </c>
      <c r="O37" s="89">
        <v>2493352.1800000002</v>
      </c>
      <c r="P37" s="89">
        <f t="shared" si="9"/>
        <v>201523.5</v>
      </c>
      <c r="Q37" s="651">
        <v>1203407.1200000001</v>
      </c>
      <c r="R37" s="650">
        <v>6624750</v>
      </c>
      <c r="S37" s="89">
        <v>5189497.09</v>
      </c>
      <c r="T37" s="89">
        <f t="shared" si="23"/>
        <v>4769820</v>
      </c>
      <c r="U37" s="89">
        <v>3363672.82</v>
      </c>
      <c r="V37" s="89">
        <f t="shared" si="10"/>
        <v>476982</v>
      </c>
      <c r="W37" s="347">
        <v>645597.75</v>
      </c>
      <c r="X37" s="256">
        <v>0.38</v>
      </c>
      <c r="Y37" s="256">
        <v>0.72</v>
      </c>
      <c r="Z37" s="648">
        <v>0.56000000000000005</v>
      </c>
      <c r="AA37" s="89">
        <f t="shared" si="11"/>
        <v>11928000</v>
      </c>
      <c r="AB37" s="89">
        <f t="shared" si="12"/>
        <v>8650265.2699999996</v>
      </c>
      <c r="AC37" s="257">
        <f t="shared" si="13"/>
        <v>0.56000000000000005</v>
      </c>
      <c r="AD37" s="90">
        <f t="shared" si="14"/>
        <v>6679680.0000000009</v>
      </c>
      <c r="AE37" s="89">
        <f t="shared" si="15"/>
        <v>5857025</v>
      </c>
      <c r="AF37" s="89">
        <f t="shared" si="16"/>
        <v>1849004.87</v>
      </c>
      <c r="AG37" s="270">
        <f t="shared" si="17"/>
        <v>36.260333962105967</v>
      </c>
      <c r="AH37" s="271">
        <f t="shared" si="18"/>
        <v>52.610529246910026</v>
      </c>
      <c r="AI37" s="240">
        <f t="shared" si="19"/>
        <v>88.870863209015994</v>
      </c>
      <c r="AJ37" s="316">
        <v>96.655921375921366</v>
      </c>
      <c r="AK37" s="672">
        <f t="shared" si="24"/>
        <v>-7.7850581669053724</v>
      </c>
      <c r="AL37">
        <f t="shared" ref="AL37:AL44" si="43">IF($M36=AL$11,$A36,"")</f>
        <v>25</v>
      </c>
      <c r="AM37" s="822"/>
      <c r="AN37" s="103">
        <v>4</v>
      </c>
      <c r="AO37" s="103" t="s">
        <v>132</v>
      </c>
      <c r="AP37" s="103" t="s">
        <v>272</v>
      </c>
      <c r="AQ37" s="104">
        <v>582636000</v>
      </c>
      <c r="AR37" s="104">
        <v>42463358.700000003</v>
      </c>
      <c r="AS37" s="104">
        <v>116527200</v>
      </c>
      <c r="AT37" s="104">
        <v>2536097.33</v>
      </c>
      <c r="AU37" s="104">
        <v>11653200</v>
      </c>
      <c r="AV37" s="105">
        <v>1253580.98</v>
      </c>
      <c r="BF37" s="375" t="s">
        <v>371</v>
      </c>
      <c r="BG37" s="354">
        <v>37</v>
      </c>
      <c r="BH37" s="354">
        <v>41</v>
      </c>
      <c r="BI37" s="354">
        <v>40</v>
      </c>
      <c r="BJ37" s="354">
        <v>55</v>
      </c>
    </row>
    <row r="38" spans="1:62" ht="11.25" customHeight="1" x14ac:dyDescent="0.2">
      <c r="A38" s="6">
        <v>27</v>
      </c>
      <c r="B38" s="199">
        <v>60373</v>
      </c>
      <c r="C38" s="680" t="s">
        <v>557</v>
      </c>
      <c r="D38" s="173" t="s">
        <v>136</v>
      </c>
      <c r="E38" s="173" t="s">
        <v>136</v>
      </c>
      <c r="F38" s="174" t="s">
        <v>113</v>
      </c>
      <c r="G38" s="179" t="s">
        <v>2</v>
      </c>
      <c r="H38" s="179" t="s">
        <v>575</v>
      </c>
      <c r="I38" s="180" t="s">
        <v>0</v>
      </c>
      <c r="J38" s="181" t="s">
        <v>136</v>
      </c>
      <c r="K38" s="200" t="b">
        <v>0</v>
      </c>
      <c r="L38" s="650">
        <v>4595250</v>
      </c>
      <c r="M38" s="89">
        <v>1661284.04</v>
      </c>
      <c r="N38" s="89">
        <f t="shared" si="22"/>
        <v>1792147.5</v>
      </c>
      <c r="O38" s="89">
        <v>1765698.57</v>
      </c>
      <c r="P38" s="89">
        <f t="shared" si="9"/>
        <v>179214.75</v>
      </c>
      <c r="Q38" s="651">
        <v>1098489.69</v>
      </c>
      <c r="R38" s="650">
        <v>3448500</v>
      </c>
      <c r="S38" s="89">
        <v>2429513.89</v>
      </c>
      <c r="T38" s="89">
        <f t="shared" si="23"/>
        <v>2172555</v>
      </c>
      <c r="U38" s="89">
        <v>1190793.02</v>
      </c>
      <c r="V38" s="89">
        <f t="shared" si="10"/>
        <v>217255.5</v>
      </c>
      <c r="W38" s="347">
        <v>299657.2</v>
      </c>
      <c r="X38" s="699">
        <v>0.39</v>
      </c>
      <c r="Y38" s="699">
        <v>0.63</v>
      </c>
      <c r="Z38" s="700">
        <v>0.49</v>
      </c>
      <c r="AA38" s="89">
        <f t="shared" si="11"/>
        <v>8043750</v>
      </c>
      <c r="AB38" s="89">
        <f t="shared" si="12"/>
        <v>4090797.93</v>
      </c>
      <c r="AC38" s="257">
        <f t="shared" si="13"/>
        <v>0.49</v>
      </c>
      <c r="AD38" s="90">
        <f t="shared" si="14"/>
        <v>3941437.5</v>
      </c>
      <c r="AE38" s="89">
        <f t="shared" si="15"/>
        <v>2956491.59</v>
      </c>
      <c r="AF38" s="89">
        <f t="shared" si="16"/>
        <v>1398146.89</v>
      </c>
      <c r="AG38" s="270">
        <f t="shared" si="17"/>
        <v>25.428425361305361</v>
      </c>
      <c r="AH38" s="271">
        <f t="shared" si="18"/>
        <v>45.006294124922697</v>
      </c>
      <c r="AI38" s="240">
        <f t="shared" si="19"/>
        <v>70.434719486228062</v>
      </c>
      <c r="AJ38" s="316">
        <v>90.564733473616926</v>
      </c>
      <c r="AK38" s="672">
        <f t="shared" si="24"/>
        <v>-20.130013987388864</v>
      </c>
      <c r="AL38" t="str">
        <f t="shared" si="43"/>
        <v/>
      </c>
      <c r="AM38" s="822"/>
      <c r="AN38" s="40">
        <v>5</v>
      </c>
      <c r="AO38" s="40" t="s">
        <v>126</v>
      </c>
      <c r="AP38" s="40" t="s">
        <v>273</v>
      </c>
      <c r="AQ38" s="122">
        <v>17791200</v>
      </c>
      <c r="AR38" s="122">
        <v>0</v>
      </c>
      <c r="AS38" s="122">
        <v>8895600</v>
      </c>
      <c r="AT38" s="122">
        <v>0</v>
      </c>
      <c r="AU38" s="122">
        <v>889200</v>
      </c>
      <c r="AV38" s="167">
        <v>0</v>
      </c>
      <c r="BF38" s="375" t="s">
        <v>372</v>
      </c>
      <c r="BG38" s="354">
        <v>36</v>
      </c>
      <c r="BH38" s="354">
        <v>39</v>
      </c>
      <c r="BI38" s="354">
        <v>44</v>
      </c>
      <c r="BJ38" s="354">
        <v>54</v>
      </c>
    </row>
    <row r="39" spans="1:62" ht="11.25" customHeight="1" x14ac:dyDescent="0.2">
      <c r="A39" s="6">
        <v>28</v>
      </c>
      <c r="B39" s="199">
        <v>60368</v>
      </c>
      <c r="C39" s="680" t="s">
        <v>558</v>
      </c>
      <c r="D39" s="173" t="s">
        <v>136</v>
      </c>
      <c r="E39" s="173" t="s">
        <v>136</v>
      </c>
      <c r="F39" s="174" t="s">
        <v>113</v>
      </c>
      <c r="G39" s="179" t="s">
        <v>2</v>
      </c>
      <c r="H39" s="179" t="s">
        <v>575</v>
      </c>
      <c r="I39" s="182" t="s">
        <v>0</v>
      </c>
      <c r="J39" s="181" t="s">
        <v>136</v>
      </c>
      <c r="K39" s="200" t="b">
        <v>0</v>
      </c>
      <c r="L39" s="650">
        <v>2540250</v>
      </c>
      <c r="M39" s="89">
        <v>1914194.84</v>
      </c>
      <c r="N39" s="89">
        <f t="shared" si="22"/>
        <v>863685.00000000012</v>
      </c>
      <c r="O39" s="89">
        <v>574676.64</v>
      </c>
      <c r="P39" s="89">
        <f t="shared" si="9"/>
        <v>86368.500000000015</v>
      </c>
      <c r="Q39" s="651">
        <v>299485.34999999998</v>
      </c>
      <c r="R39" s="650">
        <v>3347250</v>
      </c>
      <c r="S39" s="89">
        <v>3036401.82</v>
      </c>
      <c r="T39" s="89">
        <f t="shared" si="23"/>
        <v>2309602.5</v>
      </c>
      <c r="U39" s="89">
        <v>1691902.87</v>
      </c>
      <c r="V39" s="89">
        <f t="shared" si="10"/>
        <v>230960.25</v>
      </c>
      <c r="W39" s="347">
        <v>387720.5</v>
      </c>
      <c r="X39" s="256">
        <v>0.34</v>
      </c>
      <c r="Y39" s="256">
        <v>0.69</v>
      </c>
      <c r="Z39" s="648">
        <v>0.55000000000000004</v>
      </c>
      <c r="AA39" s="89">
        <f t="shared" si="11"/>
        <v>5887500</v>
      </c>
      <c r="AB39" s="89">
        <f t="shared" si="12"/>
        <v>4950596.66</v>
      </c>
      <c r="AC39" s="257">
        <f t="shared" si="13"/>
        <v>0.55000000000000004</v>
      </c>
      <c r="AD39" s="90">
        <f t="shared" si="14"/>
        <v>3238125.0000000005</v>
      </c>
      <c r="AE39" s="89">
        <f t="shared" si="15"/>
        <v>2266579.5100000002</v>
      </c>
      <c r="AF39" s="89">
        <f t="shared" si="16"/>
        <v>687205.85</v>
      </c>
      <c r="AG39" s="270">
        <f t="shared" si="17"/>
        <v>40</v>
      </c>
      <c r="AH39" s="271">
        <f t="shared" si="18"/>
        <v>41.997999027214824</v>
      </c>
      <c r="AI39" s="240">
        <f t="shared" si="19"/>
        <v>81.997999027214831</v>
      </c>
      <c r="AJ39" s="316">
        <v>99.117938474522191</v>
      </c>
      <c r="AK39" s="672">
        <f t="shared" si="24"/>
        <v>-17.11993944730736</v>
      </c>
      <c r="AL39" t="str">
        <f t="shared" si="43"/>
        <v/>
      </c>
      <c r="AM39" s="822"/>
      <c r="AN39" s="108">
        <v>11</v>
      </c>
      <c r="AO39" s="108" t="s">
        <v>129</v>
      </c>
      <c r="AP39" s="108" t="s">
        <v>274</v>
      </c>
      <c r="AQ39" s="109">
        <v>212644800</v>
      </c>
      <c r="AR39" s="109">
        <v>19149.080000000002</v>
      </c>
      <c r="AS39" s="109">
        <v>123962400</v>
      </c>
      <c r="AT39" s="109">
        <v>0</v>
      </c>
      <c r="AU39" s="109">
        <v>12396000</v>
      </c>
      <c r="AV39" s="110">
        <v>0</v>
      </c>
      <c r="BF39" s="375" t="s">
        <v>373</v>
      </c>
      <c r="BG39" s="354">
        <v>34</v>
      </c>
      <c r="BH39" s="354">
        <v>37</v>
      </c>
      <c r="BI39" s="354">
        <v>48</v>
      </c>
      <c r="BJ39" s="354">
        <v>54</v>
      </c>
    </row>
    <row r="40" spans="1:62" ht="11.25" customHeight="1" x14ac:dyDescent="0.2">
      <c r="A40" s="6">
        <v>29</v>
      </c>
      <c r="B40" s="199">
        <v>60369</v>
      </c>
      <c r="C40" s="680" t="s">
        <v>559</v>
      </c>
      <c r="D40" s="173" t="s">
        <v>136</v>
      </c>
      <c r="E40" s="173" t="s">
        <v>136</v>
      </c>
      <c r="F40" s="174" t="s">
        <v>113</v>
      </c>
      <c r="G40" s="179" t="s">
        <v>2</v>
      </c>
      <c r="H40" s="179" t="s">
        <v>575</v>
      </c>
      <c r="I40" s="180" t="s">
        <v>0</v>
      </c>
      <c r="J40" s="181" t="s">
        <v>136</v>
      </c>
      <c r="K40" s="200" t="b">
        <v>0</v>
      </c>
      <c r="L40" s="650">
        <v>5745750</v>
      </c>
      <c r="M40" s="89">
        <v>5323728.3600000003</v>
      </c>
      <c r="N40" s="89">
        <f t="shared" si="22"/>
        <v>1034235</v>
      </c>
      <c r="O40" s="89">
        <v>340839.99</v>
      </c>
      <c r="P40" s="89">
        <f t="shared" si="9"/>
        <v>103423.5</v>
      </c>
      <c r="Q40" s="651">
        <v>328542.48</v>
      </c>
      <c r="R40" s="650">
        <v>7521000</v>
      </c>
      <c r="S40" s="89">
        <v>7054926.54</v>
      </c>
      <c r="T40" s="89">
        <f t="shared" si="23"/>
        <v>4286970</v>
      </c>
      <c r="U40" s="89">
        <v>4397286.21</v>
      </c>
      <c r="V40" s="89">
        <f t="shared" si="10"/>
        <v>428697</v>
      </c>
      <c r="W40" s="347">
        <v>792152.86</v>
      </c>
      <c r="X40" s="256">
        <v>0.18</v>
      </c>
      <c r="Y40" s="256">
        <v>0.56999999999999995</v>
      </c>
      <c r="Z40" s="648">
        <v>0.39</v>
      </c>
      <c r="AA40" s="89">
        <f t="shared" si="11"/>
        <v>13266750</v>
      </c>
      <c r="AB40" s="89">
        <f t="shared" si="12"/>
        <v>12378654.9</v>
      </c>
      <c r="AC40" s="257">
        <f t="shared" si="13"/>
        <v>0.39</v>
      </c>
      <c r="AD40" s="90">
        <f t="shared" si="14"/>
        <v>5174032.5</v>
      </c>
      <c r="AE40" s="89">
        <f t="shared" si="15"/>
        <v>4738126.2</v>
      </c>
      <c r="AF40" s="89">
        <f t="shared" si="16"/>
        <v>1120695.3399999999</v>
      </c>
      <c r="AG40" s="270">
        <f t="shared" si="17"/>
        <v>40</v>
      </c>
      <c r="AH40" s="271">
        <f t="shared" si="18"/>
        <v>54.945068860700047</v>
      </c>
      <c r="AI40" s="240">
        <f t="shared" si="19"/>
        <v>94.945068860700047</v>
      </c>
      <c r="AJ40" s="316">
        <v>93.912366604404156</v>
      </c>
      <c r="AK40" s="672">
        <f t="shared" si="24"/>
        <v>1.0327022562958916</v>
      </c>
      <c r="AL40" t="str">
        <f t="shared" si="43"/>
        <v/>
      </c>
      <c r="AM40" s="822"/>
      <c r="AN40" s="108">
        <v>12</v>
      </c>
      <c r="AO40" s="108" t="s">
        <v>130</v>
      </c>
      <c r="AP40" s="108" t="s">
        <v>275</v>
      </c>
      <c r="AQ40" s="109">
        <v>162747600</v>
      </c>
      <c r="AR40" s="109">
        <v>3473100.5</v>
      </c>
      <c r="AS40" s="109">
        <v>48656400</v>
      </c>
      <c r="AT40" s="109">
        <v>982542.37</v>
      </c>
      <c r="AU40" s="109">
        <v>4866000</v>
      </c>
      <c r="AV40" s="110">
        <v>238631.19</v>
      </c>
      <c r="BF40" s="375" t="s">
        <v>374</v>
      </c>
      <c r="BG40" s="354"/>
      <c r="BH40" s="354"/>
      <c r="BI40" s="354"/>
      <c r="BJ40" s="354"/>
    </row>
    <row r="41" spans="1:62" ht="11.25" customHeight="1" x14ac:dyDescent="0.2">
      <c r="A41" s="6">
        <v>30</v>
      </c>
      <c r="B41" s="199">
        <v>60374</v>
      </c>
      <c r="C41" s="680" t="s">
        <v>560</v>
      </c>
      <c r="D41" s="173" t="s">
        <v>136</v>
      </c>
      <c r="E41" s="173" t="s">
        <v>136</v>
      </c>
      <c r="F41" s="174" t="s">
        <v>113</v>
      </c>
      <c r="G41" s="179" t="s">
        <v>2</v>
      </c>
      <c r="H41" s="179" t="s">
        <v>582</v>
      </c>
      <c r="I41" s="180" t="s">
        <v>0</v>
      </c>
      <c r="J41" s="181" t="s">
        <v>136</v>
      </c>
      <c r="K41" s="200" t="b">
        <v>0</v>
      </c>
      <c r="L41" s="650">
        <v>2235750</v>
      </c>
      <c r="M41" s="89">
        <v>581516.22</v>
      </c>
      <c r="N41" s="89">
        <f t="shared" si="22"/>
        <v>313005.00000000006</v>
      </c>
      <c r="O41" s="89">
        <v>207319.14</v>
      </c>
      <c r="P41" s="89">
        <f t="shared" si="9"/>
        <v>31300.500000000007</v>
      </c>
      <c r="Q41" s="651">
        <v>188714.25</v>
      </c>
      <c r="R41" s="650">
        <v>831750</v>
      </c>
      <c r="S41" s="89">
        <v>741588.92</v>
      </c>
      <c r="T41" s="89">
        <f t="shared" si="23"/>
        <v>133080</v>
      </c>
      <c r="U41" s="89">
        <v>96808.78</v>
      </c>
      <c r="V41" s="89">
        <f t="shared" si="10"/>
        <v>13308</v>
      </c>
      <c r="W41" s="347">
        <v>18604.54</v>
      </c>
      <c r="X41" s="256">
        <v>0.14000000000000001</v>
      </c>
      <c r="Y41" s="256">
        <v>0.16</v>
      </c>
      <c r="Z41" s="648">
        <v>0.14000000000000001</v>
      </c>
      <c r="AA41" s="89">
        <f t="shared" si="11"/>
        <v>3067500</v>
      </c>
      <c r="AB41" s="89">
        <f t="shared" si="12"/>
        <v>1323105.1400000001</v>
      </c>
      <c r="AC41" s="257">
        <f t="shared" si="13"/>
        <v>0.14000000000000001</v>
      </c>
      <c r="AD41" s="90">
        <f t="shared" si="14"/>
        <v>429450.00000000006</v>
      </c>
      <c r="AE41" s="89">
        <f t="shared" si="15"/>
        <v>304127.92000000004</v>
      </c>
      <c r="AF41" s="89">
        <f t="shared" si="16"/>
        <v>207318.79</v>
      </c>
      <c r="AG41" s="270">
        <f t="shared" si="17"/>
        <v>21.566505949470255</v>
      </c>
      <c r="AH41" s="271">
        <f t="shared" si="18"/>
        <v>42.490802654558152</v>
      </c>
      <c r="AI41" s="240">
        <f t="shared" si="19"/>
        <v>64.057308604028407</v>
      </c>
      <c r="AJ41" s="316">
        <v>74.725015442481009</v>
      </c>
      <c r="AK41" s="672">
        <f t="shared" si="24"/>
        <v>-10.667706838452602</v>
      </c>
      <c r="AL41" t="str">
        <f t="shared" si="43"/>
        <v/>
      </c>
      <c r="AM41" s="822"/>
      <c r="AN41" s="108">
        <v>13</v>
      </c>
      <c r="AO41" s="108" t="s">
        <v>127</v>
      </c>
      <c r="AP41" s="108" t="s">
        <v>276</v>
      </c>
      <c r="AQ41" s="109">
        <v>789925320</v>
      </c>
      <c r="AR41" s="109">
        <v>80488992.180000007</v>
      </c>
      <c r="AS41" s="109">
        <v>247246632</v>
      </c>
      <c r="AT41" s="109">
        <v>22315432.960000001</v>
      </c>
      <c r="AU41" s="109">
        <v>24724680</v>
      </c>
      <c r="AV41" s="110">
        <v>6710920.1299999999</v>
      </c>
      <c r="BF41" s="375" t="s">
        <v>393</v>
      </c>
      <c r="BG41" s="354"/>
      <c r="BH41" s="354"/>
      <c r="BI41" s="354"/>
      <c r="BJ41" s="354"/>
    </row>
    <row r="42" spans="1:62" ht="11.25" customHeight="1" x14ac:dyDescent="0.2">
      <c r="A42" s="6">
        <v>31</v>
      </c>
      <c r="B42" s="199">
        <v>60376</v>
      </c>
      <c r="C42" s="680" t="s">
        <v>585</v>
      </c>
      <c r="D42" s="173" t="s">
        <v>136</v>
      </c>
      <c r="E42" s="173" t="s">
        <v>136</v>
      </c>
      <c r="F42" s="174" t="s">
        <v>14</v>
      </c>
      <c r="G42" s="179" t="s">
        <v>1</v>
      </c>
      <c r="H42" s="179" t="s">
        <v>577</v>
      </c>
      <c r="I42" s="180" t="s">
        <v>0</v>
      </c>
      <c r="J42" s="181" t="s">
        <v>136</v>
      </c>
      <c r="K42" s="200" t="b">
        <v>0</v>
      </c>
      <c r="L42" s="650">
        <v>12722393.25</v>
      </c>
      <c r="M42" s="89">
        <v>7478572.7300000004</v>
      </c>
      <c r="N42" s="89">
        <f t="shared" si="22"/>
        <v>763343.59499999997</v>
      </c>
      <c r="O42" s="89">
        <v>536281.11</v>
      </c>
      <c r="P42" s="89">
        <f t="shared" si="9"/>
        <v>76334.359500000006</v>
      </c>
      <c r="Q42" s="651">
        <v>347058.99</v>
      </c>
      <c r="R42" s="650">
        <v>549750</v>
      </c>
      <c r="S42" s="89">
        <v>749579.66</v>
      </c>
      <c r="T42" s="89">
        <f t="shared" si="23"/>
        <v>164925</v>
      </c>
      <c r="U42" s="89">
        <v>92396.84</v>
      </c>
      <c r="V42" s="89">
        <f t="shared" si="10"/>
        <v>16492.5</v>
      </c>
      <c r="W42" s="347">
        <v>54004.21</v>
      </c>
      <c r="X42" s="256">
        <v>0.06</v>
      </c>
      <c r="Y42" s="256">
        <v>0.3</v>
      </c>
      <c r="Z42" s="648">
        <v>7.0000000000000007E-2</v>
      </c>
      <c r="AA42" s="89">
        <f t="shared" si="11"/>
        <v>13272143.25</v>
      </c>
      <c r="AB42" s="89">
        <f t="shared" si="12"/>
        <v>8228152.3900000006</v>
      </c>
      <c r="AC42" s="257">
        <f t="shared" si="13"/>
        <v>7.0000000000000007E-2</v>
      </c>
      <c r="AD42" s="90">
        <f t="shared" si="14"/>
        <v>929050.02750000008</v>
      </c>
      <c r="AE42" s="89">
        <f t="shared" si="15"/>
        <v>628677.94999999995</v>
      </c>
      <c r="AF42" s="89">
        <f t="shared" si="16"/>
        <v>401063.2</v>
      </c>
      <c r="AG42" s="270">
        <f t="shared" si="17"/>
        <v>30.997828440406565</v>
      </c>
      <c r="AH42" s="271">
        <f t="shared" si="18"/>
        <v>40.601341029506614</v>
      </c>
      <c r="AI42" s="240">
        <f t="shared" si="19"/>
        <v>71.599169469913178</v>
      </c>
      <c r="AJ42" s="316">
        <v>80.813779591300388</v>
      </c>
      <c r="AK42" s="672">
        <f t="shared" si="24"/>
        <v>-9.21461012138721</v>
      </c>
      <c r="AL42" t="str">
        <f t="shared" si="43"/>
        <v/>
      </c>
      <c r="AM42" s="822"/>
      <c r="AN42" s="108">
        <v>14</v>
      </c>
      <c r="AO42" s="108" t="s">
        <v>128</v>
      </c>
      <c r="AP42" s="108" t="s">
        <v>277</v>
      </c>
      <c r="AQ42" s="109">
        <v>163010400</v>
      </c>
      <c r="AR42" s="109">
        <v>64322722.450000003</v>
      </c>
      <c r="AS42" s="109">
        <v>130408800</v>
      </c>
      <c r="AT42" s="109">
        <v>48197442.649999999</v>
      </c>
      <c r="AU42" s="109">
        <v>13041600</v>
      </c>
      <c r="AV42" s="110">
        <v>8281009.4299999997</v>
      </c>
      <c r="BF42" s="376" t="s">
        <v>395</v>
      </c>
      <c r="BG42" s="355"/>
      <c r="BH42" s="355"/>
      <c r="BI42" s="355"/>
      <c r="BJ42" s="355"/>
    </row>
    <row r="43" spans="1:62" ht="11.25" customHeight="1" x14ac:dyDescent="0.2">
      <c r="A43" s="187">
        <v>32</v>
      </c>
      <c r="B43" s="683">
        <v>69167</v>
      </c>
      <c r="C43" s="684" t="s">
        <v>586</v>
      </c>
      <c r="D43" s="685" t="s">
        <v>136</v>
      </c>
      <c r="E43" s="685" t="s">
        <v>136</v>
      </c>
      <c r="F43" s="686" t="s">
        <v>113</v>
      </c>
      <c r="G43" s="687" t="s">
        <v>1</v>
      </c>
      <c r="H43" s="687" t="s">
        <v>575</v>
      </c>
      <c r="I43" s="688" t="s">
        <v>0</v>
      </c>
      <c r="J43" s="689" t="s">
        <v>136</v>
      </c>
      <c r="K43" s="690" t="b">
        <v>0</v>
      </c>
      <c r="L43" s="691">
        <v>0</v>
      </c>
      <c r="M43" s="691">
        <v>0</v>
      </c>
      <c r="N43" s="691">
        <f t="shared" si="22"/>
        <v>0</v>
      </c>
      <c r="O43" s="691">
        <v>0</v>
      </c>
      <c r="P43" s="691">
        <f t="shared" si="9"/>
        <v>0</v>
      </c>
      <c r="Q43" s="692">
        <v>0</v>
      </c>
      <c r="R43" s="691">
        <v>0</v>
      </c>
      <c r="S43" s="691">
        <v>0</v>
      </c>
      <c r="T43" s="691">
        <f t="shared" si="23"/>
        <v>0</v>
      </c>
      <c r="U43" s="691">
        <v>0</v>
      </c>
      <c r="V43" s="691">
        <f t="shared" si="10"/>
        <v>0</v>
      </c>
      <c r="W43" s="692">
        <v>0</v>
      </c>
      <c r="X43" s="693">
        <v>0</v>
      </c>
      <c r="Y43" s="693">
        <v>0</v>
      </c>
      <c r="Z43" s="694">
        <v>0</v>
      </c>
      <c r="AA43" s="695">
        <f t="shared" ref="AA43:AA74" si="44">IF(jakaKS=1,L43+R43,IF(jakaKS=2,L43,IF(jakaKS=3,R43,0)))</f>
        <v>0</v>
      </c>
      <c r="AB43" s="695">
        <f t="shared" ref="AB43:AB74" si="45">IF(jakaKS=1,M43+S43,IF(jakaKS=2,M43,IF(jakaKS=3,S43,0)))+IF(uspora="A",IF(jakaKS=1,Q43+W43,IF(jakaKS=2,Q43,IF(jakaKS=3,W43,0))),0)</f>
        <v>0</v>
      </c>
      <c r="AC43" s="693">
        <f t="shared" ref="AC43:AC74" si="46">IF(jakaKS=1,Z43,IF(jakaKS=2,X43,IF(jakaKS=3,Y43,0)))</f>
        <v>0</v>
      </c>
      <c r="AD43" s="695">
        <f t="shared" ref="AD43:AD74" si="47">IF(jakaKS=1,AA43*Z43,IF(jakaKS=2,N43,IF(jakaKS=3,T43,0)))</f>
        <v>0</v>
      </c>
      <c r="AE43" s="695">
        <f t="shared" ref="AE43:AE74" si="48">IF(jakaKS=1,O43+U43,IF(jakaKS=2,O43,IF(jakaKS=3,U43,0)))+IF(uspora="A",IF(jakaKS=1,Q43+W43,IF(jakaKS=2,Q43,IF(jakaKS=3,W43,0))),0)</f>
        <v>0</v>
      </c>
      <c r="AF43" s="695">
        <f t="shared" ref="AF43:AF74" si="49">IF(jakaKS=1,Q43+W43,IF(jakaKS=2,Q43,IF(jakaKS=3,W43,0)))</f>
        <v>0</v>
      </c>
      <c r="AG43" s="270" t="e">
        <f t="shared" si="17"/>
        <v>#DIV/0!</v>
      </c>
      <c r="AH43" s="673" t="e">
        <f t="shared" si="18"/>
        <v>#DIV/0!</v>
      </c>
      <c r="AI43" s="240" t="e">
        <f t="shared" si="19"/>
        <v>#DIV/0!</v>
      </c>
      <c r="AJ43" s="316">
        <v>56.592531558298404</v>
      </c>
      <c r="AK43" s="672" t="e">
        <f t="shared" si="24"/>
        <v>#DIV/0!</v>
      </c>
      <c r="AL43" t="str">
        <f t="shared" si="43"/>
        <v/>
      </c>
      <c r="AM43" s="822"/>
      <c r="AN43" s="108">
        <v>15</v>
      </c>
      <c r="AO43" s="108" t="s">
        <v>131</v>
      </c>
      <c r="AP43" s="108" t="s">
        <v>278</v>
      </c>
      <c r="AQ43" s="109">
        <v>177337680</v>
      </c>
      <c r="AR43" s="109">
        <v>125401961.3</v>
      </c>
      <c r="AS43" s="109">
        <v>51445656</v>
      </c>
      <c r="AT43" s="109">
        <v>73842300.569999993</v>
      </c>
      <c r="AU43" s="109">
        <v>5144520</v>
      </c>
      <c r="AV43" s="110">
        <v>124188.8</v>
      </c>
    </row>
    <row r="44" spans="1:62" ht="11.25" customHeight="1" x14ac:dyDescent="0.2">
      <c r="A44" s="6">
        <v>33</v>
      </c>
      <c r="B44" s="199">
        <v>69166</v>
      </c>
      <c r="C44" s="680" t="s">
        <v>587</v>
      </c>
      <c r="D44" s="173" t="s">
        <v>136</v>
      </c>
      <c r="E44" s="173" t="s">
        <v>136</v>
      </c>
      <c r="F44" s="174" t="s">
        <v>113</v>
      </c>
      <c r="G44" s="179" t="s">
        <v>2</v>
      </c>
      <c r="H44" s="179" t="s">
        <v>5</v>
      </c>
      <c r="I44" s="180" t="s">
        <v>0</v>
      </c>
      <c r="J44" s="181" t="s">
        <v>136</v>
      </c>
      <c r="K44" s="200" t="b">
        <v>0</v>
      </c>
      <c r="L44" s="650">
        <v>395983.5</v>
      </c>
      <c r="M44" s="89">
        <v>0</v>
      </c>
      <c r="N44" s="89">
        <f t="shared" si="22"/>
        <v>0</v>
      </c>
      <c r="O44" s="89">
        <v>0</v>
      </c>
      <c r="P44" s="89">
        <f t="shared" si="9"/>
        <v>0</v>
      </c>
      <c r="Q44" s="651">
        <v>0</v>
      </c>
      <c r="R44" s="650">
        <v>108000</v>
      </c>
      <c r="S44" s="89">
        <v>0</v>
      </c>
      <c r="T44" s="89">
        <f t="shared" si="23"/>
        <v>8553.6</v>
      </c>
      <c r="U44" s="89">
        <v>0</v>
      </c>
      <c r="V44" s="89">
        <f t="shared" si="10"/>
        <v>855.36000000000013</v>
      </c>
      <c r="W44" s="347">
        <v>0</v>
      </c>
      <c r="X44" s="699">
        <v>0</v>
      </c>
      <c r="Y44" s="699">
        <v>7.9200000000000007E-2</v>
      </c>
      <c r="Z44" s="700">
        <v>1.7000000000000001E-2</v>
      </c>
      <c r="AA44" s="187">
        <f t="shared" si="44"/>
        <v>503983.5</v>
      </c>
      <c r="AB44" s="187">
        <f t="shared" si="45"/>
        <v>0</v>
      </c>
      <c r="AC44" s="257">
        <f t="shared" si="46"/>
        <v>1.7000000000000001E-2</v>
      </c>
      <c r="AD44" s="90">
        <f t="shared" si="47"/>
        <v>8567.7195000000011</v>
      </c>
      <c r="AE44" s="187">
        <f t="shared" si="48"/>
        <v>0</v>
      </c>
      <c r="AF44" s="89">
        <f t="shared" si="49"/>
        <v>0</v>
      </c>
      <c r="AG44" s="270">
        <f t="shared" si="17"/>
        <v>0</v>
      </c>
      <c r="AH44" s="271">
        <f t="shared" si="18"/>
        <v>0</v>
      </c>
      <c r="AI44" s="240">
        <f t="shared" si="19"/>
        <v>0</v>
      </c>
      <c r="AJ44" s="316" t="e">
        <v>#DIV/0!</v>
      </c>
      <c r="AK44" s="672" t="e">
        <f t="shared" si="24"/>
        <v>#DIV/0!</v>
      </c>
      <c r="AL44">
        <f t="shared" si="43"/>
        <v>32</v>
      </c>
      <c r="AM44" s="822"/>
      <c r="AN44" s="103">
        <v>19</v>
      </c>
      <c r="AO44" s="103" t="s">
        <v>133</v>
      </c>
      <c r="AP44" s="103" t="s">
        <v>279</v>
      </c>
      <c r="AQ44" s="104">
        <v>1261197600</v>
      </c>
      <c r="AR44" s="104">
        <v>244920.87</v>
      </c>
      <c r="AS44" s="104">
        <v>464400</v>
      </c>
      <c r="AT44" s="104">
        <v>0</v>
      </c>
      <c r="AU44" s="104">
        <v>46800</v>
      </c>
      <c r="AV44" s="105">
        <v>0</v>
      </c>
    </row>
    <row r="45" spans="1:62" ht="11.25" customHeight="1" x14ac:dyDescent="0.2">
      <c r="A45" s="6">
        <v>34</v>
      </c>
      <c r="B45" s="199">
        <v>60377</v>
      </c>
      <c r="C45" s="680" t="s">
        <v>561</v>
      </c>
      <c r="D45" s="173" t="s">
        <v>136</v>
      </c>
      <c r="E45" s="173" t="s">
        <v>136</v>
      </c>
      <c r="F45" s="174" t="s">
        <v>113</v>
      </c>
      <c r="G45" s="179" t="s">
        <v>2</v>
      </c>
      <c r="H45" s="179" t="s">
        <v>577</v>
      </c>
      <c r="I45" s="180" t="s">
        <v>0</v>
      </c>
      <c r="J45" s="181" t="s">
        <v>136</v>
      </c>
      <c r="K45" s="200" t="b">
        <v>0</v>
      </c>
      <c r="L45" s="650">
        <v>18088500</v>
      </c>
      <c r="M45" s="89">
        <v>18461811.52</v>
      </c>
      <c r="N45" s="89">
        <f t="shared" si="22"/>
        <v>728723.10088004614</v>
      </c>
      <c r="O45" s="89">
        <v>631992.51</v>
      </c>
      <c r="P45" s="89">
        <f t="shared" si="9"/>
        <v>72872.310088004611</v>
      </c>
      <c r="Q45" s="651">
        <v>220024.53</v>
      </c>
      <c r="R45" s="650">
        <v>860250</v>
      </c>
      <c r="S45" s="89">
        <v>893532.82</v>
      </c>
      <c r="T45" s="89">
        <f t="shared" si="23"/>
        <v>122721.87929409063</v>
      </c>
      <c r="U45" s="89">
        <v>64436.76</v>
      </c>
      <c r="V45" s="89">
        <f t="shared" si="10"/>
        <v>12272.187929409063</v>
      </c>
      <c r="W45" s="347">
        <v>12438.32</v>
      </c>
      <c r="X45" s="256">
        <v>4.0286541221220454E-2</v>
      </c>
      <c r="Y45" s="256">
        <v>0.14265838918231982</v>
      </c>
      <c r="Z45" s="648">
        <v>5.6847087967705823E-2</v>
      </c>
      <c r="AA45" s="187">
        <f t="shared" si="44"/>
        <v>18948750</v>
      </c>
      <c r="AB45" s="187">
        <f t="shared" si="45"/>
        <v>19355344.34</v>
      </c>
      <c r="AC45" s="257">
        <f t="shared" si="46"/>
        <v>5.6847087967705823E-2</v>
      </c>
      <c r="AD45" s="90">
        <f t="shared" si="47"/>
        <v>1077181.2581280656</v>
      </c>
      <c r="AE45" s="187">
        <f t="shared" si="48"/>
        <v>696429.27</v>
      </c>
      <c r="AF45" s="89">
        <f t="shared" si="49"/>
        <v>232462.85</v>
      </c>
      <c r="AG45" s="270">
        <f t="shared" si="17"/>
        <v>40</v>
      </c>
      <c r="AH45" s="271">
        <f t="shared" si="18"/>
        <v>38.791759404183864</v>
      </c>
      <c r="AI45" s="240">
        <f t="shared" si="19"/>
        <v>78.791759404183864</v>
      </c>
      <c r="AJ45" s="316">
        <v>100</v>
      </c>
      <c r="AK45" s="672">
        <f t="shared" si="24"/>
        <v>-21.208240595816136</v>
      </c>
      <c r="AM45" s="823"/>
      <c r="AN45" s="111">
        <v>20</v>
      </c>
      <c r="AO45" s="111" t="s">
        <v>134</v>
      </c>
      <c r="AP45" s="111" t="s">
        <v>280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113">
        <v>0</v>
      </c>
    </row>
    <row r="46" spans="1:62" ht="11.25" customHeight="1" x14ac:dyDescent="0.2">
      <c r="A46" s="6">
        <v>35</v>
      </c>
      <c r="B46" s="199">
        <v>60378</v>
      </c>
      <c r="C46" s="680" t="s">
        <v>562</v>
      </c>
      <c r="D46" s="173" t="s">
        <v>136</v>
      </c>
      <c r="E46" s="173" t="s">
        <v>136</v>
      </c>
      <c r="F46" s="174" t="s">
        <v>113</v>
      </c>
      <c r="G46" s="179" t="s">
        <v>2</v>
      </c>
      <c r="H46" s="179" t="s">
        <v>577</v>
      </c>
      <c r="I46" s="180" t="s">
        <v>0</v>
      </c>
      <c r="J46" s="181" t="s">
        <v>136</v>
      </c>
      <c r="K46" s="200" t="b">
        <v>0</v>
      </c>
      <c r="L46" s="650">
        <v>5358750</v>
      </c>
      <c r="M46" s="89">
        <v>3629248.15</v>
      </c>
      <c r="N46" s="89">
        <f t="shared" si="22"/>
        <v>1028317.8868967722</v>
      </c>
      <c r="O46" s="89">
        <v>824656</v>
      </c>
      <c r="P46" s="89">
        <f t="shared" si="9"/>
        <v>102831.78868967723</v>
      </c>
      <c r="Q46" s="651">
        <v>658609.92000000004</v>
      </c>
      <c r="R46" s="650">
        <v>4464525</v>
      </c>
      <c r="S46" s="89">
        <v>3711983.14</v>
      </c>
      <c r="T46" s="89">
        <f t="shared" si="23"/>
        <v>1263730.3755605419</v>
      </c>
      <c r="U46" s="89">
        <v>1852202.74</v>
      </c>
      <c r="V46" s="89">
        <f t="shared" si="10"/>
        <v>126373.03755605419</v>
      </c>
      <c r="W46" s="347">
        <v>1093436.17</v>
      </c>
      <c r="X46" s="256">
        <v>0.19189510368962392</v>
      </c>
      <c r="Y46" s="256">
        <v>0.28306043208640153</v>
      </c>
      <c r="Z46" s="648">
        <v>0.23924987180665169</v>
      </c>
      <c r="AA46" s="187">
        <f t="shared" si="44"/>
        <v>9823275</v>
      </c>
      <c r="AB46" s="187">
        <f t="shared" si="45"/>
        <v>7341231.29</v>
      </c>
      <c r="AC46" s="257">
        <f t="shared" si="46"/>
        <v>0.23924987180665169</v>
      </c>
      <c r="AD46" s="90">
        <f t="shared" si="47"/>
        <v>2350217.2844714862</v>
      </c>
      <c r="AE46" s="187">
        <f t="shared" si="48"/>
        <v>2676858.7400000002</v>
      </c>
      <c r="AF46" s="89">
        <f t="shared" si="49"/>
        <v>1752046.0899999999</v>
      </c>
      <c r="AG46" s="270">
        <f t="shared" si="17"/>
        <v>37.366516207680228</v>
      </c>
      <c r="AH46" s="271">
        <f t="shared" si="18"/>
        <v>60</v>
      </c>
      <c r="AI46" s="240">
        <f t="shared" si="19"/>
        <v>97.366516207680235</v>
      </c>
      <c r="AJ46" s="316">
        <v>91.128250714875151</v>
      </c>
      <c r="AK46" s="672">
        <f t="shared" si="24"/>
        <v>6.238265492805084</v>
      </c>
      <c r="AL46" t="str">
        <f t="shared" ref="AL46:AL52" si="50">IF($M45=AL$11,$A45,"")</f>
        <v/>
      </c>
      <c r="AM46" s="821">
        <v>2012</v>
      </c>
      <c r="AN46" s="99">
        <v>1</v>
      </c>
      <c r="AO46" s="99" t="s">
        <v>123</v>
      </c>
      <c r="AP46" s="99" t="s">
        <v>269</v>
      </c>
      <c r="AQ46" s="101">
        <v>384177600</v>
      </c>
      <c r="AR46" s="101">
        <v>230186937.31999999</v>
      </c>
      <c r="AS46" s="101">
        <v>192088800</v>
      </c>
      <c r="AT46" s="101">
        <v>121436724</v>
      </c>
      <c r="AU46" s="101">
        <v>19208400</v>
      </c>
      <c r="AV46" s="102">
        <v>28061724</v>
      </c>
    </row>
    <row r="47" spans="1:62" ht="11.25" customHeight="1" x14ac:dyDescent="0.2">
      <c r="A47" s="6">
        <v>36</v>
      </c>
      <c r="B47" s="199">
        <v>60380</v>
      </c>
      <c r="C47" s="680" t="s">
        <v>588</v>
      </c>
      <c r="D47" s="173" t="s">
        <v>136</v>
      </c>
      <c r="E47" s="173" t="s">
        <v>136</v>
      </c>
      <c r="F47" s="174" t="s">
        <v>14</v>
      </c>
      <c r="G47" s="179" t="s">
        <v>1</v>
      </c>
      <c r="H47" s="179" t="s">
        <v>444</v>
      </c>
      <c r="I47" s="180" t="s">
        <v>0</v>
      </c>
      <c r="J47" s="181" t="s">
        <v>136</v>
      </c>
      <c r="K47" s="200" t="b">
        <v>0</v>
      </c>
      <c r="L47" s="650">
        <v>2406000</v>
      </c>
      <c r="M47" s="89">
        <v>1596449.98</v>
      </c>
      <c r="N47" s="89">
        <f t="shared" si="22"/>
        <v>842100</v>
      </c>
      <c r="O47" s="89">
        <v>844149.42</v>
      </c>
      <c r="P47" s="89">
        <f t="shared" si="9"/>
        <v>84210</v>
      </c>
      <c r="Q47" s="651">
        <v>371248.47</v>
      </c>
      <c r="R47" s="650">
        <v>838500</v>
      </c>
      <c r="S47" s="89">
        <v>509456.88</v>
      </c>
      <c r="T47" s="89">
        <f t="shared" si="23"/>
        <v>83850</v>
      </c>
      <c r="U47" s="89">
        <v>19699</v>
      </c>
      <c r="V47" s="89">
        <f t="shared" si="10"/>
        <v>8385</v>
      </c>
      <c r="W47" s="347">
        <v>5122.34</v>
      </c>
      <c r="X47" s="256">
        <v>0.35</v>
      </c>
      <c r="Y47" s="256">
        <v>0.1</v>
      </c>
      <c r="Z47" s="648">
        <v>0.3</v>
      </c>
      <c r="AA47" s="187">
        <f t="shared" si="44"/>
        <v>3244500</v>
      </c>
      <c r="AB47" s="187">
        <f t="shared" si="45"/>
        <v>2105906.86</v>
      </c>
      <c r="AC47" s="257">
        <f t="shared" si="46"/>
        <v>0.3</v>
      </c>
      <c r="AD47" s="90">
        <f t="shared" si="47"/>
        <v>973350</v>
      </c>
      <c r="AE47" s="187">
        <f t="shared" si="48"/>
        <v>863848.42</v>
      </c>
      <c r="AF47" s="89">
        <f t="shared" si="49"/>
        <v>376370.81</v>
      </c>
      <c r="AG47" s="270">
        <f t="shared" si="17"/>
        <v>32.453488364925256</v>
      </c>
      <c r="AH47" s="271">
        <f t="shared" si="18"/>
        <v>53.250018184620124</v>
      </c>
      <c r="AI47" s="240">
        <f t="shared" si="19"/>
        <v>85.703506549545381</v>
      </c>
      <c r="AJ47" s="316">
        <v>99.195624954918131</v>
      </c>
      <c r="AK47" s="672">
        <f t="shared" si="24"/>
        <v>-13.49211840537275</v>
      </c>
      <c r="AL47" t="str">
        <f t="shared" si="50"/>
        <v/>
      </c>
      <c r="AM47" s="822"/>
      <c r="AN47" s="103">
        <v>2</v>
      </c>
      <c r="AO47" s="103" t="s">
        <v>124</v>
      </c>
      <c r="AP47" s="103" t="s">
        <v>270</v>
      </c>
      <c r="AQ47" s="104">
        <v>73844400</v>
      </c>
      <c r="AR47" s="104">
        <v>63688020.07</v>
      </c>
      <c r="AS47" s="104">
        <v>59074800</v>
      </c>
      <c r="AT47" s="104">
        <v>41653416</v>
      </c>
      <c r="AU47" s="104">
        <v>5907600</v>
      </c>
      <c r="AV47" s="105">
        <v>6280332</v>
      </c>
    </row>
    <row r="48" spans="1:62" ht="11.25" customHeight="1" x14ac:dyDescent="0.2">
      <c r="A48" s="6">
        <v>37</v>
      </c>
      <c r="B48" s="199">
        <v>60381</v>
      </c>
      <c r="C48" s="680" t="s">
        <v>141</v>
      </c>
      <c r="D48" s="173" t="s">
        <v>136</v>
      </c>
      <c r="E48" s="173" t="s">
        <v>136</v>
      </c>
      <c r="F48" s="174" t="s">
        <v>113</v>
      </c>
      <c r="G48" s="179" t="s">
        <v>4</v>
      </c>
      <c r="H48" s="179" t="s">
        <v>294</v>
      </c>
      <c r="I48" s="182" t="s">
        <v>7</v>
      </c>
      <c r="J48" s="181" t="s">
        <v>136</v>
      </c>
      <c r="K48" s="200" t="b">
        <v>0</v>
      </c>
      <c r="L48" s="650">
        <v>559875</v>
      </c>
      <c r="M48" s="89">
        <v>553528.59</v>
      </c>
      <c r="N48" s="89">
        <f t="shared" si="22"/>
        <v>38911.3125</v>
      </c>
      <c r="O48" s="89">
        <v>68313.87</v>
      </c>
      <c r="P48" s="89">
        <f t="shared" si="9"/>
        <v>3891.1312500000004</v>
      </c>
      <c r="Q48" s="651">
        <v>30452.76</v>
      </c>
      <c r="R48" s="650">
        <v>949125</v>
      </c>
      <c r="S48" s="89">
        <v>662987.01</v>
      </c>
      <c r="T48" s="89">
        <f t="shared" si="23"/>
        <v>486426.56249999994</v>
      </c>
      <c r="U48" s="89">
        <v>413314.7</v>
      </c>
      <c r="V48" s="89">
        <f t="shared" si="10"/>
        <v>48642.65625</v>
      </c>
      <c r="W48" s="347">
        <v>89353.81</v>
      </c>
      <c r="X48" s="256">
        <v>6.9500000000000006E-2</v>
      </c>
      <c r="Y48" s="256">
        <v>0.51249999999999996</v>
      </c>
      <c r="Z48" s="648">
        <v>0.24970000000000001</v>
      </c>
      <c r="AA48" s="187">
        <f t="shared" si="44"/>
        <v>1509000</v>
      </c>
      <c r="AB48" s="187">
        <f t="shared" si="45"/>
        <v>1216515.6000000001</v>
      </c>
      <c r="AC48" s="257">
        <f t="shared" si="46"/>
        <v>0.24970000000000001</v>
      </c>
      <c r="AD48" s="90">
        <f t="shared" si="47"/>
        <v>376797.3</v>
      </c>
      <c r="AE48" s="187">
        <f t="shared" si="48"/>
        <v>481628.57</v>
      </c>
      <c r="AF48" s="89">
        <f t="shared" si="49"/>
        <v>119806.56999999999</v>
      </c>
      <c r="AG48" s="270">
        <f t="shared" si="17"/>
        <v>40</v>
      </c>
      <c r="AH48" s="271">
        <f t="shared" si="18"/>
        <v>60</v>
      </c>
      <c r="AI48" s="240">
        <f t="shared" si="19"/>
        <v>100</v>
      </c>
      <c r="AJ48" s="316">
        <v>100</v>
      </c>
      <c r="AK48" s="672">
        <f t="shared" si="24"/>
        <v>0</v>
      </c>
      <c r="AL48" t="str">
        <f t="shared" si="50"/>
        <v/>
      </c>
      <c r="AM48" s="822"/>
      <c r="AN48" s="103">
        <v>3</v>
      </c>
      <c r="AO48" s="103" t="s">
        <v>125</v>
      </c>
      <c r="AP48" s="103" t="s">
        <v>271</v>
      </c>
      <c r="AQ48" s="104">
        <v>67322400</v>
      </c>
      <c r="AR48" s="104">
        <v>15641117.58</v>
      </c>
      <c r="AS48" s="104">
        <v>47126400</v>
      </c>
      <c r="AT48" s="104">
        <v>1276560</v>
      </c>
      <c r="AU48" s="104">
        <v>4712400</v>
      </c>
      <c r="AV48" s="105">
        <v>8810880</v>
      </c>
    </row>
    <row r="49" spans="1:48" ht="11.25" customHeight="1" x14ac:dyDescent="0.2">
      <c r="A49" s="6">
        <v>38</v>
      </c>
      <c r="B49" s="199">
        <v>60383</v>
      </c>
      <c r="C49" s="680" t="s">
        <v>563</v>
      </c>
      <c r="D49" s="173" t="s">
        <v>136</v>
      </c>
      <c r="E49" s="173" t="s">
        <v>136</v>
      </c>
      <c r="F49" s="174" t="s">
        <v>14</v>
      </c>
      <c r="G49" s="179" t="s">
        <v>4</v>
      </c>
      <c r="H49" s="179" t="s">
        <v>293</v>
      </c>
      <c r="I49" s="180" t="s">
        <v>9</v>
      </c>
      <c r="J49" s="181" t="s">
        <v>136</v>
      </c>
      <c r="K49" s="200" t="b">
        <v>0</v>
      </c>
      <c r="L49" s="650">
        <v>5265750</v>
      </c>
      <c r="M49" s="89">
        <v>0</v>
      </c>
      <c r="N49" s="89">
        <f t="shared" si="22"/>
        <v>362209.3455293912</v>
      </c>
      <c r="O49" s="89">
        <v>214371.99</v>
      </c>
      <c r="P49" s="89">
        <f t="shared" si="9"/>
        <v>36220.934552939121</v>
      </c>
      <c r="Q49" s="651">
        <v>181634.58</v>
      </c>
      <c r="R49" s="650">
        <v>2584500</v>
      </c>
      <c r="S49" s="89">
        <v>20322.240000000002</v>
      </c>
      <c r="T49" s="89">
        <f t="shared" si="23"/>
        <v>55597.211158217557</v>
      </c>
      <c r="U49" s="89">
        <v>17353</v>
      </c>
      <c r="V49" s="89">
        <f t="shared" si="10"/>
        <v>5559.721115821756</v>
      </c>
      <c r="W49" s="347">
        <v>6135.52</v>
      </c>
      <c r="X49" s="256">
        <v>6.8785898595526029E-2</v>
      </c>
      <c r="Y49" s="256">
        <v>2.1511786093332388E-2</v>
      </c>
      <c r="Z49" s="648">
        <v>5.5250729854665399E-2</v>
      </c>
      <c r="AA49" s="187">
        <f t="shared" si="44"/>
        <v>7850250</v>
      </c>
      <c r="AB49" s="187">
        <f t="shared" si="45"/>
        <v>20322.240000000002</v>
      </c>
      <c r="AC49" s="257">
        <f t="shared" si="46"/>
        <v>5.5250729854665399E-2</v>
      </c>
      <c r="AD49" s="90">
        <f t="shared" si="47"/>
        <v>433732.04204158706</v>
      </c>
      <c r="AE49" s="187">
        <f t="shared" si="48"/>
        <v>231724.99</v>
      </c>
      <c r="AF49" s="89">
        <f t="shared" si="49"/>
        <v>187770.09999999998</v>
      </c>
      <c r="AG49" s="270">
        <f t="shared" si="17"/>
        <v>0.12943689691411103</v>
      </c>
      <c r="AH49" s="271">
        <f t="shared" si="18"/>
        <v>32.055504441304123</v>
      </c>
      <c r="AI49" s="240">
        <f t="shared" si="19"/>
        <v>32.184941338218231</v>
      </c>
      <c r="AJ49" s="316">
        <v>50.351264784957692</v>
      </c>
      <c r="AK49" s="672">
        <f t="shared" si="24"/>
        <v>-18.166323446739462</v>
      </c>
      <c r="AL49" t="str">
        <f t="shared" si="50"/>
        <v/>
      </c>
      <c r="AM49" s="822"/>
      <c r="AN49" s="103">
        <v>4</v>
      </c>
      <c r="AO49" s="103" t="s">
        <v>132</v>
      </c>
      <c r="AP49" s="103" t="s">
        <v>272</v>
      </c>
      <c r="AQ49" s="104">
        <v>582636000</v>
      </c>
      <c r="AR49" s="104">
        <v>867613600.74000001</v>
      </c>
      <c r="AS49" s="104">
        <v>174790800</v>
      </c>
      <c r="AT49" s="104">
        <v>10968503.52</v>
      </c>
      <c r="AU49" s="104">
        <v>17479200</v>
      </c>
      <c r="AV49" s="105">
        <v>6897984.2999999998</v>
      </c>
    </row>
    <row r="50" spans="1:48" ht="11.25" customHeight="1" x14ac:dyDescent="0.2">
      <c r="A50" s="6">
        <v>39</v>
      </c>
      <c r="B50" s="199">
        <v>60384</v>
      </c>
      <c r="C50" s="680" t="s">
        <v>564</v>
      </c>
      <c r="D50" s="173" t="s">
        <v>136</v>
      </c>
      <c r="E50" s="173" t="s">
        <v>136</v>
      </c>
      <c r="F50" s="174" t="s">
        <v>113</v>
      </c>
      <c r="G50" s="179" t="s">
        <v>2</v>
      </c>
      <c r="H50" s="179" t="s">
        <v>577</v>
      </c>
      <c r="I50" s="180" t="s">
        <v>0</v>
      </c>
      <c r="J50" s="181" t="s">
        <v>136</v>
      </c>
      <c r="K50" s="200" t="b">
        <v>0</v>
      </c>
      <c r="L50" s="650">
        <v>985125</v>
      </c>
      <c r="M50" s="89">
        <v>561538.39</v>
      </c>
      <c r="N50" s="89">
        <f t="shared" si="22"/>
        <v>230042.90348410764</v>
      </c>
      <c r="O50" s="89">
        <v>265360.40999999997</v>
      </c>
      <c r="P50" s="89">
        <f t="shared" si="9"/>
        <v>23004.290348410766</v>
      </c>
      <c r="Q50" s="651">
        <v>213112.62</v>
      </c>
      <c r="R50" s="650">
        <v>192000</v>
      </c>
      <c r="S50" s="89">
        <v>47554.34</v>
      </c>
      <c r="T50" s="89">
        <f t="shared" si="23"/>
        <v>32195.846259602291</v>
      </c>
      <c r="U50" s="89">
        <v>18556.05</v>
      </c>
      <c r="V50" s="89">
        <f t="shared" si="10"/>
        <v>3219.5846259602295</v>
      </c>
      <c r="W50" s="347">
        <v>4143.07</v>
      </c>
      <c r="X50" s="256">
        <v>0.23351646083908909</v>
      </c>
      <c r="Y50" s="256">
        <v>0.16768669926876192</v>
      </c>
      <c r="Z50" s="648">
        <v>0.22442950595550057</v>
      </c>
      <c r="AA50" s="187">
        <f t="shared" si="44"/>
        <v>1177125</v>
      </c>
      <c r="AB50" s="187">
        <f t="shared" si="45"/>
        <v>609092.73</v>
      </c>
      <c r="AC50" s="257">
        <f t="shared" si="46"/>
        <v>0.22442950595550057</v>
      </c>
      <c r="AD50" s="90">
        <f t="shared" si="47"/>
        <v>264181.58219786861</v>
      </c>
      <c r="AE50" s="187">
        <f t="shared" si="48"/>
        <v>283916.45999999996</v>
      </c>
      <c r="AF50" s="89">
        <f t="shared" si="49"/>
        <v>217255.69</v>
      </c>
      <c r="AG50" s="270">
        <f t="shared" si="17"/>
        <v>25.872049697355845</v>
      </c>
      <c r="AH50" s="271">
        <f t="shared" si="18"/>
        <v>60</v>
      </c>
      <c r="AI50" s="240">
        <f t="shared" si="19"/>
        <v>85.872049697355848</v>
      </c>
      <c r="AJ50" s="316">
        <v>74.748545678000994</v>
      </c>
      <c r="AK50" s="672">
        <f t="shared" si="24"/>
        <v>11.123504019354854</v>
      </c>
      <c r="AL50">
        <f t="shared" si="50"/>
        <v>38</v>
      </c>
      <c r="AM50" s="822"/>
      <c r="AN50" s="40">
        <v>5</v>
      </c>
      <c r="AO50" s="40" t="s">
        <v>126</v>
      </c>
      <c r="AP50" s="40" t="s">
        <v>273</v>
      </c>
      <c r="AQ50" s="122">
        <v>17791200</v>
      </c>
      <c r="AR50" s="122">
        <v>12317618.4</v>
      </c>
      <c r="AS50" s="122">
        <v>9318000</v>
      </c>
      <c r="AT50" s="122">
        <v>1546041.2</v>
      </c>
      <c r="AU50" s="122">
        <v>931800</v>
      </c>
      <c r="AV50" s="167">
        <v>53958.8</v>
      </c>
    </row>
    <row r="51" spans="1:48" ht="11.25" customHeight="1" x14ac:dyDescent="0.2">
      <c r="A51" s="187">
        <v>40</v>
      </c>
      <c r="B51" s="199">
        <v>61686</v>
      </c>
      <c r="C51" s="681" t="s">
        <v>142</v>
      </c>
      <c r="D51" s="173" t="s">
        <v>136</v>
      </c>
      <c r="E51" s="173" t="s">
        <v>136</v>
      </c>
      <c r="F51" s="174" t="s">
        <v>113</v>
      </c>
      <c r="G51" s="179" t="s">
        <v>3</v>
      </c>
      <c r="H51" s="179" t="s">
        <v>5</v>
      </c>
      <c r="I51" s="180" t="s">
        <v>0</v>
      </c>
      <c r="J51" s="181" t="s">
        <v>136</v>
      </c>
      <c r="K51" s="200" t="b">
        <v>0</v>
      </c>
      <c r="L51" s="89">
        <v>19426500</v>
      </c>
      <c r="M51" s="89">
        <v>15265103.949999999</v>
      </c>
      <c r="N51" s="89">
        <f t="shared" si="22"/>
        <v>1624055.4</v>
      </c>
      <c r="O51" s="89">
        <v>1334243.52</v>
      </c>
      <c r="P51" s="89">
        <f t="shared" si="9"/>
        <v>162405.54</v>
      </c>
      <c r="Q51" s="651">
        <v>453063.69</v>
      </c>
      <c r="R51" s="89">
        <v>11502750</v>
      </c>
      <c r="S51" s="89">
        <v>6621000.3200000003</v>
      </c>
      <c r="T51" s="89">
        <f t="shared" si="23"/>
        <v>616547.4</v>
      </c>
      <c r="U51" s="89">
        <v>1590758.62</v>
      </c>
      <c r="V51" s="89">
        <f t="shared" si="10"/>
        <v>61654.740000000005</v>
      </c>
      <c r="W51" s="651">
        <v>249705.42</v>
      </c>
      <c r="X51" s="256">
        <v>8.3599999999999994E-2</v>
      </c>
      <c r="Y51" s="256">
        <v>5.3600000000000002E-2</v>
      </c>
      <c r="Z51" s="648">
        <v>7.0199999999999999E-2</v>
      </c>
      <c r="AA51" s="187">
        <f t="shared" si="44"/>
        <v>30929250</v>
      </c>
      <c r="AB51" s="187">
        <f t="shared" si="45"/>
        <v>21886104.27</v>
      </c>
      <c r="AC51" s="256">
        <f t="shared" si="46"/>
        <v>7.0199999999999999E-2</v>
      </c>
      <c r="AD51" s="187">
        <f t="shared" si="47"/>
        <v>2171233.35</v>
      </c>
      <c r="AE51" s="187">
        <f t="shared" si="48"/>
        <v>2925002.14</v>
      </c>
      <c r="AF51" s="187">
        <f t="shared" si="49"/>
        <v>702769.11</v>
      </c>
      <c r="AG51" s="270">
        <f t="shared" si="17"/>
        <v>35.380916559567396</v>
      </c>
      <c r="AH51" s="673">
        <f t="shared" si="18"/>
        <v>60</v>
      </c>
      <c r="AI51" s="240">
        <f t="shared" si="19"/>
        <v>95.380916559567396</v>
      </c>
      <c r="AJ51" s="316">
        <v>70.992188251001338</v>
      </c>
      <c r="AK51" s="672">
        <f t="shared" si="24"/>
        <v>24.388728308566058</v>
      </c>
      <c r="AL51" t="str">
        <f t="shared" si="50"/>
        <v/>
      </c>
      <c r="AM51" s="822"/>
      <c r="AN51" s="108">
        <v>11</v>
      </c>
      <c r="AO51" s="108" t="s">
        <v>129</v>
      </c>
      <c r="AP51" s="108" t="s">
        <v>274</v>
      </c>
      <c r="AQ51" s="109">
        <v>214135200</v>
      </c>
      <c r="AR51" s="109">
        <v>183407172.46000001</v>
      </c>
      <c r="AS51" s="109">
        <v>123962400</v>
      </c>
      <c r="AT51" s="109">
        <v>1745760.72</v>
      </c>
      <c r="AU51" s="109">
        <v>12396000</v>
      </c>
      <c r="AV51" s="110">
        <v>593557.80000000005</v>
      </c>
    </row>
    <row r="52" spans="1:48" ht="11.25" customHeight="1" x14ac:dyDescent="0.2">
      <c r="A52" s="6">
        <v>41</v>
      </c>
      <c r="B52" s="199">
        <v>60390</v>
      </c>
      <c r="C52" s="680" t="s">
        <v>143</v>
      </c>
      <c r="D52" s="173" t="s">
        <v>136</v>
      </c>
      <c r="E52" s="173" t="s">
        <v>136</v>
      </c>
      <c r="F52" s="174" t="s">
        <v>113</v>
      </c>
      <c r="G52" s="179" t="s">
        <v>4</v>
      </c>
      <c r="H52" s="179" t="s">
        <v>294</v>
      </c>
      <c r="I52" s="182" t="s">
        <v>8</v>
      </c>
      <c r="J52" s="181" t="s">
        <v>136</v>
      </c>
      <c r="K52" s="200" t="b">
        <v>0</v>
      </c>
      <c r="L52" s="650">
        <v>534000</v>
      </c>
      <c r="M52" s="89">
        <v>0</v>
      </c>
      <c r="N52" s="89">
        <f t="shared" si="22"/>
        <v>170826.6</v>
      </c>
      <c r="O52" s="89">
        <v>71555.31</v>
      </c>
      <c r="P52" s="89">
        <f t="shared" si="9"/>
        <v>17082.66</v>
      </c>
      <c r="Q52" s="651">
        <v>52637.4</v>
      </c>
      <c r="R52" s="650">
        <v>522750</v>
      </c>
      <c r="S52" s="89">
        <v>0</v>
      </c>
      <c r="T52" s="89">
        <f t="shared" si="23"/>
        <v>162993.45000000001</v>
      </c>
      <c r="U52" s="89">
        <v>0</v>
      </c>
      <c r="V52" s="89">
        <f t="shared" si="10"/>
        <v>16299.345000000001</v>
      </c>
      <c r="W52" s="347">
        <v>0</v>
      </c>
      <c r="X52" s="256">
        <v>0.31990000000000002</v>
      </c>
      <c r="Y52" s="256">
        <v>0.31180000000000002</v>
      </c>
      <c r="Z52" s="648">
        <v>0.31619999999999998</v>
      </c>
      <c r="AA52" s="89">
        <f t="shared" si="44"/>
        <v>1056750</v>
      </c>
      <c r="AB52" s="89">
        <f t="shared" si="45"/>
        <v>0</v>
      </c>
      <c r="AC52" s="257">
        <f t="shared" si="46"/>
        <v>0.31619999999999998</v>
      </c>
      <c r="AD52" s="90">
        <f t="shared" si="47"/>
        <v>334144.34999999998</v>
      </c>
      <c r="AE52" s="89">
        <f t="shared" si="48"/>
        <v>71555.31</v>
      </c>
      <c r="AF52" s="89">
        <f t="shared" si="49"/>
        <v>52637.4</v>
      </c>
      <c r="AG52" s="270">
        <f t="shared" si="17"/>
        <v>0</v>
      </c>
      <c r="AH52" s="271">
        <f t="shared" si="18"/>
        <v>12.848694284371412</v>
      </c>
      <c r="AI52" s="240">
        <f t="shared" si="19"/>
        <v>12.848694284371412</v>
      </c>
      <c r="AJ52" s="316" t="e">
        <v>#DIV/0!</v>
      </c>
      <c r="AK52" s="672" t="e">
        <f t="shared" si="24"/>
        <v>#DIV/0!</v>
      </c>
      <c r="AL52" t="str">
        <f t="shared" si="50"/>
        <v/>
      </c>
      <c r="AM52" s="822"/>
      <c r="AN52" s="108">
        <v>12</v>
      </c>
      <c r="AO52" s="108" t="s">
        <v>130</v>
      </c>
      <c r="AP52" s="108" t="s">
        <v>275</v>
      </c>
      <c r="AQ52" s="109">
        <v>161257200</v>
      </c>
      <c r="AR52" s="109">
        <v>6854800.6399999997</v>
      </c>
      <c r="AS52" s="109">
        <v>64874400</v>
      </c>
      <c r="AT52" s="109">
        <v>3202271.66</v>
      </c>
      <c r="AU52" s="109">
        <v>6487200</v>
      </c>
      <c r="AV52" s="110">
        <v>549650.79</v>
      </c>
    </row>
    <row r="53" spans="1:48" ht="11.25" customHeight="1" x14ac:dyDescent="0.2">
      <c r="A53" s="6">
        <v>42</v>
      </c>
      <c r="B53" s="199">
        <v>60430</v>
      </c>
      <c r="C53" s="680" t="s">
        <v>144</v>
      </c>
      <c r="D53" s="173" t="s">
        <v>136</v>
      </c>
      <c r="E53" s="173" t="s">
        <v>136</v>
      </c>
      <c r="F53" s="174" t="s">
        <v>113</v>
      </c>
      <c r="G53" s="179" t="s">
        <v>4</v>
      </c>
      <c r="H53" s="179" t="s">
        <v>294</v>
      </c>
      <c r="I53" s="182" t="s">
        <v>12</v>
      </c>
      <c r="J53" s="181" t="s">
        <v>136</v>
      </c>
      <c r="K53" s="200" t="b">
        <v>0</v>
      </c>
      <c r="L53" s="650">
        <v>909000</v>
      </c>
      <c r="M53" s="89">
        <v>0</v>
      </c>
      <c r="N53" s="89">
        <f t="shared" si="22"/>
        <v>74810.7</v>
      </c>
      <c r="O53" s="89">
        <v>71915.67</v>
      </c>
      <c r="P53" s="89">
        <f t="shared" si="9"/>
        <v>7481.07</v>
      </c>
      <c r="Q53" s="651">
        <v>57798</v>
      </c>
      <c r="R53" s="650">
        <v>530625</v>
      </c>
      <c r="S53" s="89">
        <v>1254.77</v>
      </c>
      <c r="T53" s="89">
        <f t="shared" si="23"/>
        <v>84475.5</v>
      </c>
      <c r="U53" s="89">
        <v>1254.77</v>
      </c>
      <c r="V53" s="89">
        <f t="shared" si="10"/>
        <v>8447.5500000000011</v>
      </c>
      <c r="W53" s="347">
        <v>208.96</v>
      </c>
      <c r="X53" s="256">
        <v>8.2299999999999998E-2</v>
      </c>
      <c r="Y53" s="256">
        <v>0.15920000000000001</v>
      </c>
      <c r="Z53" s="648">
        <v>0.1037</v>
      </c>
      <c r="AA53" s="89">
        <f t="shared" si="44"/>
        <v>1439625</v>
      </c>
      <c r="AB53" s="89">
        <f t="shared" si="45"/>
        <v>1254.77</v>
      </c>
      <c r="AC53" s="257">
        <f t="shared" si="46"/>
        <v>0.1037</v>
      </c>
      <c r="AD53" s="90">
        <f t="shared" si="47"/>
        <v>149289.11249999999</v>
      </c>
      <c r="AE53" s="89">
        <f t="shared" si="48"/>
        <v>73170.44</v>
      </c>
      <c r="AF53" s="89">
        <f t="shared" si="49"/>
        <v>58006.96</v>
      </c>
      <c r="AG53" s="270">
        <f t="shared" si="17"/>
        <v>4.3579751671442214E-2</v>
      </c>
      <c r="AH53" s="271">
        <f t="shared" si="18"/>
        <v>29.407545711010911</v>
      </c>
      <c r="AI53" s="240">
        <f t="shared" si="19"/>
        <v>29.451125462682352</v>
      </c>
      <c r="AJ53" s="316">
        <v>43.500310467149902</v>
      </c>
      <c r="AK53" s="672">
        <f t="shared" si="24"/>
        <v>-14.049185004467549</v>
      </c>
      <c r="AM53" s="822"/>
      <c r="AN53" s="108">
        <v>13</v>
      </c>
      <c r="AO53" s="108" t="s">
        <v>127</v>
      </c>
      <c r="AP53" s="108" t="s">
        <v>276</v>
      </c>
      <c r="AQ53" s="109">
        <v>789925320</v>
      </c>
      <c r="AR53" s="109">
        <v>259121521.97999999</v>
      </c>
      <c r="AS53" s="109">
        <v>281529384</v>
      </c>
      <c r="AT53" s="109">
        <v>49110996.259999998</v>
      </c>
      <c r="AU53" s="109">
        <v>28152960</v>
      </c>
      <c r="AV53" s="110">
        <v>14113822.07</v>
      </c>
    </row>
    <row r="54" spans="1:48" ht="11.25" customHeight="1" x14ac:dyDescent="0.2">
      <c r="A54" s="6">
        <v>43</v>
      </c>
      <c r="B54" s="199">
        <v>60420</v>
      </c>
      <c r="C54" s="680" t="s">
        <v>145</v>
      </c>
      <c r="D54" s="173" t="s">
        <v>136</v>
      </c>
      <c r="E54" s="173" t="s">
        <v>136</v>
      </c>
      <c r="F54" s="174" t="s">
        <v>113</v>
      </c>
      <c r="G54" s="179" t="s">
        <v>4</v>
      </c>
      <c r="H54" s="179" t="s">
        <v>294</v>
      </c>
      <c r="I54" s="180" t="s">
        <v>10</v>
      </c>
      <c r="J54" s="181" t="s">
        <v>136</v>
      </c>
      <c r="K54" s="200" t="b">
        <v>0</v>
      </c>
      <c r="L54" s="650">
        <v>604500</v>
      </c>
      <c r="M54" s="89">
        <v>282958.44</v>
      </c>
      <c r="N54" s="89">
        <f t="shared" si="22"/>
        <v>35302.800000000003</v>
      </c>
      <c r="O54" s="89">
        <v>21961.08</v>
      </c>
      <c r="P54" s="89">
        <f t="shared" si="9"/>
        <v>3530.2800000000007</v>
      </c>
      <c r="Q54" s="651">
        <v>16481.52</v>
      </c>
      <c r="R54" s="650">
        <v>843750</v>
      </c>
      <c r="S54" s="89">
        <v>427080.62</v>
      </c>
      <c r="T54" s="89">
        <f t="shared" si="23"/>
        <v>287718.75</v>
      </c>
      <c r="U54" s="89">
        <v>307689.95</v>
      </c>
      <c r="V54" s="89">
        <f t="shared" si="10"/>
        <v>28771.875</v>
      </c>
      <c r="W54" s="347">
        <v>82522.52</v>
      </c>
      <c r="X54" s="256">
        <v>5.8400000000000001E-2</v>
      </c>
      <c r="Y54" s="256">
        <v>0.34100000000000003</v>
      </c>
      <c r="Z54" s="648">
        <v>0.2276</v>
      </c>
      <c r="AA54" s="89">
        <f t="shared" si="44"/>
        <v>1448250</v>
      </c>
      <c r="AB54" s="89">
        <f t="shared" si="45"/>
        <v>710039.06</v>
      </c>
      <c r="AC54" s="257">
        <f t="shared" si="46"/>
        <v>0.2276</v>
      </c>
      <c r="AD54" s="90">
        <f t="shared" si="47"/>
        <v>329621.7</v>
      </c>
      <c r="AE54" s="89">
        <f t="shared" si="48"/>
        <v>329651.03000000003</v>
      </c>
      <c r="AF54" s="89">
        <f t="shared" si="49"/>
        <v>99004.040000000008</v>
      </c>
      <c r="AG54" s="270">
        <f t="shared" si="17"/>
        <v>24.51369100638702</v>
      </c>
      <c r="AH54" s="271">
        <f t="shared" si="18"/>
        <v>60</v>
      </c>
      <c r="AI54" s="240">
        <f t="shared" si="19"/>
        <v>84.51369100638702</v>
      </c>
      <c r="AJ54" s="316">
        <v>95.686159719678656</v>
      </c>
      <c r="AK54" s="672">
        <f t="shared" si="24"/>
        <v>-11.172468713291636</v>
      </c>
      <c r="AL54">
        <f t="shared" ref="AL54:AL67" si="51">IF($M53=AL$11,$A53,"")</f>
        <v>42</v>
      </c>
      <c r="AM54" s="822"/>
      <c r="AN54" s="108">
        <v>14</v>
      </c>
      <c r="AO54" s="108" t="s">
        <v>128</v>
      </c>
      <c r="AP54" s="108" t="s">
        <v>277</v>
      </c>
      <c r="AQ54" s="109">
        <v>163010400</v>
      </c>
      <c r="AR54" s="109">
        <v>92352308.480000004</v>
      </c>
      <c r="AS54" s="109">
        <v>130408800</v>
      </c>
      <c r="AT54" s="109">
        <v>62396703.539999999</v>
      </c>
      <c r="AU54" s="109">
        <v>13041600</v>
      </c>
      <c r="AV54" s="110">
        <v>10570163.869999999</v>
      </c>
    </row>
    <row r="55" spans="1:48" ht="11.25" customHeight="1" x14ac:dyDescent="0.2">
      <c r="A55" s="6">
        <v>44</v>
      </c>
      <c r="B55" s="199">
        <v>60388</v>
      </c>
      <c r="C55" s="680" t="s">
        <v>146</v>
      </c>
      <c r="D55" s="173" t="s">
        <v>136</v>
      </c>
      <c r="E55" s="173" t="s">
        <v>136</v>
      </c>
      <c r="F55" s="174" t="s">
        <v>113</v>
      </c>
      <c r="G55" s="179" t="s">
        <v>4</v>
      </c>
      <c r="H55" s="179" t="s">
        <v>294</v>
      </c>
      <c r="I55" s="180" t="s">
        <v>10</v>
      </c>
      <c r="J55" s="181" t="s">
        <v>136</v>
      </c>
      <c r="K55" s="200" t="b">
        <v>0</v>
      </c>
      <c r="L55" s="650">
        <v>1085250</v>
      </c>
      <c r="M55" s="89">
        <v>641534.1</v>
      </c>
      <c r="N55" s="89">
        <f t="shared" si="22"/>
        <v>44712.3</v>
      </c>
      <c r="O55" s="89">
        <v>32710.5</v>
      </c>
      <c r="P55" s="89">
        <f t="shared" si="9"/>
        <v>4471.2300000000005</v>
      </c>
      <c r="Q55" s="651">
        <v>37743.300000000003</v>
      </c>
      <c r="R55" s="650">
        <v>1006500</v>
      </c>
      <c r="S55" s="89">
        <v>297259.52000000002</v>
      </c>
      <c r="T55" s="89">
        <f t="shared" si="23"/>
        <v>349255.5</v>
      </c>
      <c r="U55" s="89">
        <v>296544.32</v>
      </c>
      <c r="V55" s="89">
        <f t="shared" si="10"/>
        <v>34925.550000000003</v>
      </c>
      <c r="W55" s="347">
        <v>55875.4</v>
      </c>
      <c r="X55" s="256">
        <v>4.1200000000000001E-2</v>
      </c>
      <c r="Y55" s="256">
        <v>0.34699999999999998</v>
      </c>
      <c r="Z55" s="648">
        <v>0.19989999999999999</v>
      </c>
      <c r="AA55" s="89">
        <f t="shared" si="44"/>
        <v>2091750</v>
      </c>
      <c r="AB55" s="89">
        <f t="shared" si="45"/>
        <v>938793.62</v>
      </c>
      <c r="AC55" s="257">
        <f t="shared" si="46"/>
        <v>0.19989999999999999</v>
      </c>
      <c r="AD55" s="90">
        <f t="shared" si="47"/>
        <v>418140.82500000001</v>
      </c>
      <c r="AE55" s="89">
        <f t="shared" si="48"/>
        <v>329254.82</v>
      </c>
      <c r="AF55" s="89">
        <f t="shared" si="49"/>
        <v>93618.700000000012</v>
      </c>
      <c r="AG55" s="270">
        <f t="shared" si="17"/>
        <v>22.440387713636909</v>
      </c>
      <c r="AH55" s="271">
        <f t="shared" si="18"/>
        <v>47.245540303317668</v>
      </c>
      <c r="AI55" s="240">
        <f t="shared" si="19"/>
        <v>69.685928016954577</v>
      </c>
      <c r="AJ55" s="316">
        <v>31.949313399254802</v>
      </c>
      <c r="AK55" s="672">
        <f t="shared" si="24"/>
        <v>37.736614617699772</v>
      </c>
      <c r="AL55" t="str">
        <f t="shared" si="51"/>
        <v/>
      </c>
      <c r="AM55" s="822"/>
      <c r="AN55" s="108">
        <v>15</v>
      </c>
      <c r="AO55" s="108" t="s">
        <v>131</v>
      </c>
      <c r="AP55" s="108" t="s">
        <v>278</v>
      </c>
      <c r="AQ55" s="109">
        <v>177337680</v>
      </c>
      <c r="AR55" s="109">
        <v>276600045.00999999</v>
      </c>
      <c r="AS55" s="109">
        <v>60294816</v>
      </c>
      <c r="AT55" s="109">
        <v>258280630.06999999</v>
      </c>
      <c r="AU55" s="109">
        <v>6029520</v>
      </c>
      <c r="AV55" s="110">
        <v>2551042.88</v>
      </c>
    </row>
    <row r="56" spans="1:48" ht="11.25" customHeight="1" x14ac:dyDescent="0.2">
      <c r="A56" s="6">
        <v>45</v>
      </c>
      <c r="B56" s="199">
        <v>60391</v>
      </c>
      <c r="C56" s="680" t="s">
        <v>147</v>
      </c>
      <c r="D56" s="173" t="s">
        <v>136</v>
      </c>
      <c r="E56" s="173" t="s">
        <v>136</v>
      </c>
      <c r="F56" s="174" t="s">
        <v>113</v>
      </c>
      <c r="G56" s="179" t="s">
        <v>4</v>
      </c>
      <c r="H56" s="179" t="s">
        <v>294</v>
      </c>
      <c r="I56" s="182" t="s">
        <v>8</v>
      </c>
      <c r="J56" s="181" t="s">
        <v>136</v>
      </c>
      <c r="K56" s="200" t="b">
        <v>0</v>
      </c>
      <c r="L56" s="650">
        <v>349500</v>
      </c>
      <c r="M56" s="89">
        <v>0</v>
      </c>
      <c r="N56" s="89">
        <f t="shared" si="22"/>
        <v>7514.2499999999991</v>
      </c>
      <c r="O56" s="89">
        <v>4489.83</v>
      </c>
      <c r="P56" s="89">
        <f t="shared" si="9"/>
        <v>751.42499999999995</v>
      </c>
      <c r="Q56" s="651">
        <v>6040.8</v>
      </c>
      <c r="R56" s="650">
        <v>124500</v>
      </c>
      <c r="S56" s="89">
        <v>0</v>
      </c>
      <c r="T56" s="89">
        <f t="shared" si="23"/>
        <v>17156.100000000002</v>
      </c>
      <c r="U56" s="89">
        <v>0</v>
      </c>
      <c r="V56" s="89">
        <f t="shared" si="10"/>
        <v>1715.6100000000004</v>
      </c>
      <c r="W56" s="347">
        <v>0</v>
      </c>
      <c r="X56" s="256">
        <v>2.1499999999999998E-2</v>
      </c>
      <c r="Y56" s="256">
        <v>0.13780000000000001</v>
      </c>
      <c r="Z56" s="648">
        <v>5.21E-2</v>
      </c>
      <c r="AA56" s="89">
        <f t="shared" si="44"/>
        <v>474000</v>
      </c>
      <c r="AB56" s="89">
        <f t="shared" si="45"/>
        <v>0</v>
      </c>
      <c r="AC56" s="257">
        <f t="shared" si="46"/>
        <v>5.21E-2</v>
      </c>
      <c r="AD56" s="90">
        <f t="shared" si="47"/>
        <v>24695.4</v>
      </c>
      <c r="AE56" s="89">
        <f t="shared" si="48"/>
        <v>4489.83</v>
      </c>
      <c r="AF56" s="89">
        <f t="shared" si="49"/>
        <v>6040.8</v>
      </c>
      <c r="AG56" s="270">
        <f t="shared" si="17"/>
        <v>0</v>
      </c>
      <c r="AH56" s="271">
        <f t="shared" si="18"/>
        <v>10.908501178357103</v>
      </c>
      <c r="AI56" s="240">
        <f t="shared" si="19"/>
        <v>10.908501178357103</v>
      </c>
      <c r="AJ56" s="316">
        <v>37.769777441902313</v>
      </c>
      <c r="AK56" s="672">
        <f t="shared" si="24"/>
        <v>-26.861276263545211</v>
      </c>
      <c r="AL56" t="str">
        <f t="shared" si="51"/>
        <v/>
      </c>
      <c r="AM56" s="822"/>
      <c r="AN56" s="103">
        <v>19</v>
      </c>
      <c r="AO56" s="103" t="s">
        <v>133</v>
      </c>
      <c r="AP56" s="103" t="s">
        <v>279</v>
      </c>
      <c r="AQ56" s="104">
        <v>1261197600</v>
      </c>
      <c r="AR56" s="104">
        <v>574050341.61000001</v>
      </c>
      <c r="AS56" s="104">
        <v>2053200</v>
      </c>
      <c r="AT56" s="104">
        <v>0</v>
      </c>
      <c r="AU56" s="104">
        <v>205320</v>
      </c>
      <c r="AV56" s="105">
        <v>0</v>
      </c>
    </row>
    <row r="57" spans="1:48" ht="11.25" customHeight="1" x14ac:dyDescent="0.2">
      <c r="A57" s="6">
        <v>46</v>
      </c>
      <c r="B57" s="199">
        <v>60410</v>
      </c>
      <c r="C57" s="680" t="s">
        <v>148</v>
      </c>
      <c r="D57" s="173" t="s">
        <v>136</v>
      </c>
      <c r="E57" s="173" t="s">
        <v>136</v>
      </c>
      <c r="F57" s="174" t="s">
        <v>113</v>
      </c>
      <c r="G57" s="179" t="s">
        <v>4</v>
      </c>
      <c r="H57" s="179" t="s">
        <v>294</v>
      </c>
      <c r="I57" s="180" t="s">
        <v>7</v>
      </c>
      <c r="J57" s="181" t="s">
        <v>136</v>
      </c>
      <c r="K57" s="200" t="b">
        <v>0</v>
      </c>
      <c r="L57" s="650">
        <v>540675</v>
      </c>
      <c r="M57" s="89">
        <v>0</v>
      </c>
      <c r="N57" s="89">
        <f t="shared" si="22"/>
        <v>34116.592499999999</v>
      </c>
      <c r="O57" s="89">
        <v>36934.559999999998</v>
      </c>
      <c r="P57" s="89">
        <f t="shared" si="9"/>
        <v>3411.6592500000002</v>
      </c>
      <c r="Q57" s="651">
        <v>15036.48</v>
      </c>
      <c r="R57" s="650">
        <v>434250</v>
      </c>
      <c r="S57" s="89">
        <v>93572.82</v>
      </c>
      <c r="T57" s="89">
        <f t="shared" si="23"/>
        <v>144561.82499999998</v>
      </c>
      <c r="U57" s="89">
        <v>87742.81</v>
      </c>
      <c r="V57" s="89">
        <f t="shared" si="10"/>
        <v>14456.182499999999</v>
      </c>
      <c r="W57" s="347">
        <v>23886.42</v>
      </c>
      <c r="X57" s="256">
        <v>6.3100000000000003E-2</v>
      </c>
      <c r="Y57" s="256">
        <v>0.33289999999999997</v>
      </c>
      <c r="Z57" s="648">
        <v>0.1789</v>
      </c>
      <c r="AA57" s="89">
        <f t="shared" si="44"/>
        <v>974925</v>
      </c>
      <c r="AB57" s="89">
        <f t="shared" si="45"/>
        <v>93572.82</v>
      </c>
      <c r="AC57" s="257">
        <f t="shared" si="46"/>
        <v>0.1789</v>
      </c>
      <c r="AD57" s="90">
        <f t="shared" si="47"/>
        <v>174414.08249999999</v>
      </c>
      <c r="AE57" s="89">
        <f t="shared" si="48"/>
        <v>124677.37</v>
      </c>
      <c r="AF57" s="89">
        <f t="shared" si="49"/>
        <v>38922.899999999994</v>
      </c>
      <c r="AG57" s="270">
        <f t="shared" si="17"/>
        <v>4.7989753057927533</v>
      </c>
      <c r="AH57" s="271">
        <f t="shared" si="18"/>
        <v>42.890127292330305</v>
      </c>
      <c r="AI57" s="240">
        <f t="shared" si="19"/>
        <v>47.689102598123057</v>
      </c>
      <c r="AJ57" s="316">
        <v>99.082402691861233</v>
      </c>
      <c r="AK57" s="672">
        <f t="shared" si="24"/>
        <v>-51.393300093738176</v>
      </c>
      <c r="AL57">
        <f t="shared" si="51"/>
        <v>45</v>
      </c>
      <c r="AM57" s="823"/>
      <c r="AN57" s="111">
        <v>20</v>
      </c>
      <c r="AO57" s="111" t="s">
        <v>134</v>
      </c>
      <c r="AP57" s="111" t="s">
        <v>280</v>
      </c>
      <c r="AQ57" s="112">
        <v>0</v>
      </c>
      <c r="AR57" s="112">
        <v>0</v>
      </c>
      <c r="AS57" s="112">
        <v>0</v>
      </c>
      <c r="AT57" s="112">
        <v>0</v>
      </c>
      <c r="AU57" s="112">
        <v>0</v>
      </c>
      <c r="AV57" s="113">
        <v>0</v>
      </c>
    </row>
    <row r="58" spans="1:48" ht="11.25" customHeight="1" x14ac:dyDescent="0.2">
      <c r="A58" s="6">
        <v>47</v>
      </c>
      <c r="B58" s="199">
        <v>60389</v>
      </c>
      <c r="C58" s="680" t="s">
        <v>149</v>
      </c>
      <c r="D58" s="173" t="s">
        <v>136</v>
      </c>
      <c r="E58" s="173" t="s">
        <v>136</v>
      </c>
      <c r="F58" s="174" t="s">
        <v>113</v>
      </c>
      <c r="G58" s="179" t="s">
        <v>4</v>
      </c>
      <c r="H58" s="179" t="s">
        <v>294</v>
      </c>
      <c r="I58" s="180" t="s">
        <v>9</v>
      </c>
      <c r="J58" s="181" t="s">
        <v>136</v>
      </c>
      <c r="K58" s="200" t="b">
        <v>0</v>
      </c>
      <c r="L58" s="650">
        <v>1252050</v>
      </c>
      <c r="M58" s="89">
        <v>1094851.1200000001</v>
      </c>
      <c r="N58" s="89">
        <f t="shared" si="22"/>
        <v>38437.935000000005</v>
      </c>
      <c r="O58" s="89">
        <v>50614.92</v>
      </c>
      <c r="P58" s="89">
        <f t="shared" si="9"/>
        <v>3843.7935000000007</v>
      </c>
      <c r="Q58" s="651">
        <v>75483.179999999993</v>
      </c>
      <c r="R58" s="650">
        <v>1300500</v>
      </c>
      <c r="S58" s="89">
        <v>344972.68</v>
      </c>
      <c r="T58" s="89">
        <f t="shared" si="23"/>
        <v>538407</v>
      </c>
      <c r="U58" s="89">
        <v>344764.41</v>
      </c>
      <c r="V58" s="89">
        <f t="shared" si="10"/>
        <v>53840.700000000004</v>
      </c>
      <c r="W58" s="347">
        <v>74841.58</v>
      </c>
      <c r="X58" s="256">
        <v>3.0700000000000002E-2</v>
      </c>
      <c r="Y58" s="256">
        <v>0.41399999999999998</v>
      </c>
      <c r="Z58" s="648">
        <v>0.21279999999999999</v>
      </c>
      <c r="AA58" s="89">
        <f t="shared" si="44"/>
        <v>2552550</v>
      </c>
      <c r="AB58" s="89">
        <f t="shared" si="45"/>
        <v>1439823.8</v>
      </c>
      <c r="AC58" s="257">
        <f t="shared" si="46"/>
        <v>0.21279999999999999</v>
      </c>
      <c r="AD58" s="90">
        <f t="shared" si="47"/>
        <v>543182.64</v>
      </c>
      <c r="AE58" s="89">
        <f t="shared" si="48"/>
        <v>395379.32999999996</v>
      </c>
      <c r="AF58" s="89">
        <f t="shared" si="49"/>
        <v>150324.76</v>
      </c>
      <c r="AG58" s="270">
        <f t="shared" si="17"/>
        <v>28.203635580106166</v>
      </c>
      <c r="AH58" s="271">
        <f t="shared" si="18"/>
        <v>43.67363397328014</v>
      </c>
      <c r="AI58" s="240">
        <f t="shared" si="19"/>
        <v>71.877269553386299</v>
      </c>
      <c r="AJ58" s="316">
        <v>65.033095998274888</v>
      </c>
      <c r="AK58" s="672">
        <f t="shared" si="24"/>
        <v>6.8441735551114107</v>
      </c>
      <c r="AL58">
        <f t="shared" si="51"/>
        <v>46</v>
      </c>
      <c r="AM58" s="821">
        <v>2013</v>
      </c>
      <c r="AN58" s="99">
        <v>1</v>
      </c>
      <c r="AO58" s="99" t="s">
        <v>123</v>
      </c>
      <c r="AP58" s="99" t="s">
        <v>269</v>
      </c>
      <c r="AQ58" s="101">
        <v>384177600</v>
      </c>
      <c r="AR58" s="101">
        <v>357583801.26999998</v>
      </c>
      <c r="AS58" s="101">
        <v>192088800</v>
      </c>
      <c r="AT58" s="101">
        <v>106039212</v>
      </c>
      <c r="AU58" s="101">
        <v>19208400</v>
      </c>
      <c r="AV58" s="102">
        <v>44272296</v>
      </c>
    </row>
    <row r="59" spans="1:48" ht="11.25" customHeight="1" x14ac:dyDescent="0.2">
      <c r="A59" s="6">
        <v>48</v>
      </c>
      <c r="B59" s="199">
        <v>60405</v>
      </c>
      <c r="C59" s="680" t="s">
        <v>150</v>
      </c>
      <c r="D59" s="173" t="s">
        <v>136</v>
      </c>
      <c r="E59" s="173" t="s">
        <v>136</v>
      </c>
      <c r="F59" s="174" t="s">
        <v>113</v>
      </c>
      <c r="G59" s="179" t="s">
        <v>4</v>
      </c>
      <c r="H59" s="179" t="s">
        <v>294</v>
      </c>
      <c r="I59" s="180" t="s">
        <v>12</v>
      </c>
      <c r="J59" s="181" t="s">
        <v>136</v>
      </c>
      <c r="K59" s="200" t="b">
        <v>0</v>
      </c>
      <c r="L59" s="650">
        <v>637275</v>
      </c>
      <c r="M59" s="89">
        <v>0</v>
      </c>
      <c r="N59" s="89">
        <f t="shared" si="22"/>
        <v>21476.1675</v>
      </c>
      <c r="O59" s="89">
        <v>22215.06</v>
      </c>
      <c r="P59" s="89">
        <f t="shared" si="9"/>
        <v>2147.6167500000001</v>
      </c>
      <c r="Q59" s="651">
        <v>22257</v>
      </c>
      <c r="R59" s="650">
        <v>1275</v>
      </c>
      <c r="S59" s="89">
        <v>0</v>
      </c>
      <c r="T59" s="89">
        <f t="shared" si="23"/>
        <v>186.14999999999998</v>
      </c>
      <c r="U59" s="89">
        <v>0</v>
      </c>
      <c r="V59" s="89">
        <f t="shared" si="10"/>
        <v>18.614999999999998</v>
      </c>
      <c r="W59" s="347">
        <v>0</v>
      </c>
      <c r="X59" s="256">
        <v>3.3700000000000001E-2</v>
      </c>
      <c r="Y59" s="256">
        <v>0.14599999999999999</v>
      </c>
      <c r="Z59" s="648">
        <v>8.5099999999999995E-2</v>
      </c>
      <c r="AA59" s="89">
        <f t="shared" si="44"/>
        <v>638550</v>
      </c>
      <c r="AB59" s="89">
        <f t="shared" si="45"/>
        <v>0</v>
      </c>
      <c r="AC59" s="257">
        <f t="shared" si="46"/>
        <v>8.5099999999999995E-2</v>
      </c>
      <c r="AD59" s="90">
        <f t="shared" si="47"/>
        <v>54340.604999999996</v>
      </c>
      <c r="AE59" s="89">
        <f t="shared" si="48"/>
        <v>22215.06</v>
      </c>
      <c r="AF59" s="89">
        <f t="shared" si="49"/>
        <v>22257</v>
      </c>
      <c r="AG59" s="270">
        <f t="shared" si="17"/>
        <v>0</v>
      </c>
      <c r="AH59" s="271">
        <f t="shared" si="18"/>
        <v>24.52868531736075</v>
      </c>
      <c r="AI59" s="240">
        <f t="shared" si="19"/>
        <v>24.52868531736075</v>
      </c>
      <c r="AJ59" s="316">
        <v>13.182990091819267</v>
      </c>
      <c r="AK59" s="672">
        <f t="shared" si="24"/>
        <v>11.345695225541483</v>
      </c>
      <c r="AL59" t="str">
        <f t="shared" si="51"/>
        <v/>
      </c>
      <c r="AM59" s="822"/>
      <c r="AN59" s="103">
        <v>2</v>
      </c>
      <c r="AO59" s="103" t="s">
        <v>124</v>
      </c>
      <c r="AP59" s="103" t="s">
        <v>270</v>
      </c>
      <c r="AQ59" s="104">
        <v>73844400</v>
      </c>
      <c r="AR59" s="104">
        <v>68155077.680000007</v>
      </c>
      <c r="AS59" s="104">
        <v>59074800</v>
      </c>
      <c r="AT59" s="104">
        <v>46709184</v>
      </c>
      <c r="AU59" s="104">
        <v>5907600</v>
      </c>
      <c r="AV59" s="105">
        <v>7642428</v>
      </c>
    </row>
    <row r="60" spans="1:48" x14ac:dyDescent="0.2">
      <c r="A60" s="6">
        <v>49</v>
      </c>
      <c r="B60" s="199">
        <v>60392</v>
      </c>
      <c r="C60" s="680" t="s">
        <v>151</v>
      </c>
      <c r="D60" s="173" t="s">
        <v>136</v>
      </c>
      <c r="E60" s="173" t="s">
        <v>136</v>
      </c>
      <c r="F60" s="174" t="s">
        <v>113</v>
      </c>
      <c r="G60" s="179" t="s">
        <v>4</v>
      </c>
      <c r="H60" s="179" t="s">
        <v>294</v>
      </c>
      <c r="I60" s="182" t="s">
        <v>8</v>
      </c>
      <c r="J60" s="181" t="s">
        <v>136</v>
      </c>
      <c r="K60" s="200" t="b">
        <v>0</v>
      </c>
      <c r="L60" s="650">
        <v>547500</v>
      </c>
      <c r="M60" s="89">
        <v>0</v>
      </c>
      <c r="N60" s="89">
        <f t="shared" si="22"/>
        <v>19162.500000000004</v>
      </c>
      <c r="O60" s="89">
        <v>16861.41</v>
      </c>
      <c r="P60" s="89">
        <f t="shared" si="9"/>
        <v>1916.2500000000005</v>
      </c>
      <c r="Q60" s="651">
        <v>14181.66</v>
      </c>
      <c r="R60" s="650">
        <v>955500</v>
      </c>
      <c r="S60" s="89">
        <v>0</v>
      </c>
      <c r="T60" s="89">
        <f t="shared" si="23"/>
        <v>316079.39999999997</v>
      </c>
      <c r="U60" s="89">
        <v>0</v>
      </c>
      <c r="V60" s="89">
        <f t="shared" si="10"/>
        <v>31607.94</v>
      </c>
      <c r="W60" s="347">
        <v>0</v>
      </c>
      <c r="X60" s="256">
        <v>3.5000000000000003E-2</v>
      </c>
      <c r="Y60" s="256">
        <v>0.33079999999999998</v>
      </c>
      <c r="Z60" s="648">
        <v>0.21840000000000001</v>
      </c>
      <c r="AA60" s="89">
        <f t="shared" si="44"/>
        <v>1503000</v>
      </c>
      <c r="AB60" s="89">
        <f t="shared" si="45"/>
        <v>0</v>
      </c>
      <c r="AC60" s="257">
        <f t="shared" si="46"/>
        <v>0.21840000000000001</v>
      </c>
      <c r="AD60" s="90">
        <f t="shared" si="47"/>
        <v>328255.2</v>
      </c>
      <c r="AE60" s="89">
        <f t="shared" si="48"/>
        <v>16861.41</v>
      </c>
      <c r="AF60" s="89">
        <f t="shared" si="49"/>
        <v>14181.66</v>
      </c>
      <c r="AG60" s="270">
        <f t="shared" si="17"/>
        <v>0</v>
      </c>
      <c r="AH60" s="271">
        <f t="shared" si="18"/>
        <v>3.082006317036257</v>
      </c>
      <c r="AI60" s="240">
        <f t="shared" si="19"/>
        <v>3.082006317036257</v>
      </c>
      <c r="AJ60" s="316">
        <v>46.421150196731347</v>
      </c>
      <c r="AK60" s="672">
        <f t="shared" si="24"/>
        <v>-43.339143879695087</v>
      </c>
      <c r="AL60">
        <f t="shared" si="51"/>
        <v>48</v>
      </c>
      <c r="AM60" s="822"/>
      <c r="AN60" s="103">
        <v>3</v>
      </c>
      <c r="AO60" s="103" t="s">
        <v>125</v>
      </c>
      <c r="AP60" s="103" t="s">
        <v>271</v>
      </c>
      <c r="AQ60" s="104">
        <v>67322400</v>
      </c>
      <c r="AR60" s="104">
        <v>49255588.920000002</v>
      </c>
      <c r="AS60" s="104">
        <v>60590400</v>
      </c>
      <c r="AT60" s="104">
        <v>1981081.92</v>
      </c>
      <c r="AU60" s="104">
        <v>6058800</v>
      </c>
      <c r="AV60" s="105">
        <v>11106995.42</v>
      </c>
    </row>
    <row r="61" spans="1:48" x14ac:dyDescent="0.2">
      <c r="A61" s="6">
        <v>50</v>
      </c>
      <c r="B61" s="199">
        <v>60387</v>
      </c>
      <c r="C61" s="680" t="s">
        <v>152</v>
      </c>
      <c r="D61" s="173" t="s">
        <v>136</v>
      </c>
      <c r="E61" s="173" t="s">
        <v>136</v>
      </c>
      <c r="F61" s="174" t="s">
        <v>113</v>
      </c>
      <c r="G61" s="179" t="s">
        <v>4</v>
      </c>
      <c r="H61" s="179" t="s">
        <v>294</v>
      </c>
      <c r="I61" s="182" t="s">
        <v>34</v>
      </c>
      <c r="J61" s="181" t="s">
        <v>136</v>
      </c>
      <c r="K61" s="200" t="b">
        <v>0</v>
      </c>
      <c r="L61" s="650">
        <v>646159.5</v>
      </c>
      <c r="M61" s="89">
        <v>0</v>
      </c>
      <c r="N61" s="89">
        <f t="shared" si="22"/>
        <v>105000.91875</v>
      </c>
      <c r="O61" s="89">
        <v>75526.289999999994</v>
      </c>
      <c r="P61" s="89">
        <f t="shared" si="9"/>
        <v>10500.091875</v>
      </c>
      <c r="Q61" s="651">
        <v>59937.66</v>
      </c>
      <c r="R61" s="650">
        <v>816000</v>
      </c>
      <c r="S61" s="89">
        <v>0</v>
      </c>
      <c r="T61" s="89">
        <f t="shared" si="23"/>
        <v>248961.59999999998</v>
      </c>
      <c r="U61" s="89">
        <v>0</v>
      </c>
      <c r="V61" s="89">
        <f t="shared" si="10"/>
        <v>24896.16</v>
      </c>
      <c r="W61" s="347">
        <v>0</v>
      </c>
      <c r="X61" s="256">
        <v>0.16250000000000001</v>
      </c>
      <c r="Y61" s="256">
        <v>0.30509999999999998</v>
      </c>
      <c r="Z61" s="648">
        <v>0.24940000000000001</v>
      </c>
      <c r="AA61" s="89">
        <f t="shared" si="44"/>
        <v>1462159.5</v>
      </c>
      <c r="AB61" s="89">
        <f t="shared" si="45"/>
        <v>0</v>
      </c>
      <c r="AC61" s="257">
        <f t="shared" si="46"/>
        <v>0.24940000000000001</v>
      </c>
      <c r="AD61" s="90">
        <f t="shared" si="47"/>
        <v>364662.57930000004</v>
      </c>
      <c r="AE61" s="89">
        <f t="shared" si="48"/>
        <v>75526.289999999994</v>
      </c>
      <c r="AF61" s="89">
        <f t="shared" si="49"/>
        <v>59937.66</v>
      </c>
      <c r="AG61" s="270">
        <f t="shared" si="17"/>
        <v>0</v>
      </c>
      <c r="AH61" s="271">
        <f t="shared" si="18"/>
        <v>12.426768353086125</v>
      </c>
      <c r="AI61" s="240">
        <f t="shared" si="19"/>
        <v>12.426768353086125</v>
      </c>
      <c r="AJ61" s="316">
        <v>47.223863315436461</v>
      </c>
      <c r="AK61" s="672">
        <f t="shared" si="24"/>
        <v>-34.797094962350336</v>
      </c>
      <c r="AL61">
        <f t="shared" si="51"/>
        <v>49</v>
      </c>
      <c r="AM61" s="822"/>
      <c r="AN61" s="103">
        <v>4</v>
      </c>
      <c r="AO61" s="103" t="s">
        <v>132</v>
      </c>
      <c r="AP61" s="103" t="s">
        <v>272</v>
      </c>
      <c r="AQ61" s="104">
        <v>582636000</v>
      </c>
      <c r="AR61" s="104">
        <v>932701768.87</v>
      </c>
      <c r="AS61" s="104">
        <v>203923200</v>
      </c>
      <c r="AT61" s="104">
        <v>27241453.649999999</v>
      </c>
      <c r="AU61" s="104">
        <v>20392800</v>
      </c>
      <c r="AV61" s="105">
        <v>10557224.67</v>
      </c>
    </row>
    <row r="62" spans="1:48" x14ac:dyDescent="0.2">
      <c r="A62" s="6">
        <v>51</v>
      </c>
      <c r="B62" s="199">
        <v>60415</v>
      </c>
      <c r="C62" s="680" t="s">
        <v>153</v>
      </c>
      <c r="D62" s="173" t="s">
        <v>136</v>
      </c>
      <c r="E62" s="173" t="s">
        <v>136</v>
      </c>
      <c r="F62" s="174" t="s">
        <v>113</v>
      </c>
      <c r="G62" s="179" t="s">
        <v>4</v>
      </c>
      <c r="H62" s="179" t="s">
        <v>294</v>
      </c>
      <c r="I62" s="180" t="s">
        <v>12</v>
      </c>
      <c r="J62" s="181" t="s">
        <v>136</v>
      </c>
      <c r="K62" s="200" t="b">
        <v>0</v>
      </c>
      <c r="L62" s="650">
        <v>840000</v>
      </c>
      <c r="M62" s="89">
        <v>0</v>
      </c>
      <c r="N62" s="89">
        <f t="shared" si="22"/>
        <v>40572</v>
      </c>
      <c r="O62" s="89">
        <v>39882.51</v>
      </c>
      <c r="P62" s="89">
        <f t="shared" si="9"/>
        <v>4057.2000000000003</v>
      </c>
      <c r="Q62" s="651">
        <v>25379.1</v>
      </c>
      <c r="R62" s="650">
        <v>1065000</v>
      </c>
      <c r="S62" s="89">
        <v>0</v>
      </c>
      <c r="T62" s="89">
        <f t="shared" si="23"/>
        <v>462529.5</v>
      </c>
      <c r="U62" s="89">
        <v>0</v>
      </c>
      <c r="V62" s="89">
        <f t="shared" si="10"/>
        <v>46252.950000000004</v>
      </c>
      <c r="W62" s="347">
        <v>0</v>
      </c>
      <c r="X62" s="256">
        <v>4.8300000000000003E-2</v>
      </c>
      <c r="Y62" s="256">
        <v>0.43430000000000002</v>
      </c>
      <c r="Z62" s="648">
        <v>0.26</v>
      </c>
      <c r="AA62" s="89">
        <f t="shared" si="44"/>
        <v>1905000</v>
      </c>
      <c r="AB62" s="89">
        <f t="shared" si="45"/>
        <v>0</v>
      </c>
      <c r="AC62" s="257">
        <f t="shared" si="46"/>
        <v>0.26</v>
      </c>
      <c r="AD62" s="90">
        <f t="shared" si="47"/>
        <v>495300</v>
      </c>
      <c r="AE62" s="89">
        <f t="shared" si="48"/>
        <v>39882.51</v>
      </c>
      <c r="AF62" s="89">
        <f t="shared" si="49"/>
        <v>25379.1</v>
      </c>
      <c r="AG62" s="270">
        <f t="shared" si="17"/>
        <v>0</v>
      </c>
      <c r="AH62" s="271">
        <f t="shared" si="18"/>
        <v>4.8313155663234406</v>
      </c>
      <c r="AI62" s="240">
        <f t="shared" si="19"/>
        <v>4.8313155663234406</v>
      </c>
      <c r="AJ62" s="316">
        <v>14.448333531412755</v>
      </c>
      <c r="AK62" s="672">
        <f t="shared" si="24"/>
        <v>-9.6170179650893139</v>
      </c>
      <c r="AL62">
        <f t="shared" si="51"/>
        <v>50</v>
      </c>
      <c r="AM62" s="822"/>
      <c r="AN62" s="40">
        <v>5</v>
      </c>
      <c r="AO62" s="40" t="s">
        <v>126</v>
      </c>
      <c r="AP62" s="40" t="s">
        <v>273</v>
      </c>
      <c r="AQ62" s="122">
        <v>17791200</v>
      </c>
      <c r="AR62" s="122">
        <v>23561238.289999999</v>
      </c>
      <c r="AS62" s="122">
        <v>12874800</v>
      </c>
      <c r="AT62" s="122">
        <v>2319061.7999999998</v>
      </c>
      <c r="AU62" s="122">
        <v>1287480</v>
      </c>
      <c r="AV62" s="167">
        <v>80938.2</v>
      </c>
    </row>
    <row r="63" spans="1:48" x14ac:dyDescent="0.2">
      <c r="A63" s="6">
        <v>52</v>
      </c>
      <c r="B63" s="199">
        <v>60393</v>
      </c>
      <c r="C63" s="680" t="s">
        <v>154</v>
      </c>
      <c r="D63" s="173" t="s">
        <v>136</v>
      </c>
      <c r="E63" s="173" t="s">
        <v>136</v>
      </c>
      <c r="F63" s="174" t="s">
        <v>113</v>
      </c>
      <c r="G63" s="179" t="s">
        <v>4</v>
      </c>
      <c r="H63" s="179" t="s">
        <v>294</v>
      </c>
      <c r="I63" s="182" t="s">
        <v>8</v>
      </c>
      <c r="J63" s="181" t="s">
        <v>136</v>
      </c>
      <c r="K63" s="200" t="b">
        <v>0</v>
      </c>
      <c r="L63" s="650">
        <v>693000</v>
      </c>
      <c r="M63" s="89">
        <v>0</v>
      </c>
      <c r="N63" s="89">
        <f t="shared" si="22"/>
        <v>22176</v>
      </c>
      <c r="O63" s="89">
        <v>16398.09</v>
      </c>
      <c r="P63" s="89">
        <f t="shared" si="9"/>
        <v>2217.6</v>
      </c>
      <c r="Q63" s="651">
        <v>14954.49</v>
      </c>
      <c r="R63" s="650">
        <v>639000</v>
      </c>
      <c r="S63" s="89">
        <v>0</v>
      </c>
      <c r="T63" s="89">
        <f t="shared" si="23"/>
        <v>248698.8</v>
      </c>
      <c r="U63" s="89">
        <v>0</v>
      </c>
      <c r="V63" s="89">
        <f t="shared" si="10"/>
        <v>24869.88</v>
      </c>
      <c r="W63" s="347">
        <v>0</v>
      </c>
      <c r="X63" s="256">
        <v>3.2000000000000001E-2</v>
      </c>
      <c r="Y63" s="256">
        <v>0.38919999999999999</v>
      </c>
      <c r="Z63" s="648">
        <v>0.20799999999999999</v>
      </c>
      <c r="AA63" s="89">
        <f t="shared" si="44"/>
        <v>1332000</v>
      </c>
      <c r="AB63" s="89">
        <f t="shared" si="45"/>
        <v>0</v>
      </c>
      <c r="AC63" s="257">
        <f t="shared" si="46"/>
        <v>0.20799999999999999</v>
      </c>
      <c r="AD63" s="90">
        <f t="shared" si="47"/>
        <v>277056</v>
      </c>
      <c r="AE63" s="89">
        <f t="shared" si="48"/>
        <v>16398.09</v>
      </c>
      <c r="AF63" s="89">
        <f t="shared" si="49"/>
        <v>14954.49</v>
      </c>
      <c r="AG63" s="270">
        <f t="shared" si="17"/>
        <v>0</v>
      </c>
      <c r="AH63" s="271">
        <f t="shared" si="18"/>
        <v>3.5512149168399167</v>
      </c>
      <c r="AI63" s="240">
        <f t="shared" si="19"/>
        <v>3.5512149168399167</v>
      </c>
      <c r="AJ63" s="316">
        <v>34.115857540751556</v>
      </c>
      <c r="AK63" s="672">
        <f t="shared" si="24"/>
        <v>-30.564642623911638</v>
      </c>
      <c r="AL63">
        <f t="shared" si="51"/>
        <v>51</v>
      </c>
      <c r="AM63" s="822"/>
      <c r="AN63" s="108">
        <v>11</v>
      </c>
      <c r="AO63" s="108" t="s">
        <v>129</v>
      </c>
      <c r="AP63" s="108" t="s">
        <v>274</v>
      </c>
      <c r="AQ63" s="109">
        <v>214135200</v>
      </c>
      <c r="AR63" s="109">
        <v>180768653.13999999</v>
      </c>
      <c r="AS63" s="109">
        <v>144622800</v>
      </c>
      <c r="AT63" s="109">
        <v>3962816.12</v>
      </c>
      <c r="AU63" s="109">
        <v>14462400</v>
      </c>
      <c r="AV63" s="110">
        <v>1192698.48</v>
      </c>
    </row>
    <row r="64" spans="1:48" x14ac:dyDescent="0.2">
      <c r="A64" s="6">
        <v>53</v>
      </c>
      <c r="B64" s="199">
        <v>60394</v>
      </c>
      <c r="C64" s="680" t="s">
        <v>155</v>
      </c>
      <c r="D64" s="173" t="s">
        <v>136</v>
      </c>
      <c r="E64" s="173" t="s">
        <v>136</v>
      </c>
      <c r="F64" s="174" t="s">
        <v>113</v>
      </c>
      <c r="G64" s="179" t="s">
        <v>4</v>
      </c>
      <c r="H64" s="179" t="s">
        <v>294</v>
      </c>
      <c r="I64" s="180" t="s">
        <v>8</v>
      </c>
      <c r="J64" s="181" t="s">
        <v>136</v>
      </c>
      <c r="K64" s="200" t="b">
        <v>0</v>
      </c>
      <c r="L64" s="650">
        <v>451500</v>
      </c>
      <c r="M64" s="89">
        <v>0</v>
      </c>
      <c r="N64" s="89">
        <f t="shared" si="22"/>
        <v>16299.15</v>
      </c>
      <c r="O64" s="89">
        <v>13026.87</v>
      </c>
      <c r="P64" s="89">
        <f t="shared" si="9"/>
        <v>1629.915</v>
      </c>
      <c r="Q64" s="651">
        <v>15697.98</v>
      </c>
      <c r="R64" s="650">
        <v>786750</v>
      </c>
      <c r="S64" s="89">
        <v>84879.98</v>
      </c>
      <c r="T64" s="89">
        <f t="shared" si="23"/>
        <v>246803.47499999998</v>
      </c>
      <c r="U64" s="89">
        <v>49016.04</v>
      </c>
      <c r="V64" s="89">
        <f t="shared" si="10"/>
        <v>24680.3475</v>
      </c>
      <c r="W64" s="347">
        <v>18851.71</v>
      </c>
      <c r="X64" s="256">
        <v>3.61E-2</v>
      </c>
      <c r="Y64" s="256">
        <v>0.31369999999999998</v>
      </c>
      <c r="Z64" s="648">
        <v>0.2094</v>
      </c>
      <c r="AA64" s="89">
        <f t="shared" si="44"/>
        <v>1238250</v>
      </c>
      <c r="AB64" s="89">
        <f t="shared" si="45"/>
        <v>84879.98</v>
      </c>
      <c r="AC64" s="257">
        <f t="shared" si="46"/>
        <v>0.2094</v>
      </c>
      <c r="AD64" s="90">
        <f t="shared" si="47"/>
        <v>259289.55000000002</v>
      </c>
      <c r="AE64" s="89">
        <f t="shared" si="48"/>
        <v>62042.91</v>
      </c>
      <c r="AF64" s="89">
        <f t="shared" si="49"/>
        <v>34549.69</v>
      </c>
      <c r="AG64" s="270">
        <f t="shared" si="17"/>
        <v>3.4274169190389663</v>
      </c>
      <c r="AH64" s="271">
        <f t="shared" si="18"/>
        <v>14.35682463870989</v>
      </c>
      <c r="AI64" s="240">
        <f t="shared" si="19"/>
        <v>17.784241557748857</v>
      </c>
      <c r="AJ64" s="316">
        <v>14.547593296089385</v>
      </c>
      <c r="AK64" s="672">
        <f t="shared" si="24"/>
        <v>3.2366482616594716</v>
      </c>
      <c r="AL64">
        <f t="shared" si="51"/>
        <v>52</v>
      </c>
      <c r="AM64" s="822"/>
      <c r="AN64" s="108">
        <v>12</v>
      </c>
      <c r="AO64" s="108" t="s">
        <v>130</v>
      </c>
      <c r="AP64" s="108" t="s">
        <v>275</v>
      </c>
      <c r="AQ64" s="109">
        <v>161257200</v>
      </c>
      <c r="AR64" s="109">
        <v>65036948.380000003</v>
      </c>
      <c r="AS64" s="109">
        <v>81093600</v>
      </c>
      <c r="AT64" s="109">
        <v>7311673.4299999997</v>
      </c>
      <c r="AU64" s="109">
        <v>8109600</v>
      </c>
      <c r="AV64" s="110">
        <v>1343880.52</v>
      </c>
    </row>
    <row r="65" spans="1:48" x14ac:dyDescent="0.2">
      <c r="A65" s="6">
        <v>54</v>
      </c>
      <c r="B65" s="199">
        <v>60412</v>
      </c>
      <c r="C65" s="680" t="s">
        <v>156</v>
      </c>
      <c r="D65" s="173" t="s">
        <v>136</v>
      </c>
      <c r="E65" s="173" t="s">
        <v>136</v>
      </c>
      <c r="F65" s="174" t="s">
        <v>113</v>
      </c>
      <c r="G65" s="179" t="s">
        <v>4</v>
      </c>
      <c r="H65" s="179" t="s">
        <v>294</v>
      </c>
      <c r="I65" s="182" t="s">
        <v>37</v>
      </c>
      <c r="J65" s="181" t="s">
        <v>136</v>
      </c>
      <c r="K65" s="200" t="b">
        <v>0</v>
      </c>
      <c r="L65" s="650">
        <v>201457.5</v>
      </c>
      <c r="M65" s="89">
        <v>0</v>
      </c>
      <c r="N65" s="89">
        <f t="shared" si="22"/>
        <v>0.20145749999999998</v>
      </c>
      <c r="O65" s="89">
        <v>0</v>
      </c>
      <c r="P65" s="89">
        <f t="shared" si="9"/>
        <v>2.014575E-2</v>
      </c>
      <c r="Q65" s="651">
        <v>0</v>
      </c>
      <c r="R65" s="650">
        <v>259125</v>
      </c>
      <c r="S65" s="89">
        <v>0</v>
      </c>
      <c r="T65" s="89">
        <f t="shared" si="23"/>
        <v>17905.537499999999</v>
      </c>
      <c r="U65" s="89">
        <v>0</v>
      </c>
      <c r="V65" s="89">
        <f t="shared" si="10"/>
        <v>1790.55375</v>
      </c>
      <c r="W65" s="347">
        <v>0</v>
      </c>
      <c r="X65" s="256">
        <v>9.9999999999999995E-7</v>
      </c>
      <c r="Y65" s="256">
        <v>6.9099999999999995E-2</v>
      </c>
      <c r="Z65" s="648">
        <v>4.1000000000000002E-2</v>
      </c>
      <c r="AA65" s="89">
        <f t="shared" si="44"/>
        <v>460582.5</v>
      </c>
      <c r="AB65" s="89">
        <f t="shared" si="45"/>
        <v>0</v>
      </c>
      <c r="AC65" s="257">
        <f t="shared" si="46"/>
        <v>4.1000000000000002E-2</v>
      </c>
      <c r="AD65" s="90">
        <f t="shared" si="47"/>
        <v>18883.8825</v>
      </c>
      <c r="AE65" s="89">
        <f t="shared" si="48"/>
        <v>0</v>
      </c>
      <c r="AF65" s="89">
        <f t="shared" si="49"/>
        <v>0</v>
      </c>
      <c r="AG65" s="270">
        <f t="shared" si="17"/>
        <v>0</v>
      </c>
      <c r="AH65" s="271">
        <f t="shared" si="18"/>
        <v>0</v>
      </c>
      <c r="AI65" s="240">
        <f t="shared" si="19"/>
        <v>0</v>
      </c>
      <c r="AJ65" s="316">
        <v>13.369039774856027</v>
      </c>
      <c r="AK65" s="672">
        <f t="shared" si="24"/>
        <v>-13.369039774856027</v>
      </c>
      <c r="AL65">
        <f t="shared" si="51"/>
        <v>53</v>
      </c>
      <c r="AM65" s="822"/>
      <c r="AN65" s="108">
        <v>13</v>
      </c>
      <c r="AO65" s="108" t="s">
        <v>127</v>
      </c>
      <c r="AP65" s="108" t="s">
        <v>276</v>
      </c>
      <c r="AQ65" s="109">
        <v>789925320</v>
      </c>
      <c r="AR65" s="109">
        <v>328498550.55000001</v>
      </c>
      <c r="AS65" s="109">
        <v>281529384</v>
      </c>
      <c r="AT65" s="109">
        <v>59237173.68</v>
      </c>
      <c r="AU65" s="109">
        <v>28152960</v>
      </c>
      <c r="AV65" s="110">
        <v>13385146.85</v>
      </c>
    </row>
    <row r="66" spans="1:48" x14ac:dyDescent="0.2">
      <c r="A66" s="6">
        <v>55</v>
      </c>
      <c r="B66" s="199">
        <v>60395</v>
      </c>
      <c r="C66" s="680" t="s">
        <v>157</v>
      </c>
      <c r="D66" s="173" t="s">
        <v>136</v>
      </c>
      <c r="E66" s="173" t="s">
        <v>136</v>
      </c>
      <c r="F66" s="174" t="s">
        <v>113</v>
      </c>
      <c r="G66" s="179" t="s">
        <v>4</v>
      </c>
      <c r="H66" s="179" t="s">
        <v>294</v>
      </c>
      <c r="I66" s="182" t="s">
        <v>8</v>
      </c>
      <c r="J66" s="181" t="s">
        <v>136</v>
      </c>
      <c r="K66" s="200" t="b">
        <v>0</v>
      </c>
      <c r="L66" s="650">
        <v>398250</v>
      </c>
      <c r="M66" s="89">
        <v>0</v>
      </c>
      <c r="N66" s="89">
        <f t="shared" si="22"/>
        <v>12027.15</v>
      </c>
      <c r="O66" s="89">
        <v>11574.18</v>
      </c>
      <c r="P66" s="89">
        <f t="shared" si="9"/>
        <v>1202.7149999999999</v>
      </c>
      <c r="Q66" s="651">
        <v>10722.24</v>
      </c>
      <c r="R66" s="650">
        <v>422250</v>
      </c>
      <c r="S66" s="89">
        <v>19642.509999999998</v>
      </c>
      <c r="T66" s="89">
        <f t="shared" si="23"/>
        <v>132839.85</v>
      </c>
      <c r="U66" s="89">
        <v>19642.509999999998</v>
      </c>
      <c r="V66" s="89">
        <f t="shared" si="10"/>
        <v>13283.985000000001</v>
      </c>
      <c r="W66" s="347">
        <v>3414.88</v>
      </c>
      <c r="X66" s="256">
        <v>3.0200000000000001E-2</v>
      </c>
      <c r="Y66" s="256">
        <v>0.31459999999999999</v>
      </c>
      <c r="Z66" s="648">
        <v>0.1686</v>
      </c>
      <c r="AA66" s="89">
        <f t="shared" si="44"/>
        <v>820500</v>
      </c>
      <c r="AB66" s="89">
        <f t="shared" si="45"/>
        <v>19642.509999999998</v>
      </c>
      <c r="AC66" s="257">
        <f t="shared" si="46"/>
        <v>0.1686</v>
      </c>
      <c r="AD66" s="90">
        <f t="shared" si="47"/>
        <v>138336.29999999999</v>
      </c>
      <c r="AE66" s="89">
        <f t="shared" si="48"/>
        <v>31216.69</v>
      </c>
      <c r="AF66" s="89">
        <f t="shared" si="49"/>
        <v>14137.119999999999</v>
      </c>
      <c r="AG66" s="270">
        <f t="shared" si="17"/>
        <v>1.1969841560024375</v>
      </c>
      <c r="AH66" s="271">
        <f t="shared" si="18"/>
        <v>13.539478791900608</v>
      </c>
      <c r="AI66" s="240">
        <f t="shared" si="19"/>
        <v>14.736462947903046</v>
      </c>
      <c r="AJ66" s="316">
        <v>18.048929672063551</v>
      </c>
      <c r="AK66" s="672">
        <f t="shared" si="24"/>
        <v>-3.3124667241605046</v>
      </c>
      <c r="AL66">
        <f t="shared" si="51"/>
        <v>54</v>
      </c>
      <c r="AM66" s="822"/>
      <c r="AN66" s="108">
        <v>14</v>
      </c>
      <c r="AO66" s="108" t="s">
        <v>128</v>
      </c>
      <c r="AP66" s="108" t="s">
        <v>277</v>
      </c>
      <c r="AQ66" s="109">
        <v>163010400</v>
      </c>
      <c r="AR66" s="109">
        <v>114309737.93000001</v>
      </c>
      <c r="AS66" s="109">
        <v>130408800</v>
      </c>
      <c r="AT66" s="109">
        <v>81432395.099999994</v>
      </c>
      <c r="AU66" s="109">
        <v>13040400</v>
      </c>
      <c r="AV66" s="110">
        <v>9505906.0700000003</v>
      </c>
    </row>
    <row r="67" spans="1:48" x14ac:dyDescent="0.2">
      <c r="A67" s="6">
        <v>56</v>
      </c>
      <c r="B67" s="199">
        <v>60402</v>
      </c>
      <c r="C67" s="680" t="s">
        <v>158</v>
      </c>
      <c r="D67" s="173" t="s">
        <v>136</v>
      </c>
      <c r="E67" s="173" t="s">
        <v>136</v>
      </c>
      <c r="F67" s="174" t="s">
        <v>113</v>
      </c>
      <c r="G67" s="179" t="s">
        <v>4</v>
      </c>
      <c r="H67" s="179" t="s">
        <v>294</v>
      </c>
      <c r="I67" s="180" t="s">
        <v>11</v>
      </c>
      <c r="J67" s="181" t="s">
        <v>136</v>
      </c>
      <c r="K67" s="200" t="b">
        <v>0</v>
      </c>
      <c r="L67" s="650">
        <v>376500</v>
      </c>
      <c r="M67" s="89">
        <v>0</v>
      </c>
      <c r="N67" s="89">
        <f t="shared" si="22"/>
        <v>90435.3</v>
      </c>
      <c r="O67" s="89">
        <v>55829.88</v>
      </c>
      <c r="P67" s="89">
        <f t="shared" si="9"/>
        <v>9043.5300000000007</v>
      </c>
      <c r="Q67" s="651">
        <v>50117.31</v>
      </c>
      <c r="R67" s="650">
        <v>77250</v>
      </c>
      <c r="S67" s="89">
        <v>0</v>
      </c>
      <c r="T67" s="89">
        <f t="shared" si="23"/>
        <v>7439.1750000000002</v>
      </c>
      <c r="U67" s="89">
        <v>0</v>
      </c>
      <c r="V67" s="89">
        <f t="shared" si="10"/>
        <v>743.91750000000002</v>
      </c>
      <c r="W67" s="347">
        <v>0</v>
      </c>
      <c r="X67" s="256">
        <v>0.2402</v>
      </c>
      <c r="Y67" s="256">
        <v>9.6299999999999997E-2</v>
      </c>
      <c r="Z67" s="648">
        <v>0.1734</v>
      </c>
      <c r="AA67" s="89">
        <f t="shared" si="44"/>
        <v>453750</v>
      </c>
      <c r="AB67" s="89">
        <f t="shared" si="45"/>
        <v>0</v>
      </c>
      <c r="AC67" s="257">
        <f t="shared" si="46"/>
        <v>0.1734</v>
      </c>
      <c r="AD67" s="90">
        <f t="shared" si="47"/>
        <v>78680.25</v>
      </c>
      <c r="AE67" s="89">
        <f t="shared" si="48"/>
        <v>55829.88</v>
      </c>
      <c r="AF67" s="89">
        <f t="shared" si="49"/>
        <v>50117.31</v>
      </c>
      <c r="AG67" s="270">
        <f t="shared" si="17"/>
        <v>0</v>
      </c>
      <c r="AH67" s="271">
        <f t="shared" si="18"/>
        <v>42.574760502159052</v>
      </c>
      <c r="AI67" s="240">
        <f t="shared" si="19"/>
        <v>42.574760502159052</v>
      </c>
      <c r="AJ67" s="316">
        <v>4.6318872987477642</v>
      </c>
      <c r="AK67" s="672">
        <f t="shared" si="24"/>
        <v>37.942873203411288</v>
      </c>
      <c r="AL67">
        <f t="shared" si="51"/>
        <v>55</v>
      </c>
      <c r="AM67" s="822"/>
      <c r="AN67" s="108">
        <v>15</v>
      </c>
      <c r="AO67" s="108" t="s">
        <v>131</v>
      </c>
      <c r="AP67" s="108" t="s">
        <v>278</v>
      </c>
      <c r="AQ67" s="109">
        <v>177337680</v>
      </c>
      <c r="AR67" s="109">
        <v>247534855.83000001</v>
      </c>
      <c r="AS67" s="109">
        <v>61412040</v>
      </c>
      <c r="AT67" s="109">
        <v>243579732.68000001</v>
      </c>
      <c r="AU67" s="109">
        <v>6141240</v>
      </c>
      <c r="AV67" s="110">
        <v>1077131.6100000001</v>
      </c>
    </row>
    <row r="68" spans="1:48" x14ac:dyDescent="0.2">
      <c r="A68" s="6">
        <v>57</v>
      </c>
      <c r="B68" s="199">
        <v>60403</v>
      </c>
      <c r="C68" s="680" t="s">
        <v>159</v>
      </c>
      <c r="D68" s="173" t="s">
        <v>136</v>
      </c>
      <c r="E68" s="173" t="s">
        <v>136</v>
      </c>
      <c r="F68" s="174" t="s">
        <v>113</v>
      </c>
      <c r="G68" s="179" t="s">
        <v>4</v>
      </c>
      <c r="H68" s="179" t="s">
        <v>294</v>
      </c>
      <c r="I68" s="182" t="s">
        <v>9</v>
      </c>
      <c r="J68" s="181" t="s">
        <v>136</v>
      </c>
      <c r="K68" s="200" t="b">
        <v>0</v>
      </c>
      <c r="L68" s="650">
        <v>1222905</v>
      </c>
      <c r="M68" s="89">
        <v>0</v>
      </c>
      <c r="N68" s="89">
        <f t="shared" si="22"/>
        <v>50139.105000000003</v>
      </c>
      <c r="O68" s="89">
        <v>43750.26</v>
      </c>
      <c r="P68" s="89">
        <f t="shared" si="9"/>
        <v>5013.9105000000009</v>
      </c>
      <c r="Q68" s="651">
        <v>59690.07</v>
      </c>
      <c r="R68" s="650">
        <v>1318500</v>
      </c>
      <c r="S68" s="89">
        <v>122292.65</v>
      </c>
      <c r="T68" s="89">
        <f t="shared" si="23"/>
        <v>522653.39999999997</v>
      </c>
      <c r="U68" s="89">
        <v>122142.57</v>
      </c>
      <c r="V68" s="89">
        <f t="shared" si="10"/>
        <v>52265.34</v>
      </c>
      <c r="W68" s="347">
        <v>51345.38</v>
      </c>
      <c r="X68" s="256">
        <v>4.1000000000000002E-2</v>
      </c>
      <c r="Y68" s="256">
        <v>0.39639999999999997</v>
      </c>
      <c r="Z68" s="648">
        <v>0.2059</v>
      </c>
      <c r="AA68" s="89">
        <f t="shared" si="44"/>
        <v>2541405</v>
      </c>
      <c r="AB68" s="89">
        <f t="shared" si="45"/>
        <v>122292.65</v>
      </c>
      <c r="AC68" s="257">
        <f t="shared" si="46"/>
        <v>0.2059</v>
      </c>
      <c r="AD68" s="90">
        <f t="shared" si="47"/>
        <v>523275.28950000001</v>
      </c>
      <c r="AE68" s="89">
        <f t="shared" si="48"/>
        <v>165892.83000000002</v>
      </c>
      <c r="AF68" s="89">
        <f t="shared" si="49"/>
        <v>111035.45</v>
      </c>
      <c r="AG68" s="270">
        <f t="shared" si="17"/>
        <v>2.4060047493414074</v>
      </c>
      <c r="AH68" s="271">
        <f t="shared" si="18"/>
        <v>19.021669854716119</v>
      </c>
      <c r="AI68" s="240">
        <f t="shared" si="19"/>
        <v>21.427674604057525</v>
      </c>
      <c r="AJ68" s="316">
        <v>72.830157518769411</v>
      </c>
      <c r="AK68" s="672">
        <f t="shared" si="24"/>
        <v>-51.402482914711882</v>
      </c>
      <c r="AM68" s="822"/>
      <c r="AN68" s="103">
        <v>19</v>
      </c>
      <c r="AO68" s="103" t="s">
        <v>133</v>
      </c>
      <c r="AP68" s="103" t="s">
        <v>279</v>
      </c>
      <c r="AQ68" s="104">
        <v>1261197600</v>
      </c>
      <c r="AR68" s="104">
        <v>562490815.80999994</v>
      </c>
      <c r="AS68" s="104">
        <v>2284800</v>
      </c>
      <c r="AT68" s="104">
        <v>0</v>
      </c>
      <c r="AU68" s="104">
        <v>228120</v>
      </c>
      <c r="AV68" s="105">
        <v>0</v>
      </c>
    </row>
    <row r="69" spans="1:48" x14ac:dyDescent="0.2">
      <c r="A69" s="6">
        <v>58</v>
      </c>
      <c r="B69" s="199">
        <v>60404</v>
      </c>
      <c r="C69" s="680" t="s">
        <v>160</v>
      </c>
      <c r="D69" s="173" t="s">
        <v>136</v>
      </c>
      <c r="E69" s="173" t="s">
        <v>136</v>
      </c>
      <c r="F69" s="174" t="s">
        <v>113</v>
      </c>
      <c r="G69" s="179" t="s">
        <v>4</v>
      </c>
      <c r="H69" s="179" t="s">
        <v>294</v>
      </c>
      <c r="I69" s="180" t="s">
        <v>9</v>
      </c>
      <c r="J69" s="181" t="s">
        <v>136</v>
      </c>
      <c r="K69" s="200" t="b">
        <v>0</v>
      </c>
      <c r="L69" s="650">
        <v>673050</v>
      </c>
      <c r="M69" s="89">
        <v>0</v>
      </c>
      <c r="N69" s="89">
        <f t="shared" si="22"/>
        <v>45027.044999999998</v>
      </c>
      <c r="O69" s="89">
        <v>42072.93</v>
      </c>
      <c r="P69" s="89">
        <f t="shared" si="9"/>
        <v>4502.7044999999998</v>
      </c>
      <c r="Q69" s="651">
        <v>29023.200000000001</v>
      </c>
      <c r="R69" s="650">
        <v>1065600</v>
      </c>
      <c r="S69" s="89">
        <v>122307.91</v>
      </c>
      <c r="T69" s="89">
        <f t="shared" si="23"/>
        <v>426453.12</v>
      </c>
      <c r="U69" s="89">
        <v>118189.53</v>
      </c>
      <c r="V69" s="89">
        <f t="shared" si="10"/>
        <v>42645.312000000005</v>
      </c>
      <c r="W69" s="347">
        <v>22716.15</v>
      </c>
      <c r="X69" s="256">
        <v>6.6900000000000001E-2</v>
      </c>
      <c r="Y69" s="256">
        <v>0.4002</v>
      </c>
      <c r="Z69" s="648">
        <v>0.2596</v>
      </c>
      <c r="AA69" s="89">
        <f t="shared" si="44"/>
        <v>1738650</v>
      </c>
      <c r="AB69" s="89">
        <f t="shared" si="45"/>
        <v>122307.91</v>
      </c>
      <c r="AC69" s="257">
        <f t="shared" si="46"/>
        <v>0.2596</v>
      </c>
      <c r="AD69" s="90">
        <f t="shared" si="47"/>
        <v>451353.54</v>
      </c>
      <c r="AE69" s="89">
        <f t="shared" si="48"/>
        <v>160262.46</v>
      </c>
      <c r="AF69" s="89">
        <f t="shared" si="49"/>
        <v>51739.350000000006</v>
      </c>
      <c r="AG69" s="270">
        <f t="shared" si="17"/>
        <v>3.5173240732752427</v>
      </c>
      <c r="AH69" s="271">
        <f t="shared" si="18"/>
        <v>21.304247663594264</v>
      </c>
      <c r="AI69" s="240">
        <f t="shared" si="19"/>
        <v>24.821571736869508</v>
      </c>
      <c r="AJ69" s="316">
        <v>0</v>
      </c>
      <c r="AK69" s="672">
        <f t="shared" si="24"/>
        <v>24.821571736869508</v>
      </c>
      <c r="AM69" s="823"/>
      <c r="AN69" s="111">
        <v>20</v>
      </c>
      <c r="AO69" s="111" t="s">
        <v>134</v>
      </c>
      <c r="AP69" s="111" t="s">
        <v>280</v>
      </c>
      <c r="AQ69" s="112">
        <v>0</v>
      </c>
      <c r="AR69" s="112">
        <v>0</v>
      </c>
      <c r="AS69" s="112">
        <v>0</v>
      </c>
      <c r="AT69" s="112">
        <v>0</v>
      </c>
      <c r="AU69" s="112">
        <v>0</v>
      </c>
      <c r="AV69" s="113">
        <v>0</v>
      </c>
    </row>
    <row r="70" spans="1:48" x14ac:dyDescent="0.2">
      <c r="A70" s="6">
        <v>59</v>
      </c>
      <c r="B70" s="199">
        <v>60406</v>
      </c>
      <c r="C70" s="680" t="s">
        <v>161</v>
      </c>
      <c r="D70" s="173" t="s">
        <v>136</v>
      </c>
      <c r="E70" s="173" t="s">
        <v>136</v>
      </c>
      <c r="F70" s="174" t="s">
        <v>113</v>
      </c>
      <c r="G70" s="179" t="s">
        <v>4</v>
      </c>
      <c r="H70" s="179" t="s">
        <v>294</v>
      </c>
      <c r="I70" s="182" t="s">
        <v>9</v>
      </c>
      <c r="J70" s="181" t="s">
        <v>136</v>
      </c>
      <c r="K70" s="200" t="b">
        <v>0</v>
      </c>
      <c r="L70" s="650">
        <v>1366011</v>
      </c>
      <c r="M70" s="89">
        <v>969542.49</v>
      </c>
      <c r="N70" s="89">
        <f t="shared" si="22"/>
        <v>57645.664199999999</v>
      </c>
      <c r="O70" s="89">
        <v>38795.31</v>
      </c>
      <c r="P70" s="89">
        <f t="shared" si="9"/>
        <v>5764.5664200000001</v>
      </c>
      <c r="Q70" s="651">
        <v>50553.72</v>
      </c>
      <c r="R70" s="650">
        <v>1507500</v>
      </c>
      <c r="S70" s="89">
        <v>133745.64000000001</v>
      </c>
      <c r="T70" s="89">
        <f t="shared" si="23"/>
        <v>713349</v>
      </c>
      <c r="U70" s="89">
        <v>80654.12</v>
      </c>
      <c r="V70" s="89">
        <f t="shared" si="10"/>
        <v>71334.900000000009</v>
      </c>
      <c r="W70" s="347">
        <v>26183.78</v>
      </c>
      <c r="X70" s="256">
        <v>4.2200000000000001E-2</v>
      </c>
      <c r="Y70" s="256">
        <v>0.47320000000000001</v>
      </c>
      <c r="Z70" s="648">
        <v>0.26829999999999998</v>
      </c>
      <c r="AA70" s="89">
        <f t="shared" si="44"/>
        <v>2873511</v>
      </c>
      <c r="AB70" s="89">
        <f t="shared" si="45"/>
        <v>1103288.1299999999</v>
      </c>
      <c r="AC70" s="257">
        <f t="shared" si="46"/>
        <v>0.26829999999999998</v>
      </c>
      <c r="AD70" s="90">
        <f t="shared" si="47"/>
        <v>770963.0013</v>
      </c>
      <c r="AE70" s="89">
        <f t="shared" si="48"/>
        <v>119449.43</v>
      </c>
      <c r="AF70" s="89">
        <f t="shared" si="49"/>
        <v>76737.5</v>
      </c>
      <c r="AG70" s="270">
        <f t="shared" si="17"/>
        <v>19.197562320102477</v>
      </c>
      <c r="AH70" s="271">
        <f t="shared" si="18"/>
        <v>9.2961215880853434</v>
      </c>
      <c r="AI70" s="240">
        <f t="shared" si="19"/>
        <v>28.493683908187819</v>
      </c>
      <c r="AJ70" s="316">
        <v>13.000916786280298</v>
      </c>
      <c r="AK70" s="672">
        <f t="shared" si="24"/>
        <v>15.492767121907521</v>
      </c>
      <c r="AM70" s="821">
        <v>2014</v>
      </c>
      <c r="AN70" s="99">
        <v>1</v>
      </c>
      <c r="AO70" s="99" t="s">
        <v>123</v>
      </c>
      <c r="AP70" s="99" t="s">
        <v>269</v>
      </c>
      <c r="AQ70" s="384">
        <v>308911732.31999999</v>
      </c>
      <c r="AR70" s="101">
        <v>281953006.68000001</v>
      </c>
      <c r="AS70" s="101">
        <v>125784432</v>
      </c>
      <c r="AT70" s="101">
        <v>91851245.670000002</v>
      </c>
      <c r="AU70" s="101">
        <v>12578448</v>
      </c>
      <c r="AV70" s="102">
        <v>26555549.190000001</v>
      </c>
    </row>
    <row r="71" spans="1:48" x14ac:dyDescent="0.2">
      <c r="A71" s="6">
        <v>60</v>
      </c>
      <c r="B71" s="199">
        <v>60407</v>
      </c>
      <c r="C71" s="680" t="s">
        <v>162</v>
      </c>
      <c r="D71" s="173" t="s">
        <v>136</v>
      </c>
      <c r="E71" s="173" t="s">
        <v>136</v>
      </c>
      <c r="F71" s="174" t="s">
        <v>113</v>
      </c>
      <c r="G71" s="179" t="s">
        <v>4</v>
      </c>
      <c r="H71" s="179" t="s">
        <v>294</v>
      </c>
      <c r="I71" s="180" t="s">
        <v>7</v>
      </c>
      <c r="J71" s="181" t="s">
        <v>136</v>
      </c>
      <c r="K71" s="200" t="b">
        <v>0</v>
      </c>
      <c r="L71" s="650">
        <v>333516</v>
      </c>
      <c r="M71" s="89">
        <v>53217.91</v>
      </c>
      <c r="N71" s="89">
        <f t="shared" si="22"/>
        <v>96019.256399999998</v>
      </c>
      <c r="O71" s="89">
        <v>118869.66</v>
      </c>
      <c r="P71" s="89">
        <f t="shared" si="9"/>
        <v>9601.9256399999995</v>
      </c>
      <c r="Q71" s="651">
        <v>86048.73</v>
      </c>
      <c r="R71" s="650">
        <v>448556.25</v>
      </c>
      <c r="S71" s="89">
        <v>167316.53</v>
      </c>
      <c r="T71" s="89">
        <f t="shared" si="23"/>
        <v>115413.52312499999</v>
      </c>
      <c r="U71" s="89">
        <v>70322.41</v>
      </c>
      <c r="V71" s="89">
        <f t="shared" si="10"/>
        <v>11541.352312499999</v>
      </c>
      <c r="W71" s="347">
        <v>15894.81</v>
      </c>
      <c r="X71" s="256">
        <v>0.28789999999999999</v>
      </c>
      <c r="Y71" s="256">
        <v>0.25729999999999997</v>
      </c>
      <c r="Z71" s="648">
        <v>0.27110000000000001</v>
      </c>
      <c r="AA71" s="89">
        <f t="shared" si="44"/>
        <v>782072.25</v>
      </c>
      <c r="AB71" s="89">
        <f t="shared" si="45"/>
        <v>220534.44</v>
      </c>
      <c r="AC71" s="257">
        <f t="shared" si="46"/>
        <v>0.27110000000000001</v>
      </c>
      <c r="AD71" s="90">
        <f t="shared" si="47"/>
        <v>212019.786975</v>
      </c>
      <c r="AE71" s="89">
        <f t="shared" si="48"/>
        <v>189192.07</v>
      </c>
      <c r="AF71" s="89">
        <f t="shared" si="49"/>
        <v>101943.54</v>
      </c>
      <c r="AG71" s="270">
        <f t="shared" si="17"/>
        <v>14.099364860471651</v>
      </c>
      <c r="AH71" s="271">
        <f t="shared" si="18"/>
        <v>53.539928333851684</v>
      </c>
      <c r="AI71" s="240">
        <f t="shared" si="19"/>
        <v>67.639293194323329</v>
      </c>
      <c r="AJ71" s="316">
        <v>45.22963693972801</v>
      </c>
      <c r="AK71" s="672">
        <f t="shared" si="24"/>
        <v>22.409656254595319</v>
      </c>
      <c r="AL71" t="str">
        <f t="shared" ref="AL71:AL105" si="52">IF($M70=AL$11,$A70,"")</f>
        <v/>
      </c>
      <c r="AM71" s="822"/>
      <c r="AN71" s="103">
        <v>2</v>
      </c>
      <c r="AO71" s="103" t="s">
        <v>124</v>
      </c>
      <c r="AP71" s="103" t="s">
        <v>270</v>
      </c>
      <c r="AQ71" s="361">
        <v>55971891.789999977</v>
      </c>
      <c r="AR71" s="104">
        <v>48377738.109999999</v>
      </c>
      <c r="AS71" s="104">
        <v>45129432</v>
      </c>
      <c r="AT71" s="104">
        <v>50467147.200000003</v>
      </c>
      <c r="AU71" s="104">
        <v>4512948</v>
      </c>
      <c r="AV71" s="105">
        <v>8906342.0399999991</v>
      </c>
    </row>
    <row r="72" spans="1:48" x14ac:dyDescent="0.2">
      <c r="A72" s="6">
        <v>61</v>
      </c>
      <c r="B72" s="199">
        <v>60416</v>
      </c>
      <c r="C72" s="680" t="s">
        <v>163</v>
      </c>
      <c r="D72" s="173" t="s">
        <v>136</v>
      </c>
      <c r="E72" s="173" t="s">
        <v>136</v>
      </c>
      <c r="F72" s="174" t="s">
        <v>113</v>
      </c>
      <c r="G72" s="179" t="s">
        <v>4</v>
      </c>
      <c r="H72" s="179" t="s">
        <v>294</v>
      </c>
      <c r="I72" s="180" t="s">
        <v>39</v>
      </c>
      <c r="J72" s="181" t="s">
        <v>136</v>
      </c>
      <c r="K72" s="200" t="b">
        <v>0</v>
      </c>
      <c r="L72" s="650">
        <v>208800</v>
      </c>
      <c r="M72" s="89">
        <v>0</v>
      </c>
      <c r="N72" s="89">
        <f t="shared" si="22"/>
        <v>43221.599999999999</v>
      </c>
      <c r="O72" s="89">
        <v>33804.54</v>
      </c>
      <c r="P72" s="89">
        <f t="shared" si="9"/>
        <v>4322.16</v>
      </c>
      <c r="Q72" s="651">
        <v>9846.9</v>
      </c>
      <c r="R72" s="650">
        <v>544125</v>
      </c>
      <c r="S72" s="89">
        <v>0</v>
      </c>
      <c r="T72" s="89">
        <f t="shared" si="23"/>
        <v>83523.1875</v>
      </c>
      <c r="U72" s="89">
        <v>0</v>
      </c>
      <c r="V72" s="89">
        <f t="shared" si="10"/>
        <v>8352.3187500000004</v>
      </c>
      <c r="W72" s="347">
        <v>0</v>
      </c>
      <c r="X72" s="256">
        <v>0.20699999999999999</v>
      </c>
      <c r="Y72" s="256">
        <v>0.1535</v>
      </c>
      <c r="Z72" s="648">
        <v>0.1948</v>
      </c>
      <c r="AA72" s="89">
        <f t="shared" si="44"/>
        <v>752925</v>
      </c>
      <c r="AB72" s="89">
        <f t="shared" si="45"/>
        <v>0</v>
      </c>
      <c r="AC72" s="257">
        <f t="shared" si="46"/>
        <v>0.1948</v>
      </c>
      <c r="AD72" s="90">
        <f t="shared" si="47"/>
        <v>146669.79</v>
      </c>
      <c r="AE72" s="89">
        <f t="shared" si="48"/>
        <v>33804.54</v>
      </c>
      <c r="AF72" s="89">
        <f t="shared" si="49"/>
        <v>9846.9</v>
      </c>
      <c r="AG72" s="270">
        <f t="shared" si="17"/>
        <v>0</v>
      </c>
      <c r="AH72" s="271">
        <f t="shared" si="18"/>
        <v>13.828835508662008</v>
      </c>
      <c r="AI72" s="240">
        <f t="shared" si="19"/>
        <v>13.828835508662008</v>
      </c>
      <c r="AJ72" s="316">
        <v>34.463251191836797</v>
      </c>
      <c r="AK72" s="672">
        <f t="shared" si="24"/>
        <v>-20.634415683174787</v>
      </c>
      <c r="AL72" t="str">
        <f t="shared" si="52"/>
        <v/>
      </c>
      <c r="AM72" s="822"/>
      <c r="AN72" s="103">
        <v>3</v>
      </c>
      <c r="AO72" s="103" t="s">
        <v>125</v>
      </c>
      <c r="AP72" s="103" t="s">
        <v>271</v>
      </c>
      <c r="AQ72" s="361">
        <v>119777594.76000005</v>
      </c>
      <c r="AR72" s="104">
        <v>76509002.430000007</v>
      </c>
      <c r="AS72" s="104">
        <v>37298580</v>
      </c>
      <c r="AT72" s="104">
        <v>4237067.04</v>
      </c>
      <c r="AU72" s="104">
        <v>3729864</v>
      </c>
      <c r="AV72" s="105">
        <v>10722959.4</v>
      </c>
    </row>
    <row r="73" spans="1:48" x14ac:dyDescent="0.2">
      <c r="A73" s="6">
        <v>62</v>
      </c>
      <c r="B73" s="199">
        <v>60417</v>
      </c>
      <c r="C73" s="680" t="s">
        <v>164</v>
      </c>
      <c r="D73" s="173" t="s">
        <v>136</v>
      </c>
      <c r="E73" s="173" t="s">
        <v>136</v>
      </c>
      <c r="F73" s="174" t="s">
        <v>113</v>
      </c>
      <c r="G73" s="179" t="s">
        <v>4</v>
      </c>
      <c r="H73" s="179" t="s">
        <v>294</v>
      </c>
      <c r="I73" s="180" t="s">
        <v>41</v>
      </c>
      <c r="J73" s="181" t="s">
        <v>136</v>
      </c>
      <c r="K73" s="200" t="b">
        <v>0</v>
      </c>
      <c r="L73" s="650">
        <v>345750</v>
      </c>
      <c r="M73" s="89">
        <v>0</v>
      </c>
      <c r="N73" s="89">
        <f t="shared" si="22"/>
        <v>123709.35</v>
      </c>
      <c r="O73" s="89">
        <v>110059.74</v>
      </c>
      <c r="P73" s="89">
        <f t="shared" si="9"/>
        <v>12370.935000000001</v>
      </c>
      <c r="Q73" s="651">
        <v>81140.58</v>
      </c>
      <c r="R73" s="650">
        <v>400770</v>
      </c>
      <c r="S73" s="89">
        <v>101342.26</v>
      </c>
      <c r="T73" s="89">
        <f t="shared" si="23"/>
        <v>123837.93</v>
      </c>
      <c r="U73" s="89">
        <v>55995.4</v>
      </c>
      <c r="V73" s="89">
        <f t="shared" si="10"/>
        <v>12383.793</v>
      </c>
      <c r="W73" s="347">
        <v>4221.22</v>
      </c>
      <c r="X73" s="256">
        <v>0.35780000000000001</v>
      </c>
      <c r="Y73" s="256">
        <v>0.309</v>
      </c>
      <c r="Z73" s="648">
        <v>0.3286</v>
      </c>
      <c r="AA73" s="89">
        <f t="shared" si="44"/>
        <v>746520</v>
      </c>
      <c r="AB73" s="89">
        <f t="shared" si="45"/>
        <v>101342.26</v>
      </c>
      <c r="AC73" s="257">
        <f t="shared" si="46"/>
        <v>0.3286</v>
      </c>
      <c r="AD73" s="90">
        <f t="shared" si="47"/>
        <v>245306.47200000001</v>
      </c>
      <c r="AE73" s="89">
        <f t="shared" si="48"/>
        <v>166055.14000000001</v>
      </c>
      <c r="AF73" s="89">
        <f t="shared" si="49"/>
        <v>85361.8</v>
      </c>
      <c r="AG73" s="270">
        <f t="shared" si="17"/>
        <v>6.7876453410491342</v>
      </c>
      <c r="AH73" s="271">
        <f t="shared" si="18"/>
        <v>40.61575839711233</v>
      </c>
      <c r="AI73" s="240">
        <f t="shared" si="19"/>
        <v>47.403403738161465</v>
      </c>
      <c r="AJ73" s="316">
        <v>45.211471971808365</v>
      </c>
      <c r="AK73" s="672">
        <f t="shared" si="24"/>
        <v>2.1919317663531004</v>
      </c>
      <c r="AL73">
        <f t="shared" si="52"/>
        <v>61</v>
      </c>
      <c r="AM73" s="822"/>
      <c r="AN73" s="103">
        <v>4</v>
      </c>
      <c r="AO73" s="103" t="s">
        <v>132</v>
      </c>
      <c r="AP73" s="103" t="s">
        <v>272</v>
      </c>
      <c r="AQ73" s="361">
        <v>1351355000.8399997</v>
      </c>
      <c r="AR73" s="104">
        <v>1311454274.9200001</v>
      </c>
      <c r="AS73" s="104">
        <v>271060080</v>
      </c>
      <c r="AT73" s="104">
        <v>46029739.659999996</v>
      </c>
      <c r="AU73" s="104">
        <v>27106008</v>
      </c>
      <c r="AV73" s="105">
        <v>10898749.16</v>
      </c>
    </row>
    <row r="74" spans="1:48" x14ac:dyDescent="0.2">
      <c r="A74" s="6">
        <v>63</v>
      </c>
      <c r="B74" s="199">
        <v>61109</v>
      </c>
      <c r="C74" s="680" t="s">
        <v>165</v>
      </c>
      <c r="D74" s="173" t="s">
        <v>136</v>
      </c>
      <c r="E74" s="173" t="s">
        <v>136</v>
      </c>
      <c r="F74" s="174" t="s">
        <v>113</v>
      </c>
      <c r="G74" s="179" t="s">
        <v>4</v>
      </c>
      <c r="H74" s="179" t="s">
        <v>294</v>
      </c>
      <c r="I74" s="182" t="s">
        <v>42</v>
      </c>
      <c r="J74" s="181" t="s">
        <v>136</v>
      </c>
      <c r="K74" s="200" t="b">
        <v>0</v>
      </c>
      <c r="L74" s="650">
        <v>236250</v>
      </c>
      <c r="M74" s="89">
        <v>0</v>
      </c>
      <c r="N74" s="89">
        <f t="shared" si="22"/>
        <v>53605.125</v>
      </c>
      <c r="O74" s="89">
        <v>48628.17</v>
      </c>
      <c r="P74" s="89">
        <f t="shared" si="9"/>
        <v>5360.5125000000007</v>
      </c>
      <c r="Q74" s="651">
        <v>40700.160000000003</v>
      </c>
      <c r="R74" s="650">
        <v>255000</v>
      </c>
      <c r="S74" s="89">
        <v>2641.18</v>
      </c>
      <c r="T74" s="89">
        <f t="shared" si="23"/>
        <v>78642</v>
      </c>
      <c r="U74" s="89">
        <v>2510.9699999999998</v>
      </c>
      <c r="V74" s="89">
        <f t="shared" si="10"/>
        <v>7864.2000000000007</v>
      </c>
      <c r="W74" s="347">
        <v>582.07000000000005</v>
      </c>
      <c r="X74" s="256">
        <v>0.22689999999999999</v>
      </c>
      <c r="Y74" s="256">
        <v>0.30840000000000001</v>
      </c>
      <c r="Z74" s="648">
        <v>0.2747</v>
      </c>
      <c r="AA74" s="89">
        <f t="shared" si="44"/>
        <v>491250</v>
      </c>
      <c r="AB74" s="89">
        <f t="shared" si="45"/>
        <v>2641.18</v>
      </c>
      <c r="AC74" s="257">
        <f t="shared" si="46"/>
        <v>0.2747</v>
      </c>
      <c r="AD74" s="90">
        <f t="shared" si="47"/>
        <v>134946.375</v>
      </c>
      <c r="AE74" s="89">
        <f t="shared" si="48"/>
        <v>51139.14</v>
      </c>
      <c r="AF74" s="89">
        <f t="shared" si="49"/>
        <v>41282.230000000003</v>
      </c>
      <c r="AG74" s="270">
        <f t="shared" si="17"/>
        <v>0.26882239185750634</v>
      </c>
      <c r="AH74" s="271">
        <f t="shared" si="18"/>
        <v>22.737538522246336</v>
      </c>
      <c r="AI74" s="240">
        <f t="shared" si="19"/>
        <v>23.006360914103841</v>
      </c>
      <c r="AJ74" s="316">
        <v>38.217898926810442</v>
      </c>
      <c r="AK74" s="672">
        <f t="shared" si="24"/>
        <v>-15.211538012706601</v>
      </c>
      <c r="AL74">
        <f t="shared" si="52"/>
        <v>62</v>
      </c>
      <c r="AM74" s="822"/>
      <c r="AN74" s="40">
        <v>5</v>
      </c>
      <c r="AO74" s="40" t="s">
        <v>126</v>
      </c>
      <c r="AP74" s="40" t="s">
        <v>273</v>
      </c>
      <c r="AQ74" s="361">
        <v>227851272.59999999</v>
      </c>
      <c r="AR74" s="122">
        <v>38237857.780000001</v>
      </c>
      <c r="AS74" s="122">
        <v>20615028</v>
      </c>
      <c r="AT74" s="122">
        <v>0</v>
      </c>
      <c r="AU74" s="122">
        <v>2061504</v>
      </c>
      <c r="AV74" s="167">
        <v>0</v>
      </c>
    </row>
    <row r="75" spans="1:48" x14ac:dyDescent="0.2">
      <c r="A75" s="6">
        <v>64</v>
      </c>
      <c r="B75" s="199">
        <v>60421</v>
      </c>
      <c r="C75" s="680" t="s">
        <v>166</v>
      </c>
      <c r="D75" s="173" t="s">
        <v>136</v>
      </c>
      <c r="E75" s="173" t="s">
        <v>136</v>
      </c>
      <c r="F75" s="174" t="s">
        <v>113</v>
      </c>
      <c r="G75" s="179" t="s">
        <v>4</v>
      </c>
      <c r="H75" s="179" t="s">
        <v>294</v>
      </c>
      <c r="I75" s="182" t="s">
        <v>10</v>
      </c>
      <c r="J75" s="181" t="s">
        <v>136</v>
      </c>
      <c r="K75" s="200" t="b">
        <v>0</v>
      </c>
      <c r="L75" s="650">
        <v>868500</v>
      </c>
      <c r="M75" s="89">
        <v>483492.52</v>
      </c>
      <c r="N75" s="89">
        <f t="shared" si="22"/>
        <v>40037.85</v>
      </c>
      <c r="O75" s="89">
        <v>25204.77</v>
      </c>
      <c r="P75" s="89">
        <f t="shared" si="9"/>
        <v>4003.7849999999999</v>
      </c>
      <c r="Q75" s="651">
        <v>28657.17</v>
      </c>
      <c r="R75" s="650">
        <v>935159.77499999991</v>
      </c>
      <c r="S75" s="89">
        <v>754265.41</v>
      </c>
      <c r="T75" s="89">
        <f t="shared" si="23"/>
        <v>372661.17033749999</v>
      </c>
      <c r="U75" s="89">
        <v>324421.33</v>
      </c>
      <c r="V75" s="89">
        <f t="shared" si="10"/>
        <v>37266.117033750001</v>
      </c>
      <c r="W75" s="347">
        <v>89251.05</v>
      </c>
      <c r="X75" s="256">
        <v>4.6100000000000002E-2</v>
      </c>
      <c r="Y75" s="256">
        <v>0.39850000000000002</v>
      </c>
      <c r="Z75" s="648">
        <v>0.23039999999999999</v>
      </c>
      <c r="AA75" s="89">
        <f t="shared" ref="AA75:AA106" si="53">IF(jakaKS=1,L75+R75,IF(jakaKS=2,L75,IF(jakaKS=3,R75,0)))</f>
        <v>1803659.7749999999</v>
      </c>
      <c r="AB75" s="89">
        <f t="shared" ref="AB75:AB106" si="54">IF(jakaKS=1,M75+S75,IF(jakaKS=2,M75,IF(jakaKS=3,S75,0)))+IF(uspora="A",IF(jakaKS=1,Q75+W75,IF(jakaKS=2,Q75,IF(jakaKS=3,W75,0))),0)</f>
        <v>1237757.9300000002</v>
      </c>
      <c r="AC75" s="257">
        <f t="shared" ref="AC75:AC106" si="55">IF(jakaKS=1,Z75,IF(jakaKS=2,X75,IF(jakaKS=3,Y75,0)))</f>
        <v>0.23039999999999999</v>
      </c>
      <c r="AD75" s="90">
        <f t="shared" ref="AD75:AD106" si="56">IF(jakaKS=1,AA75*Z75,IF(jakaKS=2,N75,IF(jakaKS=3,T75,0)))</f>
        <v>415563.21216</v>
      </c>
      <c r="AE75" s="89">
        <f t="shared" ref="AE75:AE106" si="57">IF(jakaKS=1,O75+U75,IF(jakaKS=2,O75,IF(jakaKS=3,U75,0)))+IF(uspora="A",IF(jakaKS=1,Q75+W75,IF(jakaKS=2,Q75,IF(jakaKS=3,W75,0))),0)</f>
        <v>349626.10000000003</v>
      </c>
      <c r="AF75" s="89">
        <f t="shared" ref="AF75:AF106" si="58">IF(jakaKS=1,Q75+W75,IF(jakaKS=2,Q75,IF(jakaKS=3,W75,0)))</f>
        <v>117908.22</v>
      </c>
      <c r="AG75" s="270">
        <f t="shared" ref="AG75:AG138" si="59">IF((AB75/(AA75*$O$6)*vahaE)&gt;vahaE,vahaE,AB75/(AA75*$O$6)*vahaE)</f>
        <v>34.312400463662833</v>
      </c>
      <c r="AH75" s="271">
        <f t="shared" ref="AH75:AH138" si="60">IF((AE75/AD75*vahaD)&gt;vahaD,vahaD,AE75/AD75*vahaD)</f>
        <v>50.479843706480999</v>
      </c>
      <c r="AI75" s="240">
        <f t="shared" ref="AI75:AI138" si="61">IF((AB75/(AA75*$O$6)*vahaE)&gt;vahaE,vahaE,AB75/(AA75*$O$6)*vahaE)+IF((AE75/AD75*vahaD)&gt;vahaD,vahaD,AE75/AD75*vahaD)</f>
        <v>84.792244170143832</v>
      </c>
      <c r="AJ75" s="316">
        <v>80.695534568491752</v>
      </c>
      <c r="AK75" s="672">
        <f t="shared" si="24"/>
        <v>4.0967096016520799</v>
      </c>
      <c r="AL75">
        <f t="shared" si="52"/>
        <v>63</v>
      </c>
      <c r="AM75" s="822"/>
      <c r="AN75" s="108">
        <v>11</v>
      </c>
      <c r="AO75" s="108" t="s">
        <v>129</v>
      </c>
      <c r="AP75" s="108" t="s">
        <v>274</v>
      </c>
      <c r="AQ75" s="361">
        <v>122196146.13</v>
      </c>
      <c r="AR75" s="109">
        <v>172236689.91</v>
      </c>
      <c r="AS75" s="109">
        <v>83056980</v>
      </c>
      <c r="AT75" s="109">
        <v>4599082.3600000003</v>
      </c>
      <c r="AU75" s="109">
        <v>8305704</v>
      </c>
      <c r="AV75" s="110">
        <v>1160084.3600000001</v>
      </c>
    </row>
    <row r="76" spans="1:48" x14ac:dyDescent="0.2">
      <c r="A76" s="6">
        <v>65</v>
      </c>
      <c r="B76" s="199">
        <v>60422</v>
      </c>
      <c r="C76" s="680" t="s">
        <v>167</v>
      </c>
      <c r="D76" s="173" t="s">
        <v>136</v>
      </c>
      <c r="E76" s="173" t="s">
        <v>136</v>
      </c>
      <c r="F76" s="174" t="s">
        <v>113</v>
      </c>
      <c r="G76" s="179" t="s">
        <v>4</v>
      </c>
      <c r="H76" s="179" t="s">
        <v>294</v>
      </c>
      <c r="I76" s="182" t="s">
        <v>10</v>
      </c>
      <c r="J76" s="181" t="s">
        <v>136</v>
      </c>
      <c r="K76" s="200" t="b">
        <v>0</v>
      </c>
      <c r="L76" s="650">
        <v>900000</v>
      </c>
      <c r="M76" s="89">
        <v>2512.89</v>
      </c>
      <c r="N76" s="89">
        <f t="shared" si="22"/>
        <v>169380</v>
      </c>
      <c r="O76" s="89">
        <v>176084.64</v>
      </c>
      <c r="P76" s="89">
        <f t="shared" ref="P76:P139" si="62">N76*planUspor</f>
        <v>16938</v>
      </c>
      <c r="Q76" s="651">
        <v>129205.53</v>
      </c>
      <c r="R76" s="650">
        <v>1410000</v>
      </c>
      <c r="S76" s="89">
        <v>605191.01</v>
      </c>
      <c r="T76" s="89">
        <f t="shared" si="23"/>
        <v>622797</v>
      </c>
      <c r="U76" s="89">
        <v>562905.76</v>
      </c>
      <c r="V76" s="89">
        <f t="shared" ref="V76:V139" si="63">T76*planUspor</f>
        <v>62279.700000000004</v>
      </c>
      <c r="W76" s="347">
        <v>118899.93</v>
      </c>
      <c r="X76" s="256">
        <v>0.18820000000000001</v>
      </c>
      <c r="Y76" s="256">
        <v>0.44169999999999998</v>
      </c>
      <c r="Z76" s="648">
        <v>0.35039999999999999</v>
      </c>
      <c r="AA76" s="89">
        <f t="shared" si="53"/>
        <v>2310000</v>
      </c>
      <c r="AB76" s="89">
        <f t="shared" si="54"/>
        <v>607703.9</v>
      </c>
      <c r="AC76" s="257">
        <f t="shared" si="55"/>
        <v>0.35039999999999999</v>
      </c>
      <c r="AD76" s="90">
        <f t="shared" si="56"/>
        <v>809424</v>
      </c>
      <c r="AE76" s="89">
        <f t="shared" si="57"/>
        <v>738990.4</v>
      </c>
      <c r="AF76" s="89">
        <f t="shared" si="58"/>
        <v>248105.46</v>
      </c>
      <c r="AG76" s="270">
        <f t="shared" si="59"/>
        <v>13.153764069264069</v>
      </c>
      <c r="AH76" s="271">
        <f t="shared" si="60"/>
        <v>54.778983573504128</v>
      </c>
      <c r="AI76" s="240">
        <f t="shared" si="61"/>
        <v>67.932747642768192</v>
      </c>
      <c r="AJ76" s="316">
        <v>39.541375986166642</v>
      </c>
      <c r="AK76" s="672">
        <f t="shared" ref="AK76:AK139" si="64">AI76-AJ76</f>
        <v>28.391371656601549</v>
      </c>
      <c r="AL76" t="str">
        <f t="shared" si="52"/>
        <v/>
      </c>
      <c r="AM76" s="822"/>
      <c r="AN76" s="108">
        <v>12</v>
      </c>
      <c r="AO76" s="108" t="s">
        <v>130</v>
      </c>
      <c r="AP76" s="108" t="s">
        <v>275</v>
      </c>
      <c r="AQ76" s="361">
        <v>182420428.81999996</v>
      </c>
      <c r="AR76" s="109">
        <v>160936370.72</v>
      </c>
      <c r="AS76" s="109">
        <v>90831036</v>
      </c>
      <c r="AT76" s="109">
        <v>6137630.2000000002</v>
      </c>
      <c r="AU76" s="109">
        <v>9083100</v>
      </c>
      <c r="AV76" s="110">
        <v>1972430.06</v>
      </c>
    </row>
    <row r="77" spans="1:48" x14ac:dyDescent="0.2">
      <c r="A77" s="6">
        <v>66</v>
      </c>
      <c r="B77" s="199">
        <v>60423</v>
      </c>
      <c r="C77" s="680" t="s">
        <v>168</v>
      </c>
      <c r="D77" s="173" t="s">
        <v>136</v>
      </c>
      <c r="E77" s="173" t="s">
        <v>136</v>
      </c>
      <c r="F77" s="174" t="s">
        <v>113</v>
      </c>
      <c r="G77" s="179" t="s">
        <v>4</v>
      </c>
      <c r="H77" s="179" t="s">
        <v>294</v>
      </c>
      <c r="I77" s="182" t="s">
        <v>10</v>
      </c>
      <c r="J77" s="181" t="s">
        <v>136</v>
      </c>
      <c r="K77" s="200" t="b">
        <v>0</v>
      </c>
      <c r="L77" s="650">
        <v>1104750</v>
      </c>
      <c r="M77" s="89">
        <v>479068.32</v>
      </c>
      <c r="N77" s="89">
        <f t="shared" ref="N77:N140" si="65">L77*X77</f>
        <v>39881.474999999999</v>
      </c>
      <c r="O77" s="89">
        <v>32602.32</v>
      </c>
      <c r="P77" s="89">
        <f t="shared" si="62"/>
        <v>3988.1475</v>
      </c>
      <c r="Q77" s="651">
        <v>28767.15</v>
      </c>
      <c r="R77" s="650">
        <v>1428750</v>
      </c>
      <c r="S77" s="89">
        <v>655726.93999999994</v>
      </c>
      <c r="T77" s="89">
        <f t="shared" ref="T77:T140" si="66">R77*Y77</f>
        <v>550068.75</v>
      </c>
      <c r="U77" s="89">
        <v>655132.38</v>
      </c>
      <c r="V77" s="89">
        <f t="shared" si="63"/>
        <v>55006.875</v>
      </c>
      <c r="W77" s="347">
        <v>125922.88</v>
      </c>
      <c r="X77" s="256">
        <v>3.61E-2</v>
      </c>
      <c r="Y77" s="256">
        <v>0.38500000000000001</v>
      </c>
      <c r="Z77" s="648">
        <v>0.24890000000000001</v>
      </c>
      <c r="AA77" s="89">
        <f t="shared" si="53"/>
        <v>2533500</v>
      </c>
      <c r="AB77" s="89">
        <f t="shared" si="54"/>
        <v>1134795.26</v>
      </c>
      <c r="AC77" s="257">
        <f t="shared" si="55"/>
        <v>0.24890000000000001</v>
      </c>
      <c r="AD77" s="90">
        <f t="shared" si="56"/>
        <v>630588.15</v>
      </c>
      <c r="AE77" s="89">
        <f t="shared" si="57"/>
        <v>687734.7</v>
      </c>
      <c r="AF77" s="89">
        <f t="shared" si="58"/>
        <v>154690.03</v>
      </c>
      <c r="AG77" s="270">
        <f t="shared" si="59"/>
        <v>22.395801460430235</v>
      </c>
      <c r="AH77" s="271">
        <f t="shared" si="60"/>
        <v>60</v>
      </c>
      <c r="AI77" s="240">
        <f t="shared" si="61"/>
        <v>82.395801460430235</v>
      </c>
      <c r="AJ77" s="316">
        <v>51.010115984605271</v>
      </c>
      <c r="AK77" s="672">
        <f t="shared" si="64"/>
        <v>31.385685475824964</v>
      </c>
      <c r="AL77" t="str">
        <f t="shared" si="52"/>
        <v/>
      </c>
      <c r="AM77" s="822"/>
      <c r="AN77" s="108">
        <v>13</v>
      </c>
      <c r="AO77" s="108" t="s">
        <v>127</v>
      </c>
      <c r="AP77" s="108" t="s">
        <v>276</v>
      </c>
      <c r="AQ77" s="361">
        <v>706043988.63</v>
      </c>
      <c r="AR77" s="109">
        <v>367185031.41000003</v>
      </c>
      <c r="AS77" s="109">
        <v>240625896</v>
      </c>
      <c r="AT77" s="361">
        <f>62781849.41+541842</f>
        <v>63323691.409999996</v>
      </c>
      <c r="AU77" s="109">
        <v>24062592</v>
      </c>
      <c r="AV77" s="110">
        <v>10388877.85</v>
      </c>
    </row>
    <row r="78" spans="1:48" x14ac:dyDescent="0.2">
      <c r="A78" s="6">
        <v>67</v>
      </c>
      <c r="B78" s="199">
        <v>60424</v>
      </c>
      <c r="C78" s="680" t="s">
        <v>169</v>
      </c>
      <c r="D78" s="173" t="s">
        <v>136</v>
      </c>
      <c r="E78" s="173" t="s">
        <v>136</v>
      </c>
      <c r="F78" s="174" t="s">
        <v>113</v>
      </c>
      <c r="G78" s="179" t="s">
        <v>4</v>
      </c>
      <c r="H78" s="179" t="s">
        <v>294</v>
      </c>
      <c r="I78" s="182" t="s">
        <v>10</v>
      </c>
      <c r="J78" s="181" t="s">
        <v>136</v>
      </c>
      <c r="K78" s="200" t="b">
        <v>0</v>
      </c>
      <c r="L78" s="650">
        <v>1398750</v>
      </c>
      <c r="M78" s="89">
        <v>1434517.58</v>
      </c>
      <c r="N78" s="89">
        <f t="shared" si="65"/>
        <v>21540.75</v>
      </c>
      <c r="O78" s="89">
        <v>20320.02</v>
      </c>
      <c r="P78" s="89">
        <f t="shared" si="62"/>
        <v>2154.0750000000003</v>
      </c>
      <c r="Q78" s="651">
        <v>23829.119999999999</v>
      </c>
      <c r="R78" s="650">
        <v>734250</v>
      </c>
      <c r="S78" s="89">
        <v>792444.18</v>
      </c>
      <c r="T78" s="89">
        <f t="shared" si="66"/>
        <v>283861.05</v>
      </c>
      <c r="U78" s="89">
        <v>215682.36</v>
      </c>
      <c r="V78" s="89">
        <f t="shared" si="63"/>
        <v>28386.105</v>
      </c>
      <c r="W78" s="347">
        <v>39782.31</v>
      </c>
      <c r="X78" s="256">
        <v>1.54E-2</v>
      </c>
      <c r="Y78" s="256">
        <v>0.3866</v>
      </c>
      <c r="Z78" s="648">
        <v>0.14960000000000001</v>
      </c>
      <c r="AA78" s="89">
        <f t="shared" si="53"/>
        <v>2133000</v>
      </c>
      <c r="AB78" s="89">
        <f t="shared" si="54"/>
        <v>2226961.7600000002</v>
      </c>
      <c r="AC78" s="257">
        <f t="shared" si="55"/>
        <v>0.14960000000000001</v>
      </c>
      <c r="AD78" s="90">
        <f t="shared" si="56"/>
        <v>319096.80000000005</v>
      </c>
      <c r="AE78" s="89">
        <f t="shared" si="57"/>
        <v>236002.37999999998</v>
      </c>
      <c r="AF78" s="89">
        <f t="shared" si="58"/>
        <v>63611.429999999993</v>
      </c>
      <c r="AG78" s="270">
        <f t="shared" si="59"/>
        <v>40</v>
      </c>
      <c r="AH78" s="271">
        <f t="shared" si="60"/>
        <v>44.375696653805349</v>
      </c>
      <c r="AI78" s="240">
        <f t="shared" si="61"/>
        <v>84.375696653805349</v>
      </c>
      <c r="AJ78" s="316">
        <v>31.804881117985254</v>
      </c>
      <c r="AK78" s="672">
        <f t="shared" si="64"/>
        <v>52.570815535820095</v>
      </c>
      <c r="AL78" t="str">
        <f t="shared" si="52"/>
        <v/>
      </c>
      <c r="AM78" s="822"/>
      <c r="AN78" s="108">
        <v>14</v>
      </c>
      <c r="AO78" s="108" t="s">
        <v>128</v>
      </c>
      <c r="AP78" s="108" t="s">
        <v>277</v>
      </c>
      <c r="AQ78" s="361">
        <v>198115498.8900001</v>
      </c>
      <c r="AR78" s="109">
        <v>118735526.41</v>
      </c>
      <c r="AS78" s="109">
        <v>132727032</v>
      </c>
      <c r="AT78" s="109">
        <v>85072868.980000004</v>
      </c>
      <c r="AU78" s="109">
        <v>13272708</v>
      </c>
      <c r="AV78" s="110">
        <v>22009744.27</v>
      </c>
    </row>
    <row r="79" spans="1:48" x14ac:dyDescent="0.2">
      <c r="A79" s="6">
        <v>68</v>
      </c>
      <c r="B79" s="199">
        <v>60425</v>
      </c>
      <c r="C79" s="680" t="s">
        <v>170</v>
      </c>
      <c r="D79" s="173" t="s">
        <v>136</v>
      </c>
      <c r="E79" s="173" t="s">
        <v>136</v>
      </c>
      <c r="F79" s="174" t="s">
        <v>113</v>
      </c>
      <c r="G79" s="179" t="s">
        <v>4</v>
      </c>
      <c r="H79" s="179" t="s">
        <v>294</v>
      </c>
      <c r="I79" s="182" t="s">
        <v>10</v>
      </c>
      <c r="J79" s="181" t="s">
        <v>136</v>
      </c>
      <c r="K79" s="200" t="b">
        <v>0</v>
      </c>
      <c r="L79" s="650">
        <v>1124250</v>
      </c>
      <c r="M79" s="89">
        <v>0</v>
      </c>
      <c r="N79" s="89">
        <f t="shared" si="65"/>
        <v>49017.3</v>
      </c>
      <c r="O79" s="89">
        <v>30582.81</v>
      </c>
      <c r="P79" s="89">
        <f t="shared" si="62"/>
        <v>4901.7300000000005</v>
      </c>
      <c r="Q79" s="651">
        <v>29965.5</v>
      </c>
      <c r="R79" s="650">
        <v>1472250</v>
      </c>
      <c r="S79" s="89">
        <v>492407.36</v>
      </c>
      <c r="T79" s="89">
        <f t="shared" si="66"/>
        <v>620406.15</v>
      </c>
      <c r="U79" s="89">
        <v>451569.45</v>
      </c>
      <c r="V79" s="89">
        <f t="shared" si="63"/>
        <v>62040.615000000005</v>
      </c>
      <c r="W79" s="347">
        <v>91644.9</v>
      </c>
      <c r="X79" s="256">
        <v>4.36E-2</v>
      </c>
      <c r="Y79" s="256">
        <v>0.4214</v>
      </c>
      <c r="Z79" s="648">
        <v>0.27629999999999999</v>
      </c>
      <c r="AA79" s="89">
        <f t="shared" si="53"/>
        <v>2596500</v>
      </c>
      <c r="AB79" s="89">
        <f t="shared" si="54"/>
        <v>492407.36</v>
      </c>
      <c r="AC79" s="257">
        <f t="shared" si="55"/>
        <v>0.27629999999999999</v>
      </c>
      <c r="AD79" s="90">
        <f t="shared" si="56"/>
        <v>717412.95</v>
      </c>
      <c r="AE79" s="89">
        <f t="shared" si="57"/>
        <v>482152.26</v>
      </c>
      <c r="AF79" s="89">
        <f t="shared" si="58"/>
        <v>121610.4</v>
      </c>
      <c r="AG79" s="270">
        <f t="shared" si="59"/>
        <v>9.482136722511072</v>
      </c>
      <c r="AH79" s="271">
        <f t="shared" si="60"/>
        <v>40.324245053006088</v>
      </c>
      <c r="AI79" s="240">
        <f t="shared" si="61"/>
        <v>49.80638177551716</v>
      </c>
      <c r="AJ79" s="316">
        <v>100</v>
      </c>
      <c r="AK79" s="672">
        <f t="shared" si="64"/>
        <v>-50.19361822448284</v>
      </c>
      <c r="AL79" t="str">
        <f t="shared" si="52"/>
        <v/>
      </c>
      <c r="AM79" s="822"/>
      <c r="AN79" s="108">
        <v>15</v>
      </c>
      <c r="AO79" s="108" t="s">
        <v>131</v>
      </c>
      <c r="AP79" s="108" t="s">
        <v>278</v>
      </c>
      <c r="AQ79" s="361">
        <v>219442532.79999992</v>
      </c>
      <c r="AR79" s="109">
        <v>223361533.21000001</v>
      </c>
      <c r="AS79" s="109">
        <v>76544664</v>
      </c>
      <c r="AT79" s="109">
        <v>219508307.16999999</v>
      </c>
      <c r="AU79" s="109">
        <v>7654464</v>
      </c>
      <c r="AV79" s="110">
        <v>3156792.08</v>
      </c>
    </row>
    <row r="80" spans="1:48" x14ac:dyDescent="0.2">
      <c r="A80" s="6">
        <v>69</v>
      </c>
      <c r="B80" s="199">
        <v>60426</v>
      </c>
      <c r="C80" s="680" t="s">
        <v>171</v>
      </c>
      <c r="D80" s="173" t="s">
        <v>136</v>
      </c>
      <c r="E80" s="173" t="s">
        <v>136</v>
      </c>
      <c r="F80" s="174" t="s">
        <v>113</v>
      </c>
      <c r="G80" s="179" t="s">
        <v>4</v>
      </c>
      <c r="H80" s="179" t="s">
        <v>294</v>
      </c>
      <c r="I80" s="180" t="s">
        <v>10</v>
      </c>
      <c r="J80" s="181" t="s">
        <v>136</v>
      </c>
      <c r="K80" s="200" t="b">
        <v>0</v>
      </c>
      <c r="L80" s="650">
        <v>1002750</v>
      </c>
      <c r="M80" s="89">
        <v>0</v>
      </c>
      <c r="N80" s="89">
        <f t="shared" si="65"/>
        <v>46527.6</v>
      </c>
      <c r="O80" s="89">
        <v>28314.63</v>
      </c>
      <c r="P80" s="89">
        <f t="shared" si="62"/>
        <v>4652.76</v>
      </c>
      <c r="Q80" s="651">
        <v>32480.639999999999</v>
      </c>
      <c r="R80" s="650">
        <v>1506750</v>
      </c>
      <c r="S80" s="89">
        <v>505262.63</v>
      </c>
      <c r="T80" s="89">
        <f t="shared" si="66"/>
        <v>527513.17500000005</v>
      </c>
      <c r="U80" s="89">
        <v>147886.37</v>
      </c>
      <c r="V80" s="89">
        <f t="shared" si="63"/>
        <v>52751.317500000005</v>
      </c>
      <c r="W80" s="347">
        <v>21941.16</v>
      </c>
      <c r="X80" s="256">
        <v>4.6399999999999997E-2</v>
      </c>
      <c r="Y80" s="256">
        <v>0.35010000000000002</v>
      </c>
      <c r="Z80" s="648">
        <v>0.23119999999999999</v>
      </c>
      <c r="AA80" s="89">
        <f t="shared" si="53"/>
        <v>2509500</v>
      </c>
      <c r="AB80" s="89">
        <f t="shared" si="54"/>
        <v>505262.63</v>
      </c>
      <c r="AC80" s="257">
        <f t="shared" si="55"/>
        <v>0.23119999999999999</v>
      </c>
      <c r="AD80" s="90">
        <f t="shared" si="56"/>
        <v>580196.4</v>
      </c>
      <c r="AE80" s="89">
        <f t="shared" si="57"/>
        <v>176201</v>
      </c>
      <c r="AF80" s="89">
        <f t="shared" si="58"/>
        <v>54421.8</v>
      </c>
      <c r="AG80" s="270">
        <f t="shared" si="59"/>
        <v>10.066998007571229</v>
      </c>
      <c r="AH80" s="271">
        <f t="shared" si="60"/>
        <v>18.221519471682349</v>
      </c>
      <c r="AI80" s="240">
        <f t="shared" si="61"/>
        <v>28.288517479253578</v>
      </c>
      <c r="AJ80" s="316">
        <v>70.498590273169427</v>
      </c>
      <c r="AK80" s="672">
        <f t="shared" si="64"/>
        <v>-42.210072793915849</v>
      </c>
      <c r="AL80">
        <f t="shared" si="52"/>
        <v>68</v>
      </c>
      <c r="AM80" s="822"/>
      <c r="AN80" s="103">
        <v>19</v>
      </c>
      <c r="AO80" s="103" t="s">
        <v>133</v>
      </c>
      <c r="AP80" s="103" t="s">
        <v>279</v>
      </c>
      <c r="AQ80" s="361">
        <v>338980085</v>
      </c>
      <c r="AR80" s="104">
        <v>267671394.75999999</v>
      </c>
      <c r="AS80" s="104">
        <v>1262268</v>
      </c>
      <c r="AT80" s="104">
        <v>0</v>
      </c>
      <c r="AU80" s="104">
        <v>126228</v>
      </c>
      <c r="AV80" s="105">
        <v>0</v>
      </c>
    </row>
    <row r="81" spans="1:48" x14ac:dyDescent="0.2">
      <c r="A81" s="6">
        <v>70</v>
      </c>
      <c r="B81" s="199">
        <v>60427</v>
      </c>
      <c r="C81" s="680" t="s">
        <v>172</v>
      </c>
      <c r="D81" s="173" t="s">
        <v>136</v>
      </c>
      <c r="E81" s="173" t="s">
        <v>136</v>
      </c>
      <c r="F81" s="174" t="s">
        <v>113</v>
      </c>
      <c r="G81" s="179" t="s">
        <v>4</v>
      </c>
      <c r="H81" s="179" t="s">
        <v>294</v>
      </c>
      <c r="I81" s="180" t="s">
        <v>10</v>
      </c>
      <c r="J81" s="181" t="s">
        <v>136</v>
      </c>
      <c r="K81" s="200" t="b">
        <v>0</v>
      </c>
      <c r="L81" s="650">
        <v>615292.5</v>
      </c>
      <c r="M81" s="89">
        <v>371023.17</v>
      </c>
      <c r="N81" s="89">
        <f t="shared" si="65"/>
        <v>24488.641500000002</v>
      </c>
      <c r="O81" s="89">
        <v>16654.14</v>
      </c>
      <c r="P81" s="89">
        <f t="shared" si="62"/>
        <v>2448.8641500000003</v>
      </c>
      <c r="Q81" s="651">
        <v>13078.98</v>
      </c>
      <c r="R81" s="650">
        <v>841500</v>
      </c>
      <c r="S81" s="89">
        <v>491960.33</v>
      </c>
      <c r="T81" s="89">
        <f t="shared" si="66"/>
        <v>300920.39999999997</v>
      </c>
      <c r="U81" s="89">
        <v>219346.39</v>
      </c>
      <c r="V81" s="89">
        <f t="shared" si="63"/>
        <v>30092.039999999997</v>
      </c>
      <c r="W81" s="347">
        <v>46788.78</v>
      </c>
      <c r="X81" s="256">
        <v>3.9800000000000002E-2</v>
      </c>
      <c r="Y81" s="256">
        <v>0.35759999999999997</v>
      </c>
      <c r="Z81" s="648">
        <v>0.25240000000000001</v>
      </c>
      <c r="AA81" s="89">
        <f t="shared" si="53"/>
        <v>1456792.5</v>
      </c>
      <c r="AB81" s="89">
        <f t="shared" si="54"/>
        <v>862983.5</v>
      </c>
      <c r="AC81" s="257">
        <f t="shared" si="55"/>
        <v>0.25240000000000001</v>
      </c>
      <c r="AD81" s="90">
        <f t="shared" si="56"/>
        <v>367694.42700000003</v>
      </c>
      <c r="AE81" s="89">
        <f t="shared" si="57"/>
        <v>236000.53000000003</v>
      </c>
      <c r="AF81" s="89">
        <f t="shared" si="58"/>
        <v>59867.759999999995</v>
      </c>
      <c r="AG81" s="270">
        <f t="shared" si="59"/>
        <v>29.61930062105619</v>
      </c>
      <c r="AH81" s="271">
        <f t="shared" si="60"/>
        <v>38.510324770301729</v>
      </c>
      <c r="AI81" s="240">
        <f t="shared" si="61"/>
        <v>68.129625391357919</v>
      </c>
      <c r="AJ81" s="316">
        <v>81.263050581595621</v>
      </c>
      <c r="AK81" s="672">
        <f t="shared" si="64"/>
        <v>-13.133425190237702</v>
      </c>
      <c r="AL81">
        <f t="shared" si="52"/>
        <v>69</v>
      </c>
      <c r="AM81" s="823"/>
      <c r="AN81" s="111">
        <v>20</v>
      </c>
      <c r="AO81" s="111" t="s">
        <v>134</v>
      </c>
      <c r="AP81" s="111" t="s">
        <v>280</v>
      </c>
      <c r="AQ81" s="112">
        <v>0</v>
      </c>
      <c r="AR81" s="112">
        <v>0</v>
      </c>
      <c r="AS81" s="112">
        <v>0</v>
      </c>
      <c r="AT81" s="112">
        <v>0</v>
      </c>
      <c r="AU81" s="112">
        <v>0</v>
      </c>
      <c r="AV81" s="113">
        <v>0</v>
      </c>
    </row>
    <row r="82" spans="1:48" ht="11.25" customHeight="1" x14ac:dyDescent="0.2">
      <c r="A82" s="6">
        <v>71</v>
      </c>
      <c r="B82" s="199">
        <v>60428</v>
      </c>
      <c r="C82" s="680" t="s">
        <v>173</v>
      </c>
      <c r="D82" s="173" t="s">
        <v>136</v>
      </c>
      <c r="E82" s="173" t="s">
        <v>136</v>
      </c>
      <c r="F82" s="174" t="s">
        <v>113</v>
      </c>
      <c r="G82" s="179" t="s">
        <v>4</v>
      </c>
      <c r="H82" s="179" t="s">
        <v>294</v>
      </c>
      <c r="I82" s="180" t="s">
        <v>10</v>
      </c>
      <c r="J82" s="181" t="s">
        <v>136</v>
      </c>
      <c r="K82" s="200" t="b">
        <v>0</v>
      </c>
      <c r="L82" s="650">
        <v>753750</v>
      </c>
      <c r="M82" s="89">
        <v>685381.36</v>
      </c>
      <c r="N82" s="89">
        <f t="shared" si="65"/>
        <v>35275.5</v>
      </c>
      <c r="O82" s="89">
        <v>28171.62</v>
      </c>
      <c r="P82" s="89">
        <f t="shared" si="62"/>
        <v>3527.55</v>
      </c>
      <c r="Q82" s="651">
        <v>38324.07</v>
      </c>
      <c r="R82" s="650">
        <v>1012500</v>
      </c>
      <c r="S82" s="89">
        <v>1066375.04</v>
      </c>
      <c r="T82" s="89">
        <f t="shared" si="66"/>
        <v>411277.5</v>
      </c>
      <c r="U82" s="89">
        <v>276819.84000000003</v>
      </c>
      <c r="V82" s="89">
        <f t="shared" si="63"/>
        <v>41127.75</v>
      </c>
      <c r="W82" s="347">
        <v>72995.12</v>
      </c>
      <c r="X82" s="256">
        <v>4.6800000000000001E-2</v>
      </c>
      <c r="Y82" s="256">
        <v>0.40620000000000001</v>
      </c>
      <c r="Z82" s="648">
        <v>0.25750000000000001</v>
      </c>
      <c r="AA82" s="89">
        <f t="shared" si="53"/>
        <v>1766250</v>
      </c>
      <c r="AB82" s="89">
        <f t="shared" si="54"/>
        <v>1751756.4</v>
      </c>
      <c r="AC82" s="257">
        <f t="shared" si="55"/>
        <v>0.25750000000000001</v>
      </c>
      <c r="AD82" s="90">
        <f t="shared" si="56"/>
        <v>454809.375</v>
      </c>
      <c r="AE82" s="89">
        <f t="shared" si="57"/>
        <v>304991.46000000002</v>
      </c>
      <c r="AF82" s="89">
        <f t="shared" si="58"/>
        <v>111319.19</v>
      </c>
      <c r="AG82" s="270">
        <f t="shared" si="59"/>
        <v>40</v>
      </c>
      <c r="AH82" s="271">
        <f t="shared" si="60"/>
        <v>40.235510976439308</v>
      </c>
      <c r="AI82" s="240">
        <f t="shared" si="61"/>
        <v>80.235510976439315</v>
      </c>
      <c r="AJ82" s="316">
        <v>95.887905815603943</v>
      </c>
      <c r="AK82" s="672">
        <f t="shared" si="64"/>
        <v>-15.652394839164629</v>
      </c>
      <c r="AL82" t="str">
        <f t="shared" si="52"/>
        <v/>
      </c>
      <c r="AM82" s="821">
        <v>2015</v>
      </c>
      <c r="AN82" s="99">
        <v>1</v>
      </c>
      <c r="AO82" s="99" t="s">
        <v>123</v>
      </c>
      <c r="AP82" s="99" t="s">
        <v>269</v>
      </c>
      <c r="AQ82" s="101">
        <v>2270940797.3499985</v>
      </c>
      <c r="AR82" s="101">
        <v>276317968.82999998</v>
      </c>
      <c r="AS82" s="101">
        <v>140966376</v>
      </c>
      <c r="AT82" s="101">
        <v>82506109.469999999</v>
      </c>
      <c r="AU82" s="101">
        <v>14096640</v>
      </c>
      <c r="AV82" s="102">
        <v>29744181.239999998</v>
      </c>
    </row>
    <row r="83" spans="1:48" ht="11.25" customHeight="1" x14ac:dyDescent="0.2">
      <c r="A83" s="6">
        <v>72</v>
      </c>
      <c r="B83" s="199">
        <v>60429</v>
      </c>
      <c r="C83" s="680" t="s">
        <v>174</v>
      </c>
      <c r="D83" s="173" t="s">
        <v>136</v>
      </c>
      <c r="E83" s="173" t="s">
        <v>136</v>
      </c>
      <c r="F83" s="174" t="s">
        <v>113</v>
      </c>
      <c r="G83" s="179" t="s">
        <v>4</v>
      </c>
      <c r="H83" s="179" t="s">
        <v>294</v>
      </c>
      <c r="I83" s="180" t="s">
        <v>11</v>
      </c>
      <c r="J83" s="181" t="s">
        <v>136</v>
      </c>
      <c r="K83" s="200" t="b">
        <v>0</v>
      </c>
      <c r="L83" s="650">
        <v>505875</v>
      </c>
      <c r="M83" s="89">
        <v>0</v>
      </c>
      <c r="N83" s="89">
        <f t="shared" si="65"/>
        <v>125962.875</v>
      </c>
      <c r="O83" s="89">
        <v>149009.4</v>
      </c>
      <c r="P83" s="89">
        <f t="shared" si="62"/>
        <v>12596.2875</v>
      </c>
      <c r="Q83" s="651">
        <v>113255.46</v>
      </c>
      <c r="R83" s="650">
        <v>908400</v>
      </c>
      <c r="S83" s="89">
        <v>39786.29</v>
      </c>
      <c r="T83" s="89">
        <f t="shared" si="66"/>
        <v>357182.88</v>
      </c>
      <c r="U83" s="89">
        <v>39429.1</v>
      </c>
      <c r="V83" s="89">
        <f t="shared" si="63"/>
        <v>35718.288</v>
      </c>
      <c r="W83" s="347">
        <v>11350.92</v>
      </c>
      <c r="X83" s="256">
        <v>0.249</v>
      </c>
      <c r="Y83" s="256">
        <v>0.39319999999999999</v>
      </c>
      <c r="Z83" s="648">
        <v>0.3372</v>
      </c>
      <c r="AA83" s="89">
        <f t="shared" si="53"/>
        <v>1414275</v>
      </c>
      <c r="AB83" s="89">
        <f t="shared" si="54"/>
        <v>39786.29</v>
      </c>
      <c r="AC83" s="257">
        <f t="shared" si="55"/>
        <v>0.3372</v>
      </c>
      <c r="AD83" s="90">
        <f t="shared" si="56"/>
        <v>476893.53</v>
      </c>
      <c r="AE83" s="89">
        <f t="shared" si="57"/>
        <v>188438.5</v>
      </c>
      <c r="AF83" s="89">
        <f t="shared" si="58"/>
        <v>124606.38</v>
      </c>
      <c r="AG83" s="270">
        <f t="shared" si="59"/>
        <v>1.4065966661363596</v>
      </c>
      <c r="AH83" s="271">
        <f t="shared" si="60"/>
        <v>23.70824783468964</v>
      </c>
      <c r="AI83" s="240">
        <f t="shared" si="61"/>
        <v>25.114844500825999</v>
      </c>
      <c r="AJ83" s="316">
        <v>49.375670593955306</v>
      </c>
      <c r="AK83" s="672">
        <f t="shared" si="64"/>
        <v>-24.260826093129307</v>
      </c>
      <c r="AL83" t="str">
        <f t="shared" si="52"/>
        <v/>
      </c>
      <c r="AM83" s="822"/>
      <c r="AN83" s="103">
        <v>2</v>
      </c>
      <c r="AO83" s="103" t="s">
        <v>124</v>
      </c>
      <c r="AP83" s="103" t="s">
        <v>270</v>
      </c>
      <c r="AQ83" s="104"/>
      <c r="AR83" s="104">
        <v>52951999.920000002</v>
      </c>
      <c r="AS83" s="104">
        <v>53405688</v>
      </c>
      <c r="AT83" s="104">
        <v>57422942.520000003</v>
      </c>
      <c r="AU83" s="104">
        <v>5340564</v>
      </c>
      <c r="AV83" s="105">
        <v>20119023.09</v>
      </c>
    </row>
    <row r="84" spans="1:48" ht="11.25" customHeight="1" x14ac:dyDescent="0.2">
      <c r="A84" s="6">
        <v>73</v>
      </c>
      <c r="B84" s="199">
        <v>60433</v>
      </c>
      <c r="C84" s="680" t="s">
        <v>175</v>
      </c>
      <c r="D84" s="173" t="s">
        <v>136</v>
      </c>
      <c r="E84" s="173" t="s">
        <v>136</v>
      </c>
      <c r="F84" s="174" t="s">
        <v>113</v>
      </c>
      <c r="G84" s="179" t="s">
        <v>4</v>
      </c>
      <c r="H84" s="179" t="s">
        <v>294</v>
      </c>
      <c r="I84" s="180" t="s">
        <v>46</v>
      </c>
      <c r="J84" s="181" t="s">
        <v>136</v>
      </c>
      <c r="K84" s="200" t="b">
        <v>0</v>
      </c>
      <c r="L84" s="650">
        <v>778500</v>
      </c>
      <c r="M84" s="89">
        <v>0</v>
      </c>
      <c r="N84" s="89">
        <f t="shared" si="65"/>
        <v>23121.45</v>
      </c>
      <c r="O84" s="89">
        <v>15305.04</v>
      </c>
      <c r="P84" s="89">
        <f t="shared" si="62"/>
        <v>2312.145</v>
      </c>
      <c r="Q84" s="651">
        <v>12409.29</v>
      </c>
      <c r="R84" s="650">
        <v>384750</v>
      </c>
      <c r="S84" s="89">
        <v>3104.82</v>
      </c>
      <c r="T84" s="89">
        <f t="shared" si="66"/>
        <v>82759.725000000006</v>
      </c>
      <c r="U84" s="89">
        <v>3104.82</v>
      </c>
      <c r="V84" s="89">
        <f t="shared" si="63"/>
        <v>8275.9725000000017</v>
      </c>
      <c r="W84" s="347">
        <v>475.89</v>
      </c>
      <c r="X84" s="256">
        <v>2.9700000000000001E-2</v>
      </c>
      <c r="Y84" s="256">
        <v>0.21510000000000001</v>
      </c>
      <c r="Z84" s="648">
        <v>0.1142</v>
      </c>
      <c r="AA84" s="89">
        <f t="shared" si="53"/>
        <v>1163250</v>
      </c>
      <c r="AB84" s="89">
        <f t="shared" si="54"/>
        <v>3104.82</v>
      </c>
      <c r="AC84" s="257">
        <f t="shared" si="55"/>
        <v>0.1142</v>
      </c>
      <c r="AD84" s="90">
        <f t="shared" si="56"/>
        <v>132843.15</v>
      </c>
      <c r="AE84" s="89">
        <f t="shared" si="57"/>
        <v>18409.86</v>
      </c>
      <c r="AF84" s="89">
        <f t="shared" si="58"/>
        <v>12885.18</v>
      </c>
      <c r="AG84" s="270">
        <f t="shared" si="59"/>
        <v>0.13345454545454546</v>
      </c>
      <c r="AH84" s="271">
        <f t="shared" si="60"/>
        <v>8.3150060804791224</v>
      </c>
      <c r="AI84" s="240">
        <f t="shared" si="61"/>
        <v>8.4484606259336683</v>
      </c>
      <c r="AJ84" s="316">
        <v>59.539681367872518</v>
      </c>
      <c r="AK84" s="672">
        <f t="shared" si="64"/>
        <v>-51.091220741938848</v>
      </c>
      <c r="AL84">
        <f t="shared" si="52"/>
        <v>72</v>
      </c>
      <c r="AM84" s="822"/>
      <c r="AN84" s="103">
        <v>3</v>
      </c>
      <c r="AO84" s="103" t="s">
        <v>125</v>
      </c>
      <c r="AP84" s="103" t="s">
        <v>271</v>
      </c>
      <c r="AQ84" s="104"/>
      <c r="AR84" s="104">
        <v>80560178.040000007</v>
      </c>
      <c r="AS84" s="104">
        <v>26668824</v>
      </c>
      <c r="AT84" s="104">
        <v>4280138.68</v>
      </c>
      <c r="AU84" s="104">
        <v>2666880</v>
      </c>
      <c r="AV84" s="105">
        <v>10902533.92</v>
      </c>
    </row>
    <row r="85" spans="1:48" ht="11.25" customHeight="1" x14ac:dyDescent="0.2">
      <c r="A85" s="6">
        <v>74</v>
      </c>
      <c r="B85" s="199">
        <v>60434</v>
      </c>
      <c r="C85" s="680" t="s">
        <v>176</v>
      </c>
      <c r="D85" s="173" t="s">
        <v>136</v>
      </c>
      <c r="E85" s="173" t="s">
        <v>136</v>
      </c>
      <c r="F85" s="174" t="s">
        <v>113</v>
      </c>
      <c r="G85" s="179" t="s">
        <v>4</v>
      </c>
      <c r="H85" s="179" t="s">
        <v>294</v>
      </c>
      <c r="I85" s="180" t="s">
        <v>49</v>
      </c>
      <c r="J85" s="181" t="s">
        <v>136</v>
      </c>
      <c r="K85" s="200" t="b">
        <v>0</v>
      </c>
      <c r="L85" s="650">
        <v>904500</v>
      </c>
      <c r="M85" s="89">
        <v>0</v>
      </c>
      <c r="N85" s="89">
        <f t="shared" si="65"/>
        <v>264837.59999999998</v>
      </c>
      <c r="O85" s="89">
        <v>219365.91</v>
      </c>
      <c r="P85" s="89">
        <f t="shared" si="62"/>
        <v>26483.759999999998</v>
      </c>
      <c r="Q85" s="651">
        <v>164529.99</v>
      </c>
      <c r="R85" s="650">
        <v>556125</v>
      </c>
      <c r="S85" s="89">
        <v>12996.13</v>
      </c>
      <c r="T85" s="89">
        <f t="shared" si="66"/>
        <v>98767.8</v>
      </c>
      <c r="U85" s="89">
        <v>12463.41</v>
      </c>
      <c r="V85" s="89">
        <f t="shared" si="63"/>
        <v>9876.7800000000007</v>
      </c>
      <c r="W85" s="347">
        <v>3097.43</v>
      </c>
      <c r="X85" s="256">
        <v>0.2928</v>
      </c>
      <c r="Y85" s="256">
        <v>0.17760000000000001</v>
      </c>
      <c r="Z85" s="648">
        <v>0.26200000000000001</v>
      </c>
      <c r="AA85" s="89">
        <f t="shared" si="53"/>
        <v>1460625</v>
      </c>
      <c r="AB85" s="89">
        <f t="shared" si="54"/>
        <v>12996.13</v>
      </c>
      <c r="AC85" s="257">
        <f t="shared" si="55"/>
        <v>0.26200000000000001</v>
      </c>
      <c r="AD85" s="90">
        <f t="shared" si="56"/>
        <v>382683.75</v>
      </c>
      <c r="AE85" s="89">
        <f t="shared" si="57"/>
        <v>231829.32</v>
      </c>
      <c r="AF85" s="89">
        <f t="shared" si="58"/>
        <v>167627.41999999998</v>
      </c>
      <c r="AG85" s="270">
        <f t="shared" si="59"/>
        <v>0.44488249893025245</v>
      </c>
      <c r="AH85" s="271">
        <f t="shared" si="60"/>
        <v>36.347922272633738</v>
      </c>
      <c r="AI85" s="240">
        <f t="shared" si="61"/>
        <v>36.792804771563993</v>
      </c>
      <c r="AJ85" s="316">
        <v>73.235669260542181</v>
      </c>
      <c r="AK85" s="672">
        <f t="shared" si="64"/>
        <v>-36.442864488978188</v>
      </c>
      <c r="AL85">
        <f t="shared" si="52"/>
        <v>73</v>
      </c>
      <c r="AM85" s="822"/>
      <c r="AN85" s="103">
        <v>4</v>
      </c>
      <c r="AO85" s="103" t="s">
        <v>132</v>
      </c>
      <c r="AP85" s="103" t="s">
        <v>272</v>
      </c>
      <c r="AQ85" s="104"/>
      <c r="AR85" s="104">
        <v>911577000.38</v>
      </c>
      <c r="AS85" s="104">
        <v>262713084</v>
      </c>
      <c r="AT85" s="104">
        <v>87725453.989999995</v>
      </c>
      <c r="AU85" s="104">
        <v>26271312</v>
      </c>
      <c r="AV85" s="105">
        <v>18401259.07</v>
      </c>
    </row>
    <row r="86" spans="1:48" ht="11.25" customHeight="1" x14ac:dyDescent="0.2">
      <c r="A86" s="6">
        <v>75</v>
      </c>
      <c r="B86" s="199">
        <v>60396</v>
      </c>
      <c r="C86" s="680" t="s">
        <v>177</v>
      </c>
      <c r="D86" s="173" t="s">
        <v>136</v>
      </c>
      <c r="E86" s="173" t="s">
        <v>136</v>
      </c>
      <c r="F86" s="174" t="s">
        <v>113</v>
      </c>
      <c r="G86" s="179" t="s">
        <v>4</v>
      </c>
      <c r="H86" s="179" t="s">
        <v>294</v>
      </c>
      <c r="I86" s="180" t="s">
        <v>8</v>
      </c>
      <c r="J86" s="181" t="s">
        <v>136</v>
      </c>
      <c r="K86" s="200" t="b">
        <v>0</v>
      </c>
      <c r="L86" s="650">
        <v>447750</v>
      </c>
      <c r="M86" s="89">
        <v>0</v>
      </c>
      <c r="N86" s="89">
        <f t="shared" si="65"/>
        <v>125817.75000000001</v>
      </c>
      <c r="O86" s="89">
        <v>105005.25</v>
      </c>
      <c r="P86" s="89">
        <f t="shared" si="62"/>
        <v>12581.775000000001</v>
      </c>
      <c r="Q86" s="651">
        <v>83090.070000000007</v>
      </c>
      <c r="R86" s="650">
        <v>307500</v>
      </c>
      <c r="S86" s="89">
        <v>0</v>
      </c>
      <c r="T86" s="89">
        <f t="shared" si="66"/>
        <v>43511.249999999993</v>
      </c>
      <c r="U86" s="89">
        <v>0</v>
      </c>
      <c r="V86" s="89">
        <f t="shared" si="63"/>
        <v>4351.1249999999991</v>
      </c>
      <c r="W86" s="347">
        <v>0</v>
      </c>
      <c r="X86" s="256">
        <v>0.28100000000000003</v>
      </c>
      <c r="Y86" s="256">
        <v>0.14149999999999999</v>
      </c>
      <c r="Z86" s="648">
        <v>0.24</v>
      </c>
      <c r="AA86" s="89">
        <f t="shared" si="53"/>
        <v>755250</v>
      </c>
      <c r="AB86" s="89">
        <f t="shared" si="54"/>
        <v>0</v>
      </c>
      <c r="AC86" s="257">
        <f t="shared" si="55"/>
        <v>0.24</v>
      </c>
      <c r="AD86" s="90">
        <f t="shared" si="56"/>
        <v>181260</v>
      </c>
      <c r="AE86" s="89">
        <f t="shared" si="57"/>
        <v>105005.25</v>
      </c>
      <c r="AF86" s="89">
        <f t="shared" si="58"/>
        <v>83090.070000000007</v>
      </c>
      <c r="AG86" s="270">
        <f t="shared" si="59"/>
        <v>0</v>
      </c>
      <c r="AH86" s="271">
        <f t="shared" si="60"/>
        <v>34.758440913604773</v>
      </c>
      <c r="AI86" s="240">
        <f t="shared" si="61"/>
        <v>34.758440913604773</v>
      </c>
      <c r="AJ86" s="316">
        <v>89.19066340039987</v>
      </c>
      <c r="AK86" s="672">
        <f t="shared" si="64"/>
        <v>-54.432222486795098</v>
      </c>
      <c r="AL86">
        <f t="shared" si="52"/>
        <v>74</v>
      </c>
      <c r="AM86" s="822"/>
      <c r="AN86" s="40">
        <v>5</v>
      </c>
      <c r="AO86" s="40" t="s">
        <v>126</v>
      </c>
      <c r="AP86" s="40" t="s">
        <v>273</v>
      </c>
      <c r="AQ86" s="122"/>
      <c r="AR86" s="122">
        <v>44647722.619999997</v>
      </c>
      <c r="AS86" s="122">
        <v>21540972</v>
      </c>
      <c r="AT86" s="122">
        <v>0</v>
      </c>
      <c r="AU86" s="122">
        <v>2154096</v>
      </c>
      <c r="AV86" s="167">
        <v>0</v>
      </c>
    </row>
    <row r="87" spans="1:48" ht="11.25" customHeight="1" x14ac:dyDescent="0.2">
      <c r="A87" s="6">
        <v>76</v>
      </c>
      <c r="B87" s="199">
        <v>60419</v>
      </c>
      <c r="C87" s="680" t="s">
        <v>178</v>
      </c>
      <c r="D87" s="173" t="s">
        <v>136</v>
      </c>
      <c r="E87" s="173" t="s">
        <v>136</v>
      </c>
      <c r="F87" s="174" t="s">
        <v>113</v>
      </c>
      <c r="G87" s="179" t="s">
        <v>4</v>
      </c>
      <c r="H87" s="179" t="s">
        <v>294</v>
      </c>
      <c r="I87" s="182" t="s">
        <v>43</v>
      </c>
      <c r="J87" s="181" t="s">
        <v>136</v>
      </c>
      <c r="K87" s="200" t="b">
        <v>0</v>
      </c>
      <c r="L87" s="650">
        <v>477623.25</v>
      </c>
      <c r="M87" s="89">
        <v>0</v>
      </c>
      <c r="N87" s="89">
        <f t="shared" si="65"/>
        <v>31857.470774999998</v>
      </c>
      <c r="O87" s="89">
        <v>40680.449999999997</v>
      </c>
      <c r="P87" s="89">
        <f t="shared" si="62"/>
        <v>3185.7470775000002</v>
      </c>
      <c r="Q87" s="651">
        <v>35043.21</v>
      </c>
      <c r="R87" s="650">
        <v>834000</v>
      </c>
      <c r="S87" s="89">
        <v>14241.96</v>
      </c>
      <c r="T87" s="89">
        <f t="shared" si="66"/>
        <v>315752.39999999997</v>
      </c>
      <c r="U87" s="89">
        <v>14241.96</v>
      </c>
      <c r="V87" s="89">
        <f t="shared" si="63"/>
        <v>31575.239999999998</v>
      </c>
      <c r="W87" s="347">
        <v>2731.59</v>
      </c>
      <c r="X87" s="256">
        <v>6.6699999999999995E-2</v>
      </c>
      <c r="Y87" s="256">
        <v>0.37859999999999999</v>
      </c>
      <c r="Z87" s="648">
        <v>0.23899999999999999</v>
      </c>
      <c r="AA87" s="89">
        <f t="shared" si="53"/>
        <v>1311623.25</v>
      </c>
      <c r="AB87" s="89">
        <f t="shared" si="54"/>
        <v>14241.96</v>
      </c>
      <c r="AC87" s="257">
        <f t="shared" si="55"/>
        <v>0.23899999999999999</v>
      </c>
      <c r="AD87" s="90">
        <f t="shared" si="56"/>
        <v>313477.95675000001</v>
      </c>
      <c r="AE87" s="89">
        <f t="shared" si="57"/>
        <v>54922.409999999996</v>
      </c>
      <c r="AF87" s="89">
        <f t="shared" si="58"/>
        <v>37774.800000000003</v>
      </c>
      <c r="AG87" s="270">
        <f t="shared" si="59"/>
        <v>0.54291352337647247</v>
      </c>
      <c r="AH87" s="271">
        <f t="shared" si="60"/>
        <v>10.512205177565486</v>
      </c>
      <c r="AI87" s="240">
        <f t="shared" si="61"/>
        <v>11.055118700941959</v>
      </c>
      <c r="AJ87" s="316">
        <v>21.720061791560333</v>
      </c>
      <c r="AK87" s="672">
        <f t="shared" si="64"/>
        <v>-10.664943090618374</v>
      </c>
      <c r="AL87">
        <f t="shared" si="52"/>
        <v>75</v>
      </c>
      <c r="AM87" s="822"/>
      <c r="AN87" s="108">
        <v>11</v>
      </c>
      <c r="AO87" s="108" t="s">
        <v>129</v>
      </c>
      <c r="AP87" s="108" t="s">
        <v>274</v>
      </c>
      <c r="AQ87" s="109">
        <v>1443314003.3900011</v>
      </c>
      <c r="AR87" s="109">
        <v>171921837.71000001</v>
      </c>
      <c r="AS87" s="109">
        <v>79944552</v>
      </c>
      <c r="AT87" s="109">
        <v>3114599.02</v>
      </c>
      <c r="AU87" s="109">
        <v>7994460</v>
      </c>
      <c r="AV87" s="110">
        <v>1058966.94</v>
      </c>
    </row>
    <row r="88" spans="1:48" ht="11.25" customHeight="1" x14ac:dyDescent="0.2">
      <c r="A88" s="6">
        <v>77</v>
      </c>
      <c r="B88" s="199">
        <v>60397</v>
      </c>
      <c r="C88" s="680" t="s">
        <v>179</v>
      </c>
      <c r="D88" s="173" t="s">
        <v>136</v>
      </c>
      <c r="E88" s="173" t="s">
        <v>136</v>
      </c>
      <c r="F88" s="174" t="s">
        <v>113</v>
      </c>
      <c r="G88" s="179" t="s">
        <v>4</v>
      </c>
      <c r="H88" s="179" t="s">
        <v>294</v>
      </c>
      <c r="I88" s="180" t="s">
        <v>8</v>
      </c>
      <c r="J88" s="181" t="s">
        <v>136</v>
      </c>
      <c r="K88" s="200" t="b">
        <v>0</v>
      </c>
      <c r="L88" s="650">
        <v>601500</v>
      </c>
      <c r="M88" s="89">
        <v>0</v>
      </c>
      <c r="N88" s="89">
        <f t="shared" si="65"/>
        <v>17383.349999999999</v>
      </c>
      <c r="O88" s="89">
        <v>15181.38</v>
      </c>
      <c r="P88" s="89">
        <f t="shared" si="62"/>
        <v>1738.335</v>
      </c>
      <c r="Q88" s="651">
        <v>18625.77</v>
      </c>
      <c r="R88" s="650">
        <v>484500</v>
      </c>
      <c r="S88" s="89">
        <v>4455.84</v>
      </c>
      <c r="T88" s="89">
        <f t="shared" si="66"/>
        <v>153053.55000000002</v>
      </c>
      <c r="U88" s="89">
        <v>4455.84</v>
      </c>
      <c r="V88" s="89">
        <f t="shared" si="63"/>
        <v>15305.355000000003</v>
      </c>
      <c r="W88" s="347">
        <v>835.29</v>
      </c>
      <c r="X88" s="256">
        <v>2.8899999999999999E-2</v>
      </c>
      <c r="Y88" s="256">
        <v>0.31590000000000001</v>
      </c>
      <c r="Z88" s="648">
        <v>0.1484</v>
      </c>
      <c r="AA88" s="89">
        <f t="shared" si="53"/>
        <v>1086000</v>
      </c>
      <c r="AB88" s="89">
        <f t="shared" si="54"/>
        <v>4455.84</v>
      </c>
      <c r="AC88" s="257">
        <f t="shared" si="55"/>
        <v>0.1484</v>
      </c>
      <c r="AD88" s="90">
        <f t="shared" si="56"/>
        <v>161162.4</v>
      </c>
      <c r="AE88" s="89">
        <f t="shared" si="57"/>
        <v>19637.22</v>
      </c>
      <c r="AF88" s="89">
        <f t="shared" si="58"/>
        <v>19461.060000000001</v>
      </c>
      <c r="AG88" s="270">
        <f t="shared" si="59"/>
        <v>0.20514917127071822</v>
      </c>
      <c r="AH88" s="271">
        <f t="shared" si="60"/>
        <v>7.3108442167652017</v>
      </c>
      <c r="AI88" s="240">
        <f t="shared" si="61"/>
        <v>7.5159933880359198</v>
      </c>
      <c r="AJ88" s="316">
        <v>11.377072690497386</v>
      </c>
      <c r="AK88" s="672">
        <f t="shared" si="64"/>
        <v>-3.8610793024614658</v>
      </c>
      <c r="AL88">
        <f t="shared" si="52"/>
        <v>76</v>
      </c>
      <c r="AM88" s="822"/>
      <c r="AN88" s="108">
        <v>12</v>
      </c>
      <c r="AO88" s="108" t="s">
        <v>130</v>
      </c>
      <c r="AP88" s="108" t="s">
        <v>275</v>
      </c>
      <c r="AQ88" s="109"/>
      <c r="AR88" s="109">
        <v>7140946.29</v>
      </c>
      <c r="AS88" s="109">
        <v>89237004</v>
      </c>
      <c r="AT88" s="109">
        <v>2922392.58</v>
      </c>
      <c r="AU88" s="109">
        <v>8923704</v>
      </c>
      <c r="AV88" s="110">
        <v>958064.9</v>
      </c>
    </row>
    <row r="89" spans="1:48" ht="11.25" customHeight="1" x14ac:dyDescent="0.2">
      <c r="A89" s="6">
        <v>78</v>
      </c>
      <c r="B89" s="199">
        <v>60413</v>
      </c>
      <c r="C89" s="680" t="s">
        <v>180</v>
      </c>
      <c r="D89" s="173" t="s">
        <v>136</v>
      </c>
      <c r="E89" s="173" t="s">
        <v>136</v>
      </c>
      <c r="F89" s="174" t="s">
        <v>113</v>
      </c>
      <c r="G89" s="179" t="s">
        <v>4</v>
      </c>
      <c r="H89" s="179" t="s">
        <v>294</v>
      </c>
      <c r="I89" s="180" t="s">
        <v>38</v>
      </c>
      <c r="J89" s="181" t="s">
        <v>136</v>
      </c>
      <c r="K89" s="200" t="b">
        <v>0</v>
      </c>
      <c r="L89" s="650">
        <v>449625</v>
      </c>
      <c r="M89" s="89">
        <v>0</v>
      </c>
      <c r="N89" s="89">
        <f t="shared" si="65"/>
        <v>120184.7625</v>
      </c>
      <c r="O89" s="89">
        <v>90988.11</v>
      </c>
      <c r="P89" s="89">
        <f t="shared" si="62"/>
        <v>12018.47625</v>
      </c>
      <c r="Q89" s="651">
        <v>66245.399999999994</v>
      </c>
      <c r="R89" s="650">
        <v>86475</v>
      </c>
      <c r="S89" s="89">
        <v>0</v>
      </c>
      <c r="T89" s="89">
        <f t="shared" si="66"/>
        <v>17295</v>
      </c>
      <c r="U89" s="89">
        <v>0</v>
      </c>
      <c r="V89" s="89">
        <f t="shared" si="63"/>
        <v>1729.5</v>
      </c>
      <c r="W89" s="347">
        <v>0</v>
      </c>
      <c r="X89" s="256">
        <v>0.26729999999999998</v>
      </c>
      <c r="Y89" s="256">
        <v>0.2</v>
      </c>
      <c r="Z89" s="648">
        <v>0.26350000000000001</v>
      </c>
      <c r="AA89" s="89">
        <f t="shared" si="53"/>
        <v>536100</v>
      </c>
      <c r="AB89" s="89">
        <f t="shared" si="54"/>
        <v>0</v>
      </c>
      <c r="AC89" s="257">
        <f t="shared" si="55"/>
        <v>0.26350000000000001</v>
      </c>
      <c r="AD89" s="90">
        <f t="shared" si="56"/>
        <v>141262.35</v>
      </c>
      <c r="AE89" s="89">
        <f t="shared" si="57"/>
        <v>90988.11</v>
      </c>
      <c r="AF89" s="89">
        <f t="shared" si="58"/>
        <v>66245.399999999994</v>
      </c>
      <c r="AG89" s="270">
        <f t="shared" si="59"/>
        <v>0</v>
      </c>
      <c r="AH89" s="271">
        <f t="shared" si="60"/>
        <v>38.646437638903784</v>
      </c>
      <c r="AI89" s="240">
        <f t="shared" si="61"/>
        <v>38.646437638903784</v>
      </c>
      <c r="AJ89" s="316">
        <v>56.972196990080157</v>
      </c>
      <c r="AK89" s="672">
        <f t="shared" si="64"/>
        <v>-18.325759351176373</v>
      </c>
      <c r="AL89">
        <f t="shared" si="52"/>
        <v>77</v>
      </c>
      <c r="AM89" s="822"/>
      <c r="AN89" s="108">
        <v>13</v>
      </c>
      <c r="AO89" s="108" t="s">
        <v>127</v>
      </c>
      <c r="AP89" s="108" t="s">
        <v>276</v>
      </c>
      <c r="AQ89" s="109"/>
      <c r="AR89" s="109">
        <v>367189594.75</v>
      </c>
      <c r="AS89" s="109">
        <v>218449308</v>
      </c>
      <c r="AT89" s="109">
        <v>59551046.93</v>
      </c>
      <c r="AU89" s="109">
        <v>21844932</v>
      </c>
      <c r="AV89" s="110">
        <v>8428075.9800000004</v>
      </c>
    </row>
    <row r="90" spans="1:48" ht="11.25" customHeight="1" x14ac:dyDescent="0.2">
      <c r="A90" s="6">
        <v>79</v>
      </c>
      <c r="B90" s="199">
        <v>60435</v>
      </c>
      <c r="C90" s="680" t="s">
        <v>181</v>
      </c>
      <c r="D90" s="173" t="s">
        <v>136</v>
      </c>
      <c r="E90" s="173" t="s">
        <v>136</v>
      </c>
      <c r="F90" s="174" t="s">
        <v>113</v>
      </c>
      <c r="G90" s="179" t="s">
        <v>4</v>
      </c>
      <c r="H90" s="179" t="s">
        <v>294</v>
      </c>
      <c r="I90" s="180" t="s">
        <v>9</v>
      </c>
      <c r="J90" s="181" t="s">
        <v>136</v>
      </c>
      <c r="K90" s="200" t="b">
        <v>0</v>
      </c>
      <c r="L90" s="650">
        <v>1027011</v>
      </c>
      <c r="M90" s="89">
        <v>648767.25</v>
      </c>
      <c r="N90" s="89">
        <f t="shared" si="65"/>
        <v>40053.428999999996</v>
      </c>
      <c r="O90" s="89">
        <v>32874.75</v>
      </c>
      <c r="P90" s="89">
        <f t="shared" si="62"/>
        <v>4005.3428999999996</v>
      </c>
      <c r="Q90" s="651">
        <v>40020.120000000003</v>
      </c>
      <c r="R90" s="650">
        <v>1232475</v>
      </c>
      <c r="S90" s="89">
        <v>107927.34</v>
      </c>
      <c r="T90" s="89">
        <f t="shared" si="66"/>
        <v>560159.88750000007</v>
      </c>
      <c r="U90" s="89">
        <v>107927.34</v>
      </c>
      <c r="V90" s="89">
        <f t="shared" si="63"/>
        <v>56015.988750000011</v>
      </c>
      <c r="W90" s="347">
        <v>28825.43</v>
      </c>
      <c r="X90" s="256">
        <v>3.9E-2</v>
      </c>
      <c r="Y90" s="256">
        <v>0.45450000000000002</v>
      </c>
      <c r="Z90" s="648">
        <v>0.2737</v>
      </c>
      <c r="AA90" s="89">
        <f t="shared" si="53"/>
        <v>2259486</v>
      </c>
      <c r="AB90" s="89">
        <f t="shared" si="54"/>
        <v>756694.59</v>
      </c>
      <c r="AC90" s="257">
        <f t="shared" si="55"/>
        <v>0.2737</v>
      </c>
      <c r="AD90" s="90">
        <f t="shared" si="56"/>
        <v>618421.31819999998</v>
      </c>
      <c r="AE90" s="89">
        <f t="shared" si="57"/>
        <v>140802.09</v>
      </c>
      <c r="AF90" s="89">
        <f t="shared" si="58"/>
        <v>68845.55</v>
      </c>
      <c r="AG90" s="270">
        <f t="shared" si="59"/>
        <v>16.744839091722628</v>
      </c>
      <c r="AH90" s="271">
        <f t="shared" si="60"/>
        <v>13.660792652797655</v>
      </c>
      <c r="AI90" s="240">
        <f t="shared" si="61"/>
        <v>30.405631744520285</v>
      </c>
      <c r="AJ90" s="316">
        <v>48.591830923248061</v>
      </c>
      <c r="AK90" s="672">
        <f t="shared" si="64"/>
        <v>-18.186199178727776</v>
      </c>
      <c r="AL90">
        <f t="shared" si="52"/>
        <v>78</v>
      </c>
      <c r="AM90" s="822"/>
      <c r="AN90" s="108">
        <v>14</v>
      </c>
      <c r="AO90" s="108" t="s">
        <v>128</v>
      </c>
      <c r="AP90" s="108" t="s">
        <v>277</v>
      </c>
      <c r="AQ90" s="109"/>
      <c r="AR90" s="109">
        <v>116409094.25</v>
      </c>
      <c r="AS90" s="109">
        <v>140655276</v>
      </c>
      <c r="AT90" s="109">
        <v>82840686.849999994</v>
      </c>
      <c r="AU90" s="109">
        <v>14065524</v>
      </c>
      <c r="AV90" s="110">
        <v>28436541.52</v>
      </c>
    </row>
    <row r="91" spans="1:48" ht="11.25" customHeight="1" x14ac:dyDescent="0.2">
      <c r="A91" s="6">
        <v>80</v>
      </c>
      <c r="B91" s="199">
        <v>60398</v>
      </c>
      <c r="C91" s="680" t="s">
        <v>182</v>
      </c>
      <c r="D91" s="173" t="s">
        <v>136</v>
      </c>
      <c r="E91" s="173" t="s">
        <v>136</v>
      </c>
      <c r="F91" s="174" t="s">
        <v>113</v>
      </c>
      <c r="G91" s="179" t="s">
        <v>4</v>
      </c>
      <c r="H91" s="179" t="s">
        <v>294</v>
      </c>
      <c r="I91" s="182" t="s">
        <v>8</v>
      </c>
      <c r="J91" s="181" t="s">
        <v>136</v>
      </c>
      <c r="K91" s="200" t="b">
        <v>0</v>
      </c>
      <c r="L91" s="650">
        <v>408000</v>
      </c>
      <c r="M91" s="89">
        <v>0</v>
      </c>
      <c r="N91" s="89">
        <f t="shared" si="65"/>
        <v>6854.4</v>
      </c>
      <c r="O91" s="89">
        <v>6267.42</v>
      </c>
      <c r="P91" s="89">
        <f t="shared" si="62"/>
        <v>685.44</v>
      </c>
      <c r="Q91" s="651">
        <v>9250.65</v>
      </c>
      <c r="R91" s="650">
        <v>432000</v>
      </c>
      <c r="S91" s="89">
        <v>0</v>
      </c>
      <c r="T91" s="89">
        <f t="shared" si="66"/>
        <v>110160</v>
      </c>
      <c r="U91" s="89">
        <v>0</v>
      </c>
      <c r="V91" s="89">
        <f t="shared" si="63"/>
        <v>11016</v>
      </c>
      <c r="W91" s="347">
        <v>0</v>
      </c>
      <c r="X91" s="256">
        <v>1.6799999999999999E-2</v>
      </c>
      <c r="Y91" s="256">
        <v>0.255</v>
      </c>
      <c r="Z91" s="648">
        <v>0.14030000000000001</v>
      </c>
      <c r="AA91" s="89">
        <f t="shared" si="53"/>
        <v>840000</v>
      </c>
      <c r="AB91" s="89">
        <f t="shared" si="54"/>
        <v>0</v>
      </c>
      <c r="AC91" s="257">
        <f t="shared" si="55"/>
        <v>0.14030000000000001</v>
      </c>
      <c r="AD91" s="90">
        <f t="shared" si="56"/>
        <v>117852</v>
      </c>
      <c r="AE91" s="89">
        <f t="shared" si="57"/>
        <v>6267.42</v>
      </c>
      <c r="AF91" s="89">
        <f t="shared" si="58"/>
        <v>9250.65</v>
      </c>
      <c r="AG91" s="270">
        <f t="shared" si="59"/>
        <v>0</v>
      </c>
      <c r="AH91" s="271">
        <f t="shared" si="60"/>
        <v>3.1908257814886469</v>
      </c>
      <c r="AI91" s="240">
        <f t="shared" si="61"/>
        <v>3.1908257814886469</v>
      </c>
      <c r="AJ91" s="316">
        <v>11.809518222609679</v>
      </c>
      <c r="AK91" s="672">
        <f t="shared" si="64"/>
        <v>-8.6186924411210324</v>
      </c>
      <c r="AL91" t="str">
        <f t="shared" si="52"/>
        <v/>
      </c>
      <c r="AM91" s="822"/>
      <c r="AN91" s="108">
        <v>15</v>
      </c>
      <c r="AO91" s="108" t="s">
        <v>131</v>
      </c>
      <c r="AP91" s="108" t="s">
        <v>278</v>
      </c>
      <c r="AQ91" s="109"/>
      <c r="AR91" s="109">
        <v>177706452.24000001</v>
      </c>
      <c r="AS91" s="109">
        <v>81458628</v>
      </c>
      <c r="AT91" s="109">
        <v>174884187.38999999</v>
      </c>
      <c r="AU91" s="109">
        <v>8145864</v>
      </c>
      <c r="AV91" s="110">
        <v>1157251.05</v>
      </c>
    </row>
    <row r="92" spans="1:48" ht="11.25" customHeight="1" x14ac:dyDescent="0.2">
      <c r="A92" s="6">
        <v>81</v>
      </c>
      <c r="B92" s="199">
        <v>60925</v>
      </c>
      <c r="C92" s="680" t="s">
        <v>183</v>
      </c>
      <c r="D92" s="173" t="s">
        <v>136</v>
      </c>
      <c r="E92" s="173" t="s">
        <v>136</v>
      </c>
      <c r="F92" s="174" t="s">
        <v>113</v>
      </c>
      <c r="G92" s="179" t="s">
        <v>4</v>
      </c>
      <c r="H92" s="179" t="s">
        <v>294</v>
      </c>
      <c r="I92" s="180" t="s">
        <v>8</v>
      </c>
      <c r="J92" s="181" t="s">
        <v>136</v>
      </c>
      <c r="K92" s="200" t="b">
        <v>0</v>
      </c>
      <c r="L92" s="650">
        <v>381750</v>
      </c>
      <c r="M92" s="89">
        <v>0</v>
      </c>
      <c r="N92" s="89">
        <f t="shared" si="65"/>
        <v>19316.55</v>
      </c>
      <c r="O92" s="89">
        <v>14899.77</v>
      </c>
      <c r="P92" s="89">
        <f t="shared" si="62"/>
        <v>1931.655</v>
      </c>
      <c r="Q92" s="651">
        <v>13289.85</v>
      </c>
      <c r="R92" s="650">
        <v>421500</v>
      </c>
      <c r="S92" s="89">
        <v>0</v>
      </c>
      <c r="T92" s="89">
        <f t="shared" si="66"/>
        <v>135006.44999999998</v>
      </c>
      <c r="U92" s="89">
        <v>0</v>
      </c>
      <c r="V92" s="89">
        <f t="shared" si="63"/>
        <v>13500.644999999999</v>
      </c>
      <c r="W92" s="347">
        <v>0</v>
      </c>
      <c r="X92" s="256">
        <v>5.0599999999999999E-2</v>
      </c>
      <c r="Y92" s="256">
        <v>0.32029999999999997</v>
      </c>
      <c r="Z92" s="648">
        <v>0.18729999999999999</v>
      </c>
      <c r="AA92" s="89">
        <f t="shared" si="53"/>
        <v>803250</v>
      </c>
      <c r="AB92" s="89">
        <f t="shared" si="54"/>
        <v>0</v>
      </c>
      <c r="AC92" s="257">
        <f t="shared" si="55"/>
        <v>0.18729999999999999</v>
      </c>
      <c r="AD92" s="90">
        <f t="shared" si="56"/>
        <v>150448.72500000001</v>
      </c>
      <c r="AE92" s="89">
        <f t="shared" si="57"/>
        <v>14899.77</v>
      </c>
      <c r="AF92" s="89">
        <f t="shared" si="58"/>
        <v>13289.85</v>
      </c>
      <c r="AG92" s="270">
        <f t="shared" si="59"/>
        <v>0</v>
      </c>
      <c r="AH92" s="271">
        <f t="shared" si="60"/>
        <v>5.9421321117875872</v>
      </c>
      <c r="AI92" s="240">
        <f t="shared" si="61"/>
        <v>5.9421321117875872</v>
      </c>
      <c r="AJ92" s="316">
        <v>14.946690417874494</v>
      </c>
      <c r="AK92" s="672">
        <f t="shared" si="64"/>
        <v>-9.0045583060869063</v>
      </c>
      <c r="AL92">
        <f t="shared" si="52"/>
        <v>80</v>
      </c>
      <c r="AM92" s="822"/>
      <c r="AN92" s="103">
        <v>19</v>
      </c>
      <c r="AO92" s="103" t="s">
        <v>133</v>
      </c>
      <c r="AP92" s="103" t="s">
        <v>279</v>
      </c>
      <c r="AQ92" s="104"/>
      <c r="AR92" s="104">
        <v>504269769.35000002</v>
      </c>
      <c r="AS92" s="104">
        <v>1728948</v>
      </c>
      <c r="AT92" s="104">
        <v>0</v>
      </c>
      <c r="AU92" s="104">
        <v>172896</v>
      </c>
      <c r="AV92" s="105">
        <v>0</v>
      </c>
    </row>
    <row r="93" spans="1:48" ht="11.25" customHeight="1" x14ac:dyDescent="0.2">
      <c r="A93" s="6">
        <v>82</v>
      </c>
      <c r="B93" s="199">
        <v>60359</v>
      </c>
      <c r="C93" s="680" t="s">
        <v>438</v>
      </c>
      <c r="D93" s="173" t="s">
        <v>136</v>
      </c>
      <c r="E93" s="173" t="s">
        <v>136</v>
      </c>
      <c r="F93" s="174" t="s">
        <v>113</v>
      </c>
      <c r="G93" s="179" t="s">
        <v>4</v>
      </c>
      <c r="H93" s="179" t="s">
        <v>294</v>
      </c>
      <c r="I93" s="182" t="s">
        <v>7</v>
      </c>
      <c r="J93" s="181" t="s">
        <v>136</v>
      </c>
      <c r="K93" s="200" t="b">
        <v>0</v>
      </c>
      <c r="L93" s="650">
        <v>243291.48750000002</v>
      </c>
      <c r="M93" s="89">
        <v>0</v>
      </c>
      <c r="N93" s="89">
        <f t="shared" si="65"/>
        <v>6447.22441875</v>
      </c>
      <c r="O93" s="89">
        <v>6160.05</v>
      </c>
      <c r="P93" s="89">
        <f t="shared" si="62"/>
        <v>644.72244187500007</v>
      </c>
      <c r="Q93" s="651">
        <v>1099.98</v>
      </c>
      <c r="R93" s="650">
        <v>206388.75</v>
      </c>
      <c r="S93" s="89">
        <v>0</v>
      </c>
      <c r="T93" s="89">
        <f t="shared" si="66"/>
        <v>22413.81825</v>
      </c>
      <c r="U93" s="89">
        <v>0</v>
      </c>
      <c r="V93" s="89">
        <f t="shared" si="63"/>
        <v>2241.3818249999999</v>
      </c>
      <c r="W93" s="347">
        <v>0</v>
      </c>
      <c r="X93" s="256">
        <v>2.6499999999999999E-2</v>
      </c>
      <c r="Y93" s="256">
        <v>0.1086</v>
      </c>
      <c r="Z93" s="648">
        <v>5.67E-2</v>
      </c>
      <c r="AA93" s="89">
        <f t="shared" si="53"/>
        <v>449680.23750000005</v>
      </c>
      <c r="AB93" s="89">
        <f t="shared" si="54"/>
        <v>0</v>
      </c>
      <c r="AC93" s="257">
        <f t="shared" si="55"/>
        <v>5.67E-2</v>
      </c>
      <c r="AD93" s="90">
        <f t="shared" si="56"/>
        <v>25496.869466250002</v>
      </c>
      <c r="AE93" s="89">
        <f t="shared" si="57"/>
        <v>6160.05</v>
      </c>
      <c r="AF93" s="89">
        <f t="shared" si="58"/>
        <v>1099.98</v>
      </c>
      <c r="AG93" s="270">
        <f t="shared" si="59"/>
        <v>0</v>
      </c>
      <c r="AH93" s="271">
        <f t="shared" si="60"/>
        <v>14.496014912310725</v>
      </c>
      <c r="AI93" s="240">
        <f t="shared" si="61"/>
        <v>14.496014912310725</v>
      </c>
      <c r="AJ93" s="316">
        <v>42.909055400100783</v>
      </c>
      <c r="AK93" s="672">
        <f t="shared" si="64"/>
        <v>-28.413040487790056</v>
      </c>
      <c r="AL93">
        <f t="shared" si="52"/>
        <v>81</v>
      </c>
      <c r="AM93" s="823"/>
      <c r="AN93" s="111">
        <v>20</v>
      </c>
      <c r="AO93" s="111" t="s">
        <v>134</v>
      </c>
      <c r="AP93" s="111" t="s">
        <v>280</v>
      </c>
      <c r="AQ93" s="112">
        <v>0</v>
      </c>
      <c r="AR93" s="112">
        <v>0</v>
      </c>
      <c r="AS93" s="112">
        <v>0</v>
      </c>
      <c r="AT93" s="112">
        <v>0</v>
      </c>
      <c r="AU93" s="112">
        <v>0</v>
      </c>
      <c r="AV93" s="113">
        <v>0</v>
      </c>
    </row>
    <row r="94" spans="1:48" x14ac:dyDescent="0.2">
      <c r="A94" s="6">
        <v>83</v>
      </c>
      <c r="B94" s="199">
        <v>60400</v>
      </c>
      <c r="C94" s="680" t="s">
        <v>184</v>
      </c>
      <c r="D94" s="173" t="s">
        <v>136</v>
      </c>
      <c r="E94" s="173" t="s">
        <v>136</v>
      </c>
      <c r="F94" s="174" t="s">
        <v>113</v>
      </c>
      <c r="G94" s="179" t="s">
        <v>4</v>
      </c>
      <c r="H94" s="179" t="s">
        <v>294</v>
      </c>
      <c r="I94" s="182" t="s">
        <v>8</v>
      </c>
      <c r="J94" s="181" t="s">
        <v>136</v>
      </c>
      <c r="K94" s="200" t="b">
        <v>0</v>
      </c>
      <c r="L94" s="650">
        <v>619500</v>
      </c>
      <c r="M94" s="89">
        <v>582704.85</v>
      </c>
      <c r="N94" s="89">
        <f t="shared" si="65"/>
        <v>20815.199999999997</v>
      </c>
      <c r="O94" s="89">
        <v>17497.53</v>
      </c>
      <c r="P94" s="89">
        <f t="shared" si="62"/>
        <v>2081.52</v>
      </c>
      <c r="Q94" s="651">
        <v>14561.37</v>
      </c>
      <c r="R94" s="650">
        <v>566250</v>
      </c>
      <c r="S94" s="89">
        <v>532044.61</v>
      </c>
      <c r="T94" s="89">
        <f t="shared" si="66"/>
        <v>236409.375</v>
      </c>
      <c r="U94" s="89">
        <v>47447.6</v>
      </c>
      <c r="V94" s="89">
        <f t="shared" si="63"/>
        <v>23640.9375</v>
      </c>
      <c r="W94" s="347">
        <v>9236.65</v>
      </c>
      <c r="X94" s="256">
        <v>3.3599999999999998E-2</v>
      </c>
      <c r="Y94" s="256">
        <v>0.41749999999999998</v>
      </c>
      <c r="Z94" s="648">
        <v>0.19120000000000001</v>
      </c>
      <c r="AA94" s="89">
        <f t="shared" si="53"/>
        <v>1185750</v>
      </c>
      <c r="AB94" s="89">
        <f t="shared" si="54"/>
        <v>1114749.46</v>
      </c>
      <c r="AC94" s="257">
        <f t="shared" si="55"/>
        <v>0.19120000000000001</v>
      </c>
      <c r="AD94" s="90">
        <f t="shared" si="56"/>
        <v>226715.40000000002</v>
      </c>
      <c r="AE94" s="89">
        <f t="shared" si="57"/>
        <v>64945.13</v>
      </c>
      <c r="AF94" s="89">
        <f t="shared" si="58"/>
        <v>23798.02</v>
      </c>
      <c r="AG94" s="270">
        <f t="shared" si="59"/>
        <v>40</v>
      </c>
      <c r="AH94" s="271">
        <f t="shared" si="60"/>
        <v>17.187662593718819</v>
      </c>
      <c r="AI94" s="240">
        <f t="shared" si="61"/>
        <v>57.187662593718819</v>
      </c>
      <c r="AJ94" s="316">
        <v>12.729769933092967</v>
      </c>
      <c r="AK94" s="672">
        <f t="shared" si="64"/>
        <v>44.457892660625852</v>
      </c>
      <c r="AL94">
        <f t="shared" si="52"/>
        <v>82</v>
      </c>
      <c r="AM94" s="821">
        <v>2016</v>
      </c>
      <c r="AN94" s="99">
        <v>1</v>
      </c>
      <c r="AO94" s="99" t="s">
        <v>123</v>
      </c>
      <c r="AP94" s="99" t="s">
        <v>269</v>
      </c>
      <c r="AQ94" s="101">
        <v>246703572</v>
      </c>
      <c r="AR94" s="101">
        <v>95661864.129999995</v>
      </c>
      <c r="AS94" s="101">
        <v>0</v>
      </c>
      <c r="AT94" s="101">
        <v>57177320.670000002</v>
      </c>
      <c r="AU94" s="101">
        <v>0</v>
      </c>
      <c r="AV94" s="102">
        <v>24417640.170000002</v>
      </c>
    </row>
    <row r="95" spans="1:48" x14ac:dyDescent="0.2">
      <c r="A95" s="6">
        <v>84</v>
      </c>
      <c r="B95" s="199">
        <v>60436</v>
      </c>
      <c r="C95" s="680" t="s">
        <v>185</v>
      </c>
      <c r="D95" s="173" t="s">
        <v>136</v>
      </c>
      <c r="E95" s="173" t="s">
        <v>136</v>
      </c>
      <c r="F95" s="174" t="s">
        <v>113</v>
      </c>
      <c r="G95" s="179" t="s">
        <v>4</v>
      </c>
      <c r="H95" s="179" t="s">
        <v>294</v>
      </c>
      <c r="I95" s="182" t="s">
        <v>9</v>
      </c>
      <c r="J95" s="181" t="s">
        <v>136</v>
      </c>
      <c r="K95" s="200" t="b">
        <v>0</v>
      </c>
      <c r="L95" s="650">
        <v>1380750</v>
      </c>
      <c r="M95" s="89">
        <v>0</v>
      </c>
      <c r="N95" s="89">
        <f t="shared" si="65"/>
        <v>34794.9</v>
      </c>
      <c r="O95" s="89">
        <v>49384.08</v>
      </c>
      <c r="P95" s="89">
        <f t="shared" si="62"/>
        <v>3479.4900000000002</v>
      </c>
      <c r="Q95" s="651">
        <v>37375.11</v>
      </c>
      <c r="R95" s="650">
        <v>1447500</v>
      </c>
      <c r="S95" s="89">
        <v>25929.49</v>
      </c>
      <c r="T95" s="89">
        <f t="shared" si="66"/>
        <v>615477</v>
      </c>
      <c r="U95" s="89">
        <v>25929.49</v>
      </c>
      <c r="V95" s="89">
        <f t="shared" si="63"/>
        <v>61547.700000000004</v>
      </c>
      <c r="W95" s="347">
        <v>7180.6</v>
      </c>
      <c r="X95" s="256">
        <v>2.52E-2</v>
      </c>
      <c r="Y95" s="256">
        <v>0.42520000000000002</v>
      </c>
      <c r="Z95" s="648">
        <v>0.20949999999999999</v>
      </c>
      <c r="AA95" s="89">
        <f t="shared" si="53"/>
        <v>2828250</v>
      </c>
      <c r="AB95" s="89">
        <f t="shared" si="54"/>
        <v>25929.49</v>
      </c>
      <c r="AC95" s="257">
        <f t="shared" si="55"/>
        <v>0.20949999999999999</v>
      </c>
      <c r="AD95" s="90">
        <f t="shared" si="56"/>
        <v>592518.375</v>
      </c>
      <c r="AE95" s="89">
        <f t="shared" si="57"/>
        <v>75313.570000000007</v>
      </c>
      <c r="AF95" s="89">
        <f t="shared" si="58"/>
        <v>44555.71</v>
      </c>
      <c r="AG95" s="270">
        <f t="shared" si="59"/>
        <v>0.45840166180500308</v>
      </c>
      <c r="AH95" s="271">
        <f t="shared" si="60"/>
        <v>7.6264541162963946</v>
      </c>
      <c r="AI95" s="240">
        <f t="shared" si="61"/>
        <v>8.0848557781013977</v>
      </c>
      <c r="AJ95" s="316">
        <v>4.0156697467793707</v>
      </c>
      <c r="AK95" s="672">
        <f t="shared" si="64"/>
        <v>4.0691860313220269</v>
      </c>
      <c r="AL95" t="str">
        <f t="shared" si="52"/>
        <v/>
      </c>
      <c r="AM95" s="822"/>
      <c r="AN95" s="103">
        <v>2</v>
      </c>
      <c r="AO95" s="103" t="s">
        <v>124</v>
      </c>
      <c r="AP95" s="103" t="s">
        <v>270</v>
      </c>
      <c r="AQ95" s="104">
        <v>75543705</v>
      </c>
      <c r="AR95" s="104">
        <v>23283052.850000001</v>
      </c>
      <c r="AS95" s="104">
        <v>0</v>
      </c>
      <c r="AT95" s="104">
        <v>55893612.689999998</v>
      </c>
      <c r="AU95" s="104">
        <v>0</v>
      </c>
      <c r="AV95" s="105">
        <v>25967354.579999998</v>
      </c>
    </row>
    <row r="96" spans="1:48" x14ac:dyDescent="0.2">
      <c r="A96" s="6">
        <v>85</v>
      </c>
      <c r="B96" s="199">
        <v>60437</v>
      </c>
      <c r="C96" s="680" t="s">
        <v>186</v>
      </c>
      <c r="D96" s="173" t="s">
        <v>136</v>
      </c>
      <c r="E96" s="173" t="s">
        <v>136</v>
      </c>
      <c r="F96" s="174" t="s">
        <v>113</v>
      </c>
      <c r="G96" s="179" t="s">
        <v>4</v>
      </c>
      <c r="H96" s="179" t="s">
        <v>294</v>
      </c>
      <c r="I96" s="182" t="s">
        <v>9</v>
      </c>
      <c r="J96" s="181" t="s">
        <v>136</v>
      </c>
      <c r="K96" s="200" t="b">
        <v>0</v>
      </c>
      <c r="L96" s="650">
        <v>1372125</v>
      </c>
      <c r="M96" s="89">
        <v>0</v>
      </c>
      <c r="N96" s="89">
        <f t="shared" si="65"/>
        <v>146131.3125</v>
      </c>
      <c r="O96" s="89">
        <v>147957.66</v>
      </c>
      <c r="P96" s="89">
        <f t="shared" si="62"/>
        <v>14613.13125</v>
      </c>
      <c r="Q96" s="651">
        <v>100326.42</v>
      </c>
      <c r="R96" s="650">
        <v>1913250</v>
      </c>
      <c r="S96" s="89">
        <v>42989.97</v>
      </c>
      <c r="T96" s="89">
        <f t="shared" si="66"/>
        <v>896740.27500000002</v>
      </c>
      <c r="U96" s="89">
        <v>8714.2900000000009</v>
      </c>
      <c r="V96" s="89">
        <f t="shared" si="63"/>
        <v>89674.027500000011</v>
      </c>
      <c r="W96" s="347">
        <v>646.71</v>
      </c>
      <c r="X96" s="256">
        <v>0.1065</v>
      </c>
      <c r="Y96" s="256">
        <v>0.46870000000000001</v>
      </c>
      <c r="Z96" s="648">
        <v>0.29199999999999998</v>
      </c>
      <c r="AA96" s="89">
        <f t="shared" si="53"/>
        <v>3285375</v>
      </c>
      <c r="AB96" s="89">
        <f t="shared" si="54"/>
        <v>42989.97</v>
      </c>
      <c r="AC96" s="257">
        <f t="shared" si="55"/>
        <v>0.29199999999999998</v>
      </c>
      <c r="AD96" s="90">
        <f t="shared" si="56"/>
        <v>959329.49999999988</v>
      </c>
      <c r="AE96" s="89">
        <f t="shared" si="57"/>
        <v>156671.95000000001</v>
      </c>
      <c r="AF96" s="89">
        <f t="shared" si="58"/>
        <v>100973.13</v>
      </c>
      <c r="AG96" s="270">
        <f t="shared" si="59"/>
        <v>0.65426275539321999</v>
      </c>
      <c r="AH96" s="271">
        <f t="shared" si="60"/>
        <v>9.7988407528383128</v>
      </c>
      <c r="AI96" s="240">
        <f t="shared" si="61"/>
        <v>10.453103508231532</v>
      </c>
      <c r="AJ96" s="316">
        <v>7.0417167911757197</v>
      </c>
      <c r="AK96" s="672">
        <f t="shared" si="64"/>
        <v>3.4113867170558123</v>
      </c>
      <c r="AL96">
        <f t="shared" si="52"/>
        <v>84</v>
      </c>
      <c r="AM96" s="822"/>
      <c r="AN96" s="103">
        <v>3</v>
      </c>
      <c r="AO96" s="103" t="s">
        <v>125</v>
      </c>
      <c r="AP96" s="103" t="s">
        <v>271</v>
      </c>
      <c r="AQ96" s="104">
        <v>186110388</v>
      </c>
      <c r="AR96" s="104">
        <v>32991207.629999999</v>
      </c>
      <c r="AS96" s="104">
        <v>0</v>
      </c>
      <c r="AT96" s="104">
        <v>3176950.86</v>
      </c>
      <c r="AU96" s="104">
        <v>0</v>
      </c>
      <c r="AV96" s="105">
        <v>8030052.0899999999</v>
      </c>
    </row>
    <row r="97" spans="1:48" x14ac:dyDescent="0.2">
      <c r="A97" s="6">
        <v>86</v>
      </c>
      <c r="B97" s="199">
        <v>69165</v>
      </c>
      <c r="C97" s="680" t="s">
        <v>589</v>
      </c>
      <c r="D97" s="173" t="s">
        <v>136</v>
      </c>
      <c r="E97" s="173" t="s">
        <v>136</v>
      </c>
      <c r="F97" s="174" t="s">
        <v>113</v>
      </c>
      <c r="G97" s="179" t="s">
        <v>4</v>
      </c>
      <c r="H97" s="179" t="s">
        <v>294</v>
      </c>
      <c r="I97" s="182" t="s">
        <v>12</v>
      </c>
      <c r="J97" s="181" t="s">
        <v>136</v>
      </c>
      <c r="K97" s="200" t="b">
        <v>0</v>
      </c>
      <c r="L97" s="650">
        <v>773250</v>
      </c>
      <c r="M97" s="89">
        <v>0</v>
      </c>
      <c r="N97" s="89">
        <f t="shared" si="65"/>
        <v>25826.55</v>
      </c>
      <c r="O97" s="89">
        <v>0</v>
      </c>
      <c r="P97" s="89">
        <f t="shared" si="62"/>
        <v>2582.6550000000002</v>
      </c>
      <c r="Q97" s="651">
        <v>0</v>
      </c>
      <c r="R97" s="650">
        <v>307125</v>
      </c>
      <c r="S97" s="89">
        <v>0</v>
      </c>
      <c r="T97" s="89">
        <f t="shared" si="66"/>
        <v>31357.462499999998</v>
      </c>
      <c r="U97" s="89">
        <v>0</v>
      </c>
      <c r="V97" s="89">
        <f t="shared" si="63"/>
        <v>3135.7462500000001</v>
      </c>
      <c r="W97" s="347">
        <v>0</v>
      </c>
      <c r="X97" s="256">
        <v>3.3399999999999999E-2</v>
      </c>
      <c r="Y97" s="256">
        <v>0.1021</v>
      </c>
      <c r="Z97" s="648">
        <v>5.2900000000000003E-2</v>
      </c>
      <c r="AA97" s="89">
        <f t="shared" si="53"/>
        <v>1080375</v>
      </c>
      <c r="AB97" s="89">
        <f t="shared" si="54"/>
        <v>0</v>
      </c>
      <c r="AC97" s="257">
        <f t="shared" si="55"/>
        <v>5.2900000000000003E-2</v>
      </c>
      <c r="AD97" s="90">
        <f t="shared" si="56"/>
        <v>57151.837500000001</v>
      </c>
      <c r="AE97" s="89">
        <f t="shared" si="57"/>
        <v>0</v>
      </c>
      <c r="AF97" s="89">
        <f t="shared" si="58"/>
        <v>0</v>
      </c>
      <c r="AG97" s="270">
        <f t="shared" si="59"/>
        <v>0</v>
      </c>
      <c r="AH97" s="271">
        <f t="shared" si="60"/>
        <v>0</v>
      </c>
      <c r="AI97" s="240">
        <f t="shared" si="61"/>
        <v>0</v>
      </c>
      <c r="AJ97" s="316">
        <v>63.596549042840749</v>
      </c>
      <c r="AK97" s="672">
        <f t="shared" si="64"/>
        <v>-63.596549042840749</v>
      </c>
      <c r="AL97">
        <f t="shared" si="52"/>
        <v>85</v>
      </c>
      <c r="AM97" s="822"/>
      <c r="AN97" s="103">
        <v>4</v>
      </c>
      <c r="AO97" s="103" t="s">
        <v>132</v>
      </c>
      <c r="AP97" s="103" t="s">
        <v>272</v>
      </c>
      <c r="AQ97" s="104">
        <v>909340965</v>
      </c>
      <c r="AR97" s="104">
        <v>739859500.03999996</v>
      </c>
      <c r="AS97" s="104">
        <v>0</v>
      </c>
      <c r="AT97" s="104">
        <v>80187755.799999997</v>
      </c>
      <c r="AU97" s="104">
        <v>0</v>
      </c>
      <c r="AV97" s="105">
        <v>18170481.289999999</v>
      </c>
    </row>
    <row r="98" spans="1:48" x14ac:dyDescent="0.2">
      <c r="A98" s="6">
        <v>87</v>
      </c>
      <c r="B98" s="199">
        <v>60411</v>
      </c>
      <c r="C98" s="680" t="s">
        <v>187</v>
      </c>
      <c r="D98" s="173" t="s">
        <v>136</v>
      </c>
      <c r="E98" s="173" t="s">
        <v>136</v>
      </c>
      <c r="F98" s="174" t="s">
        <v>113</v>
      </c>
      <c r="G98" s="179" t="s">
        <v>4</v>
      </c>
      <c r="H98" s="179" t="s">
        <v>294</v>
      </c>
      <c r="I98" s="182" t="s">
        <v>7</v>
      </c>
      <c r="J98" s="181" t="s">
        <v>136</v>
      </c>
      <c r="K98" s="200" t="b">
        <v>0</v>
      </c>
      <c r="L98" s="650">
        <v>702750</v>
      </c>
      <c r="M98" s="89">
        <v>1067.22</v>
      </c>
      <c r="N98" s="89">
        <f t="shared" si="65"/>
        <v>75053.7</v>
      </c>
      <c r="O98" s="89">
        <v>56887.74</v>
      </c>
      <c r="P98" s="89">
        <f t="shared" si="62"/>
        <v>7505.37</v>
      </c>
      <c r="Q98" s="651">
        <v>27133.47</v>
      </c>
      <c r="R98" s="650">
        <v>702375</v>
      </c>
      <c r="S98" s="89">
        <v>300279.44</v>
      </c>
      <c r="T98" s="89">
        <f t="shared" si="66"/>
        <v>190905.52499999999</v>
      </c>
      <c r="U98" s="89">
        <v>239608.86</v>
      </c>
      <c r="V98" s="89">
        <f t="shared" si="63"/>
        <v>19090.552500000002</v>
      </c>
      <c r="W98" s="347">
        <v>54859.46</v>
      </c>
      <c r="X98" s="256">
        <v>0.10680000000000001</v>
      </c>
      <c r="Y98" s="256">
        <v>0.27179999999999999</v>
      </c>
      <c r="Z98" s="648">
        <v>0.2046</v>
      </c>
      <c r="AA98" s="89">
        <f t="shared" si="53"/>
        <v>1405125</v>
      </c>
      <c r="AB98" s="89">
        <f t="shared" si="54"/>
        <v>301346.65999999997</v>
      </c>
      <c r="AC98" s="257">
        <f t="shared" si="55"/>
        <v>0.2046</v>
      </c>
      <c r="AD98" s="90">
        <f t="shared" si="56"/>
        <v>287488.57500000001</v>
      </c>
      <c r="AE98" s="89">
        <f t="shared" si="57"/>
        <v>296496.59999999998</v>
      </c>
      <c r="AF98" s="89">
        <f t="shared" si="58"/>
        <v>81992.929999999993</v>
      </c>
      <c r="AG98" s="270">
        <f t="shared" si="59"/>
        <v>10.723126412240902</v>
      </c>
      <c r="AH98" s="271">
        <f t="shared" si="60"/>
        <v>60</v>
      </c>
      <c r="AI98" s="240">
        <f t="shared" si="61"/>
        <v>70.723126412240902</v>
      </c>
      <c r="AJ98" s="316">
        <v>11.385289492878156</v>
      </c>
      <c r="AK98" s="672">
        <f t="shared" si="64"/>
        <v>59.337836919362744</v>
      </c>
      <c r="AL98">
        <f t="shared" si="52"/>
        <v>86</v>
      </c>
      <c r="AM98" s="822"/>
      <c r="AN98" s="40">
        <v>5</v>
      </c>
      <c r="AO98" s="40" t="s">
        <v>126</v>
      </c>
      <c r="AP98" s="40" t="s">
        <v>273</v>
      </c>
      <c r="AQ98" s="122">
        <v>224277237</v>
      </c>
      <c r="AR98" s="122">
        <v>9097081.5700000003</v>
      </c>
      <c r="AS98" s="122">
        <v>0</v>
      </c>
      <c r="AT98" s="122">
        <v>0</v>
      </c>
      <c r="AU98" s="122">
        <v>0</v>
      </c>
      <c r="AV98" s="167">
        <v>0</v>
      </c>
    </row>
    <row r="99" spans="1:48" x14ac:dyDescent="0.2">
      <c r="A99" s="6">
        <v>88</v>
      </c>
      <c r="B99" s="199">
        <v>60440</v>
      </c>
      <c r="C99" s="680" t="s">
        <v>590</v>
      </c>
      <c r="D99" s="173" t="s">
        <v>136</v>
      </c>
      <c r="E99" s="173" t="s">
        <v>136</v>
      </c>
      <c r="F99" s="174" t="s">
        <v>14</v>
      </c>
      <c r="G99" s="179" t="s">
        <v>1</v>
      </c>
      <c r="H99" s="179" t="s">
        <v>444</v>
      </c>
      <c r="I99" s="180" t="s">
        <v>0</v>
      </c>
      <c r="J99" s="181" t="s">
        <v>136</v>
      </c>
      <c r="K99" s="200" t="b">
        <v>0</v>
      </c>
      <c r="L99" s="650">
        <v>8666454</v>
      </c>
      <c r="M99" s="89">
        <v>8666000.6999999993</v>
      </c>
      <c r="N99" s="89">
        <f t="shared" si="65"/>
        <v>866645.4</v>
      </c>
      <c r="O99" s="89">
        <v>102683.97</v>
      </c>
      <c r="P99" s="89">
        <f t="shared" si="62"/>
        <v>86664.540000000008</v>
      </c>
      <c r="Q99" s="651">
        <v>149932.79999999999</v>
      </c>
      <c r="R99" s="650">
        <v>29970375</v>
      </c>
      <c r="S99" s="89">
        <v>28966043.460000001</v>
      </c>
      <c r="T99" s="89">
        <f t="shared" si="66"/>
        <v>299703.75</v>
      </c>
      <c r="U99" s="89">
        <v>20974.57</v>
      </c>
      <c r="V99" s="89">
        <f t="shared" si="63"/>
        <v>29970.375</v>
      </c>
      <c r="W99" s="347">
        <v>4951.32</v>
      </c>
      <c r="X99" s="256">
        <v>0.1</v>
      </c>
      <c r="Y99" s="256">
        <v>0.01</v>
      </c>
      <c r="Z99" s="648">
        <v>0.03</v>
      </c>
      <c r="AA99" s="89">
        <f t="shared" si="53"/>
        <v>38636829</v>
      </c>
      <c r="AB99" s="89">
        <f t="shared" si="54"/>
        <v>37632044.159999996</v>
      </c>
      <c r="AC99" s="257">
        <f t="shared" si="55"/>
        <v>0.03</v>
      </c>
      <c r="AD99" s="90">
        <f t="shared" si="56"/>
        <v>1159104.8699999999</v>
      </c>
      <c r="AE99" s="89">
        <f t="shared" si="57"/>
        <v>123658.54000000001</v>
      </c>
      <c r="AF99" s="89">
        <f t="shared" si="58"/>
        <v>154884.12</v>
      </c>
      <c r="AG99" s="270">
        <f t="shared" si="59"/>
        <v>40</v>
      </c>
      <c r="AH99" s="271">
        <f t="shared" si="60"/>
        <v>6.4010708539254093</v>
      </c>
      <c r="AI99" s="240">
        <f t="shared" si="61"/>
        <v>46.401070853925411</v>
      </c>
      <c r="AJ99" s="316">
        <v>13.024061339638987</v>
      </c>
      <c r="AK99" s="672">
        <f t="shared" si="64"/>
        <v>33.377009514286428</v>
      </c>
      <c r="AL99" t="str">
        <f t="shared" si="52"/>
        <v/>
      </c>
      <c r="AM99" s="822"/>
      <c r="AN99" s="108">
        <v>11</v>
      </c>
      <c r="AO99" s="108" t="s">
        <v>129</v>
      </c>
      <c r="AP99" s="108" t="s">
        <v>274</v>
      </c>
      <c r="AQ99" s="109">
        <v>89303481</v>
      </c>
      <c r="AR99" s="109">
        <v>88678762.900000006</v>
      </c>
      <c r="AS99" s="109">
        <v>0</v>
      </c>
      <c r="AT99" s="109">
        <v>1696444.44</v>
      </c>
      <c r="AU99" s="109">
        <v>0</v>
      </c>
      <c r="AV99" s="110">
        <v>576792.48</v>
      </c>
    </row>
    <row r="100" spans="1:48" x14ac:dyDescent="0.2">
      <c r="A100" s="6">
        <v>89</v>
      </c>
      <c r="B100" s="199">
        <v>60441</v>
      </c>
      <c r="C100" s="680" t="s">
        <v>566</v>
      </c>
      <c r="D100" s="173" t="s">
        <v>136</v>
      </c>
      <c r="E100" s="173" t="s">
        <v>136</v>
      </c>
      <c r="F100" s="174" t="s">
        <v>113</v>
      </c>
      <c r="G100" s="179" t="s">
        <v>2</v>
      </c>
      <c r="H100" s="179" t="s">
        <v>577</v>
      </c>
      <c r="I100" s="180" t="s">
        <v>0</v>
      </c>
      <c r="J100" s="181" t="s">
        <v>136</v>
      </c>
      <c r="K100" s="200" t="b">
        <v>0</v>
      </c>
      <c r="L100" s="650">
        <v>2160000</v>
      </c>
      <c r="M100" s="89">
        <v>1263710.58</v>
      </c>
      <c r="N100" s="89">
        <f t="shared" si="65"/>
        <v>337016.10283415241</v>
      </c>
      <c r="O100" s="89">
        <v>386824.5</v>
      </c>
      <c r="P100" s="89">
        <f t="shared" si="62"/>
        <v>33701.610283415241</v>
      </c>
      <c r="Q100" s="651">
        <v>308687.49</v>
      </c>
      <c r="R100" s="650">
        <v>456000</v>
      </c>
      <c r="S100" s="89">
        <v>573191.77</v>
      </c>
      <c r="T100" s="89">
        <f t="shared" si="66"/>
        <v>25785.445781242073</v>
      </c>
      <c r="U100" s="89">
        <v>26029.96</v>
      </c>
      <c r="V100" s="89">
        <f t="shared" si="63"/>
        <v>2578.5445781242074</v>
      </c>
      <c r="W100" s="347">
        <v>5299.14</v>
      </c>
      <c r="X100" s="256">
        <v>0.15602597353432981</v>
      </c>
      <c r="Y100" s="256">
        <v>5.6547030222022093E-2</v>
      </c>
      <c r="Z100" s="648">
        <v>0.14015691912963066</v>
      </c>
      <c r="AA100" s="89">
        <f t="shared" si="53"/>
        <v>2616000</v>
      </c>
      <c r="AB100" s="89">
        <f t="shared" si="54"/>
        <v>1836902.35</v>
      </c>
      <c r="AC100" s="257">
        <f t="shared" si="55"/>
        <v>0.14015691912963066</v>
      </c>
      <c r="AD100" s="90">
        <f t="shared" si="56"/>
        <v>366650.50044311379</v>
      </c>
      <c r="AE100" s="89">
        <f t="shared" si="57"/>
        <v>412854.46</v>
      </c>
      <c r="AF100" s="89">
        <f t="shared" si="58"/>
        <v>313986.63</v>
      </c>
      <c r="AG100" s="270">
        <f t="shared" si="59"/>
        <v>35.108989870030584</v>
      </c>
      <c r="AH100" s="271">
        <f t="shared" si="60"/>
        <v>60</v>
      </c>
      <c r="AI100" s="240">
        <f t="shared" si="61"/>
        <v>95.108989870030584</v>
      </c>
      <c r="AJ100" s="316">
        <v>69.42785623905003</v>
      </c>
      <c r="AK100" s="672">
        <f t="shared" si="64"/>
        <v>25.681133630980554</v>
      </c>
      <c r="AL100" t="str">
        <f t="shared" si="52"/>
        <v/>
      </c>
      <c r="AM100" s="822"/>
      <c r="AN100" s="108">
        <v>12</v>
      </c>
      <c r="AO100" s="108" t="s">
        <v>130</v>
      </c>
      <c r="AP100" s="108" t="s">
        <v>275</v>
      </c>
      <c r="AQ100" s="109">
        <v>129811626</v>
      </c>
      <c r="AR100" s="109">
        <v>2965512.63</v>
      </c>
      <c r="AS100" s="109">
        <v>0</v>
      </c>
      <c r="AT100" s="109">
        <v>1075406.81</v>
      </c>
      <c r="AU100" s="109">
        <v>0</v>
      </c>
      <c r="AV100" s="110">
        <v>194202.19</v>
      </c>
    </row>
    <row r="101" spans="1:48" x14ac:dyDescent="0.2">
      <c r="A101" s="6">
        <v>90</v>
      </c>
      <c r="B101" s="199">
        <v>60442</v>
      </c>
      <c r="C101" s="680" t="s">
        <v>591</v>
      </c>
      <c r="D101" s="173" t="s">
        <v>136</v>
      </c>
      <c r="E101" s="173" t="s">
        <v>136</v>
      </c>
      <c r="F101" s="174" t="s">
        <v>14</v>
      </c>
      <c r="G101" s="179" t="s">
        <v>1</v>
      </c>
      <c r="H101" s="179" t="s">
        <v>577</v>
      </c>
      <c r="I101" s="180" t="s">
        <v>0</v>
      </c>
      <c r="J101" s="181" t="s">
        <v>136</v>
      </c>
      <c r="K101" s="200" t="b">
        <v>0</v>
      </c>
      <c r="L101" s="650">
        <v>16767750</v>
      </c>
      <c r="M101" s="89">
        <v>3098049.27</v>
      </c>
      <c r="N101" s="89">
        <f t="shared" si="65"/>
        <v>2179807.5</v>
      </c>
      <c r="O101" s="89">
        <v>1903906.26</v>
      </c>
      <c r="P101" s="89">
        <f t="shared" si="62"/>
        <v>217980.75</v>
      </c>
      <c r="Q101" s="651">
        <v>1107725.1299999999</v>
      </c>
      <c r="R101" s="650">
        <v>1209000</v>
      </c>
      <c r="S101" s="89">
        <v>473295.78</v>
      </c>
      <c r="T101" s="89">
        <f t="shared" si="66"/>
        <v>181350</v>
      </c>
      <c r="U101" s="89">
        <v>168888.19</v>
      </c>
      <c r="V101" s="89">
        <f t="shared" si="63"/>
        <v>18135</v>
      </c>
      <c r="W101" s="347">
        <v>23628.37</v>
      </c>
      <c r="X101" s="256">
        <v>0.13</v>
      </c>
      <c r="Y101" s="256">
        <v>0.15</v>
      </c>
      <c r="Z101" s="648">
        <v>0.13</v>
      </c>
      <c r="AA101" s="89">
        <f t="shared" si="53"/>
        <v>17976750</v>
      </c>
      <c r="AB101" s="89">
        <f t="shared" si="54"/>
        <v>3571345.05</v>
      </c>
      <c r="AC101" s="257">
        <f t="shared" si="55"/>
        <v>0.13</v>
      </c>
      <c r="AD101" s="90">
        <f t="shared" si="56"/>
        <v>2336977.5</v>
      </c>
      <c r="AE101" s="89">
        <f t="shared" si="57"/>
        <v>2072794.45</v>
      </c>
      <c r="AF101" s="89">
        <f t="shared" si="58"/>
        <v>1131353.5</v>
      </c>
      <c r="AG101" s="270">
        <f t="shared" si="59"/>
        <v>9.9332333430681299</v>
      </c>
      <c r="AH101" s="271">
        <f t="shared" si="60"/>
        <v>53.217314672477592</v>
      </c>
      <c r="AI101" s="240">
        <f t="shared" si="61"/>
        <v>63.150548015545724</v>
      </c>
      <c r="AJ101" s="316">
        <v>47.88798919884222</v>
      </c>
      <c r="AK101" s="672">
        <f t="shared" si="64"/>
        <v>15.262558816703503</v>
      </c>
      <c r="AL101" t="str">
        <f t="shared" si="52"/>
        <v/>
      </c>
      <c r="AM101" s="822"/>
      <c r="AN101" s="108">
        <v>13</v>
      </c>
      <c r="AO101" s="108" t="s">
        <v>127</v>
      </c>
      <c r="AP101" s="108" t="s">
        <v>276</v>
      </c>
      <c r="AQ101" s="109">
        <v>497909511</v>
      </c>
      <c r="AR101" s="109">
        <v>202450873.63</v>
      </c>
      <c r="AS101" s="109">
        <v>0</v>
      </c>
      <c r="AT101" s="109">
        <v>34582756.700000003</v>
      </c>
      <c r="AU101" s="109">
        <v>0</v>
      </c>
      <c r="AV101" s="110">
        <v>5998307.1200000001</v>
      </c>
    </row>
    <row r="102" spans="1:48" x14ac:dyDescent="0.2">
      <c r="A102" s="6">
        <v>91</v>
      </c>
      <c r="B102" s="199">
        <v>60443</v>
      </c>
      <c r="C102" s="680" t="s">
        <v>592</v>
      </c>
      <c r="D102" s="173" t="s">
        <v>136</v>
      </c>
      <c r="E102" s="173" t="s">
        <v>136</v>
      </c>
      <c r="F102" s="174" t="s">
        <v>14</v>
      </c>
      <c r="G102" s="179" t="s">
        <v>1</v>
      </c>
      <c r="H102" s="179" t="s">
        <v>5</v>
      </c>
      <c r="I102" s="182" t="s">
        <v>0</v>
      </c>
      <c r="J102" s="181" t="s">
        <v>136</v>
      </c>
      <c r="K102" s="200" t="b">
        <v>0</v>
      </c>
      <c r="L102" s="650">
        <v>2543250</v>
      </c>
      <c r="M102" s="89">
        <v>2523620.58</v>
      </c>
      <c r="N102" s="89">
        <f t="shared" si="65"/>
        <v>50865</v>
      </c>
      <c r="O102" s="89">
        <v>39839.040000000001</v>
      </c>
      <c r="P102" s="89">
        <f t="shared" si="62"/>
        <v>5086.5</v>
      </c>
      <c r="Q102" s="651">
        <v>74272.59</v>
      </c>
      <c r="R102" s="650">
        <v>1904775</v>
      </c>
      <c r="S102" s="89">
        <v>552511.32999999996</v>
      </c>
      <c r="T102" s="89">
        <f t="shared" si="66"/>
        <v>495241.5</v>
      </c>
      <c r="U102" s="89">
        <v>11306.99</v>
      </c>
      <c r="V102" s="89">
        <f t="shared" si="63"/>
        <v>49524.15</v>
      </c>
      <c r="W102" s="347">
        <v>1936.42</v>
      </c>
      <c r="X102" s="256">
        <v>0.02</v>
      </c>
      <c r="Y102" s="256">
        <v>0.26</v>
      </c>
      <c r="Z102" s="648">
        <v>0.13</v>
      </c>
      <c r="AA102" s="89">
        <f t="shared" si="53"/>
        <v>4448025</v>
      </c>
      <c r="AB102" s="89">
        <f t="shared" si="54"/>
        <v>3076131.91</v>
      </c>
      <c r="AC102" s="257">
        <f t="shared" si="55"/>
        <v>0.13</v>
      </c>
      <c r="AD102" s="90">
        <f t="shared" si="56"/>
        <v>578243.25</v>
      </c>
      <c r="AE102" s="89">
        <f t="shared" si="57"/>
        <v>51146.03</v>
      </c>
      <c r="AF102" s="89">
        <f t="shared" si="58"/>
        <v>76209.009999999995</v>
      </c>
      <c r="AG102" s="270">
        <f t="shared" si="59"/>
        <v>34.578626581460313</v>
      </c>
      <c r="AH102" s="271">
        <f t="shared" si="60"/>
        <v>5.3070430134722715</v>
      </c>
      <c r="AI102" s="240">
        <f t="shared" si="61"/>
        <v>39.885669594932587</v>
      </c>
      <c r="AJ102" s="316">
        <v>95.94402034116294</v>
      </c>
      <c r="AK102" s="672">
        <f t="shared" si="64"/>
        <v>-56.058350746230353</v>
      </c>
      <c r="AL102" t="str">
        <f t="shared" si="52"/>
        <v/>
      </c>
      <c r="AM102" s="822"/>
      <c r="AN102" s="108">
        <v>14</v>
      </c>
      <c r="AO102" s="108" t="s">
        <v>128</v>
      </c>
      <c r="AP102" s="108" t="s">
        <v>277</v>
      </c>
      <c r="AQ102" s="109">
        <v>162269307</v>
      </c>
      <c r="AR102" s="109">
        <v>90182583.439999998</v>
      </c>
      <c r="AS102" s="109">
        <v>0</v>
      </c>
      <c r="AT102" s="109">
        <v>66297672.119999997</v>
      </c>
      <c r="AU102" s="109">
        <v>0</v>
      </c>
      <c r="AV102" s="110">
        <v>14629942.09</v>
      </c>
    </row>
    <row r="103" spans="1:48" x14ac:dyDescent="0.2">
      <c r="A103" s="6">
        <v>92</v>
      </c>
      <c r="B103" s="199">
        <v>60444</v>
      </c>
      <c r="C103" s="680" t="s">
        <v>598</v>
      </c>
      <c r="D103" s="173" t="s">
        <v>136</v>
      </c>
      <c r="E103" s="173" t="s">
        <v>136</v>
      </c>
      <c r="F103" s="174" t="s">
        <v>14</v>
      </c>
      <c r="G103" s="179" t="s">
        <v>1</v>
      </c>
      <c r="H103" s="179" t="s">
        <v>444</v>
      </c>
      <c r="I103" s="180" t="s">
        <v>0</v>
      </c>
      <c r="J103" s="181" t="s">
        <v>136</v>
      </c>
      <c r="K103" s="200" t="b">
        <v>0</v>
      </c>
      <c r="L103" s="650">
        <v>22962000</v>
      </c>
      <c r="M103" s="89">
        <v>0</v>
      </c>
      <c r="N103" s="89">
        <f t="shared" si="65"/>
        <v>459240</v>
      </c>
      <c r="O103" s="89">
        <v>370677.78</v>
      </c>
      <c r="P103" s="89">
        <f t="shared" si="62"/>
        <v>45924</v>
      </c>
      <c r="Q103" s="651">
        <v>245601.18</v>
      </c>
      <c r="R103" s="650">
        <v>687750</v>
      </c>
      <c r="S103" s="89">
        <v>26635.11</v>
      </c>
      <c r="T103" s="89">
        <f t="shared" si="66"/>
        <v>13755</v>
      </c>
      <c r="U103" s="89">
        <v>19606.8</v>
      </c>
      <c r="V103" s="89">
        <f t="shared" si="63"/>
        <v>1375.5</v>
      </c>
      <c r="W103" s="347">
        <v>3774.92</v>
      </c>
      <c r="X103" s="256">
        <v>0.02</v>
      </c>
      <c r="Y103" s="256">
        <v>0.02</v>
      </c>
      <c r="Z103" s="648">
        <v>0.02</v>
      </c>
      <c r="AA103" s="89">
        <f t="shared" si="53"/>
        <v>23649750</v>
      </c>
      <c r="AB103" s="89">
        <f t="shared" si="54"/>
        <v>26635.11</v>
      </c>
      <c r="AC103" s="257">
        <f t="shared" si="55"/>
        <v>0.02</v>
      </c>
      <c r="AD103" s="90">
        <f t="shared" si="56"/>
        <v>472995</v>
      </c>
      <c r="AE103" s="89">
        <f t="shared" si="57"/>
        <v>390284.58</v>
      </c>
      <c r="AF103" s="89">
        <f t="shared" si="58"/>
        <v>249376.1</v>
      </c>
      <c r="AG103" s="270">
        <f t="shared" si="59"/>
        <v>5.6311610059302949E-2</v>
      </c>
      <c r="AH103" s="271">
        <f t="shared" si="60"/>
        <v>49.508081057939307</v>
      </c>
      <c r="AI103" s="240">
        <f t="shared" si="61"/>
        <v>49.564392667998611</v>
      </c>
      <c r="AJ103" s="316">
        <v>91.630965538185706</v>
      </c>
      <c r="AK103" s="672">
        <f t="shared" si="64"/>
        <v>-42.066572870187095</v>
      </c>
      <c r="AL103" t="str">
        <f t="shared" si="52"/>
        <v/>
      </c>
      <c r="AM103" s="822"/>
      <c r="AN103" s="108">
        <v>15</v>
      </c>
      <c r="AO103" s="108" t="s">
        <v>131</v>
      </c>
      <c r="AP103" s="108" t="s">
        <v>278</v>
      </c>
      <c r="AQ103" s="109">
        <v>92214945</v>
      </c>
      <c r="AR103" s="109">
        <v>76924131.769999996</v>
      </c>
      <c r="AS103" s="109">
        <v>0</v>
      </c>
      <c r="AT103" s="109">
        <v>76114660.019999996</v>
      </c>
      <c r="AU103" s="109">
        <v>0</v>
      </c>
      <c r="AV103" s="110">
        <v>1971537.5</v>
      </c>
    </row>
    <row r="104" spans="1:48" x14ac:dyDescent="0.2">
      <c r="A104" s="6">
        <v>93</v>
      </c>
      <c r="B104" s="199">
        <v>60446</v>
      </c>
      <c r="C104" s="680" t="s">
        <v>567</v>
      </c>
      <c r="D104" s="173" t="s">
        <v>136</v>
      </c>
      <c r="E104" s="173" t="s">
        <v>136</v>
      </c>
      <c r="F104" s="174" t="s">
        <v>113</v>
      </c>
      <c r="G104" s="179" t="s">
        <v>2</v>
      </c>
      <c r="H104" s="179" t="s">
        <v>582</v>
      </c>
      <c r="I104" s="180" t="s">
        <v>0</v>
      </c>
      <c r="J104" s="181" t="s">
        <v>136</v>
      </c>
      <c r="K104" s="200" t="b">
        <v>0</v>
      </c>
      <c r="L104" s="650">
        <v>1743750</v>
      </c>
      <c r="M104" s="89">
        <v>2127649.89</v>
      </c>
      <c r="N104" s="89">
        <f t="shared" si="65"/>
        <v>52312.5</v>
      </c>
      <c r="O104" s="89">
        <v>49896.45</v>
      </c>
      <c r="P104" s="89">
        <f t="shared" si="62"/>
        <v>5231.25</v>
      </c>
      <c r="Q104" s="651">
        <v>74017.710000000006</v>
      </c>
      <c r="R104" s="650">
        <v>942750</v>
      </c>
      <c r="S104" s="89">
        <v>1041714.22</v>
      </c>
      <c r="T104" s="89">
        <f t="shared" si="66"/>
        <v>113130</v>
      </c>
      <c r="U104" s="89">
        <v>199547.89</v>
      </c>
      <c r="V104" s="89">
        <f t="shared" si="63"/>
        <v>11313</v>
      </c>
      <c r="W104" s="347">
        <v>47381.599999999999</v>
      </c>
      <c r="X104" s="256">
        <v>0.03</v>
      </c>
      <c r="Y104" s="256">
        <v>0.12</v>
      </c>
      <c r="Z104" s="648">
        <v>0.06</v>
      </c>
      <c r="AA104" s="89">
        <f t="shared" si="53"/>
        <v>2686500</v>
      </c>
      <c r="AB104" s="89">
        <f t="shared" si="54"/>
        <v>3169364.1100000003</v>
      </c>
      <c r="AC104" s="257">
        <f t="shared" si="55"/>
        <v>0.06</v>
      </c>
      <c r="AD104" s="90">
        <f t="shared" si="56"/>
        <v>161190</v>
      </c>
      <c r="AE104" s="89">
        <f t="shared" si="57"/>
        <v>249444.34000000003</v>
      </c>
      <c r="AF104" s="89">
        <f t="shared" si="58"/>
        <v>121399.31</v>
      </c>
      <c r="AG104" s="270">
        <f t="shared" si="59"/>
        <v>40</v>
      </c>
      <c r="AH104" s="271">
        <f t="shared" si="60"/>
        <v>60</v>
      </c>
      <c r="AI104" s="240">
        <f t="shared" si="61"/>
        <v>100</v>
      </c>
      <c r="AJ104" s="316">
        <v>40.865324685402676</v>
      </c>
      <c r="AK104" s="672">
        <f t="shared" si="64"/>
        <v>59.134675314597324</v>
      </c>
      <c r="AL104">
        <f t="shared" si="52"/>
        <v>92</v>
      </c>
      <c r="AM104" s="822"/>
      <c r="AN104" s="103">
        <v>19</v>
      </c>
      <c r="AO104" s="103" t="s">
        <v>133</v>
      </c>
      <c r="AP104" s="103" t="s">
        <v>279</v>
      </c>
      <c r="AQ104" s="104">
        <v>250337034</v>
      </c>
      <c r="AR104" s="104">
        <v>150083435.41</v>
      </c>
      <c r="AS104" s="104">
        <v>0</v>
      </c>
      <c r="AT104" s="104">
        <v>0</v>
      </c>
      <c r="AU104" s="104">
        <v>0</v>
      </c>
      <c r="AV104" s="105">
        <v>0</v>
      </c>
    </row>
    <row r="105" spans="1:48" x14ac:dyDescent="0.2">
      <c r="A105" s="6">
        <v>94</v>
      </c>
      <c r="B105" s="199">
        <v>60447</v>
      </c>
      <c r="C105" s="680" t="s">
        <v>568</v>
      </c>
      <c r="D105" s="173" t="s">
        <v>136</v>
      </c>
      <c r="E105" s="173" t="s">
        <v>136</v>
      </c>
      <c r="F105" s="174" t="s">
        <v>113</v>
      </c>
      <c r="G105" s="179" t="s">
        <v>2</v>
      </c>
      <c r="H105" s="179" t="s">
        <v>582</v>
      </c>
      <c r="I105" s="180" t="s">
        <v>0</v>
      </c>
      <c r="J105" s="181" t="s">
        <v>136</v>
      </c>
      <c r="K105" s="200" t="b">
        <v>0</v>
      </c>
      <c r="L105" s="650">
        <v>3507000</v>
      </c>
      <c r="M105" s="89">
        <v>3054251.17</v>
      </c>
      <c r="N105" s="89">
        <f t="shared" si="65"/>
        <v>526050</v>
      </c>
      <c r="O105" s="89">
        <v>604657.53</v>
      </c>
      <c r="P105" s="89">
        <f t="shared" si="62"/>
        <v>52605</v>
      </c>
      <c r="Q105" s="651">
        <v>275570.55</v>
      </c>
      <c r="R105" s="650">
        <v>611250</v>
      </c>
      <c r="S105" s="89">
        <v>780123.57</v>
      </c>
      <c r="T105" s="89">
        <f t="shared" si="66"/>
        <v>97800</v>
      </c>
      <c r="U105" s="89">
        <v>143594</v>
      </c>
      <c r="V105" s="89">
        <f t="shared" si="63"/>
        <v>9780</v>
      </c>
      <c r="W105" s="347">
        <v>28795.57</v>
      </c>
      <c r="X105" s="256">
        <v>0.15</v>
      </c>
      <c r="Y105" s="256">
        <v>0.16</v>
      </c>
      <c r="Z105" s="648">
        <v>0.15</v>
      </c>
      <c r="AA105" s="89">
        <f t="shared" si="53"/>
        <v>4118250</v>
      </c>
      <c r="AB105" s="89">
        <f t="shared" si="54"/>
        <v>3834374.7399999998</v>
      </c>
      <c r="AC105" s="257">
        <f t="shared" si="55"/>
        <v>0.15</v>
      </c>
      <c r="AD105" s="90">
        <f t="shared" si="56"/>
        <v>617737.5</v>
      </c>
      <c r="AE105" s="89">
        <f t="shared" si="57"/>
        <v>748251.53</v>
      </c>
      <c r="AF105" s="89">
        <f t="shared" si="58"/>
        <v>304366.12</v>
      </c>
      <c r="AG105" s="270">
        <f t="shared" si="59"/>
        <v>40</v>
      </c>
      <c r="AH105" s="271">
        <f t="shared" si="60"/>
        <v>60</v>
      </c>
      <c r="AI105" s="240">
        <f t="shared" si="61"/>
        <v>100</v>
      </c>
      <c r="AJ105" s="316">
        <v>0.12953566999092475</v>
      </c>
      <c r="AK105" s="672">
        <f t="shared" si="64"/>
        <v>99.870464330009071</v>
      </c>
      <c r="AL105" t="str">
        <f t="shared" si="52"/>
        <v/>
      </c>
      <c r="AM105" s="823"/>
      <c r="AN105" s="111">
        <v>20</v>
      </c>
      <c r="AO105" s="111" t="s">
        <v>134</v>
      </c>
      <c r="AP105" s="111" t="s">
        <v>280</v>
      </c>
      <c r="AQ105" s="112">
        <v>0</v>
      </c>
      <c r="AR105" s="112">
        <v>0</v>
      </c>
      <c r="AS105" s="112">
        <v>0</v>
      </c>
      <c r="AT105" s="112">
        <v>0</v>
      </c>
      <c r="AU105" s="112">
        <v>0</v>
      </c>
      <c r="AV105" s="113">
        <v>0</v>
      </c>
    </row>
    <row r="106" spans="1:48" x14ac:dyDescent="0.2">
      <c r="A106" s="6">
        <v>95</v>
      </c>
      <c r="B106" s="199">
        <v>60448</v>
      </c>
      <c r="C106" s="680" t="s">
        <v>569</v>
      </c>
      <c r="D106" s="173" t="s">
        <v>136</v>
      </c>
      <c r="E106" s="173" t="s">
        <v>136</v>
      </c>
      <c r="F106" s="174" t="s">
        <v>113</v>
      </c>
      <c r="G106" s="179" t="s">
        <v>2</v>
      </c>
      <c r="H106" s="179" t="s">
        <v>582</v>
      </c>
      <c r="I106" s="182" t="s">
        <v>0</v>
      </c>
      <c r="J106" s="181" t="s">
        <v>136</v>
      </c>
      <c r="K106" s="200" t="b">
        <v>0</v>
      </c>
      <c r="L106" s="650">
        <v>1596750</v>
      </c>
      <c r="M106" s="89">
        <v>1690894.54</v>
      </c>
      <c r="N106" s="89">
        <f t="shared" si="65"/>
        <v>95805</v>
      </c>
      <c r="O106" s="89">
        <v>98058.33</v>
      </c>
      <c r="P106" s="89">
        <f t="shared" si="62"/>
        <v>9580.5</v>
      </c>
      <c r="Q106" s="651">
        <v>41748.03</v>
      </c>
      <c r="R106" s="650">
        <v>888750</v>
      </c>
      <c r="S106" s="89">
        <v>1012694.23</v>
      </c>
      <c r="T106" s="89">
        <f t="shared" si="66"/>
        <v>168862.5</v>
      </c>
      <c r="U106" s="89">
        <v>162897.13</v>
      </c>
      <c r="V106" s="89">
        <f t="shared" si="63"/>
        <v>16886.25</v>
      </c>
      <c r="W106" s="347">
        <v>41332.32</v>
      </c>
      <c r="X106" s="256">
        <v>0.06</v>
      </c>
      <c r="Y106" s="256">
        <v>0.19</v>
      </c>
      <c r="Z106" s="648">
        <v>0.14000000000000001</v>
      </c>
      <c r="AA106" s="89">
        <f t="shared" si="53"/>
        <v>2485500</v>
      </c>
      <c r="AB106" s="89">
        <f t="shared" si="54"/>
        <v>2703588.77</v>
      </c>
      <c r="AC106" s="257">
        <f t="shared" si="55"/>
        <v>0.14000000000000001</v>
      </c>
      <c r="AD106" s="90">
        <f t="shared" si="56"/>
        <v>347970.00000000006</v>
      </c>
      <c r="AE106" s="89">
        <f t="shared" si="57"/>
        <v>260955.46000000002</v>
      </c>
      <c r="AF106" s="89">
        <f t="shared" si="58"/>
        <v>83080.350000000006</v>
      </c>
      <c r="AG106" s="270">
        <f t="shared" si="59"/>
        <v>40</v>
      </c>
      <c r="AH106" s="271">
        <f t="shared" si="60"/>
        <v>44.996199672385544</v>
      </c>
      <c r="AI106" s="240">
        <f t="shared" si="61"/>
        <v>84.996199672385544</v>
      </c>
      <c r="AJ106" s="316">
        <v>100</v>
      </c>
      <c r="AK106" s="672">
        <f t="shared" si="64"/>
        <v>-15.003800327614456</v>
      </c>
    </row>
    <row r="107" spans="1:48" x14ac:dyDescent="0.2">
      <c r="A107" s="6">
        <v>96</v>
      </c>
      <c r="B107" s="199">
        <v>60449</v>
      </c>
      <c r="C107" s="680" t="s">
        <v>570</v>
      </c>
      <c r="D107" s="173" t="s">
        <v>136</v>
      </c>
      <c r="E107" s="173" t="s">
        <v>136</v>
      </c>
      <c r="F107" s="174" t="s">
        <v>113</v>
      </c>
      <c r="G107" s="179" t="s">
        <v>4</v>
      </c>
      <c r="H107" s="179" t="s">
        <v>295</v>
      </c>
      <c r="I107" s="180" t="s">
        <v>8</v>
      </c>
      <c r="J107" s="181" t="s">
        <v>136</v>
      </c>
      <c r="K107" s="200" t="b">
        <v>0</v>
      </c>
      <c r="L107" s="650">
        <v>5595375</v>
      </c>
      <c r="M107" s="89">
        <v>4099835.2</v>
      </c>
      <c r="N107" s="89">
        <f t="shared" si="65"/>
        <v>397724.70696503512</v>
      </c>
      <c r="O107" s="89">
        <v>320042.52</v>
      </c>
      <c r="P107" s="89">
        <f t="shared" si="62"/>
        <v>39772.470696503515</v>
      </c>
      <c r="Q107" s="651">
        <v>204811.74</v>
      </c>
      <c r="R107" s="650">
        <v>9877200</v>
      </c>
      <c r="S107" s="89">
        <v>8970086.3699999992</v>
      </c>
      <c r="T107" s="89">
        <f t="shared" si="66"/>
        <v>5847508.0027520014</v>
      </c>
      <c r="U107" s="89">
        <v>5606393.8499999996</v>
      </c>
      <c r="V107" s="89">
        <f t="shared" si="63"/>
        <v>584750.80027520016</v>
      </c>
      <c r="W107" s="347">
        <v>202950.05</v>
      </c>
      <c r="X107" s="256">
        <v>7.1080974369909997E-2</v>
      </c>
      <c r="Y107" s="256">
        <v>0.59202081589438316</v>
      </c>
      <c r="Z107" s="648">
        <v>0.43912186127453956</v>
      </c>
      <c r="AA107" s="89">
        <f t="shared" ref="AA107:AA138" si="67">IF(jakaKS=1,L107+R107,IF(jakaKS=2,L107,IF(jakaKS=3,R107,0)))</f>
        <v>15472575</v>
      </c>
      <c r="AB107" s="89">
        <f t="shared" ref="AB107:AB138" si="68">IF(jakaKS=1,M107+S107,IF(jakaKS=2,M107,IF(jakaKS=3,S107,0)))+IF(uspora="A",IF(jakaKS=1,Q107+W107,IF(jakaKS=2,Q107,IF(jakaKS=3,W107,0))),0)</f>
        <v>13069921.57</v>
      </c>
      <c r="AC107" s="257">
        <f t="shared" ref="AC107:AC138" si="69">IF(jakaKS=1,Z107,IF(jakaKS=2,X107,IF(jakaKS=3,Y107,0)))</f>
        <v>0.43912186127453956</v>
      </c>
      <c r="AD107" s="90">
        <f t="shared" ref="AD107:AD138" si="70">IF(jakaKS=1,AA107*Z107,IF(jakaKS=2,N107,IF(jakaKS=3,T107,0)))</f>
        <v>6794345.932709909</v>
      </c>
      <c r="AE107" s="89">
        <f t="shared" ref="AE107:AE138" si="71">IF(jakaKS=1,O107+U107,IF(jakaKS=2,O107,IF(jakaKS=3,U107,0)))+IF(uspora="A",IF(jakaKS=1,Q107+W107,IF(jakaKS=2,Q107,IF(jakaKS=3,W107,0))),0)</f>
        <v>5926436.3699999992</v>
      </c>
      <c r="AF107" s="89">
        <f t="shared" ref="AF107:AF138" si="72">IF(jakaKS=1,Q107+W107,IF(jakaKS=2,Q107,IF(jakaKS=3,W107,0)))</f>
        <v>407761.79</v>
      </c>
      <c r="AG107" s="270">
        <f t="shared" si="59"/>
        <v>40</v>
      </c>
      <c r="AH107" s="271">
        <f t="shared" si="60"/>
        <v>52.335601649028085</v>
      </c>
      <c r="AI107" s="240">
        <f t="shared" si="61"/>
        <v>92.335601649028092</v>
      </c>
      <c r="AJ107" s="316">
        <v>100</v>
      </c>
      <c r="AK107" s="672">
        <f t="shared" si="64"/>
        <v>-7.6643983509719078</v>
      </c>
      <c r="AL107" t="str">
        <f t="shared" ref="AL107:AL138" si="73">IF($M106=AL$11,$A106,"")</f>
        <v/>
      </c>
    </row>
    <row r="108" spans="1:48" x14ac:dyDescent="0.2">
      <c r="A108" s="6">
        <v>97</v>
      </c>
      <c r="B108" s="199">
        <v>60385</v>
      </c>
      <c r="C108" s="680" t="s">
        <v>565</v>
      </c>
      <c r="D108" s="173" t="s">
        <v>136</v>
      </c>
      <c r="E108" s="173" t="s">
        <v>136</v>
      </c>
      <c r="F108" s="174" t="s">
        <v>113</v>
      </c>
      <c r="G108" s="179" t="s">
        <v>4</v>
      </c>
      <c r="H108" s="179" t="s">
        <v>295</v>
      </c>
      <c r="I108" s="180" t="s">
        <v>9</v>
      </c>
      <c r="J108" s="181" t="s">
        <v>136</v>
      </c>
      <c r="K108" s="200" t="b">
        <v>0</v>
      </c>
      <c r="L108" s="650">
        <v>1434000</v>
      </c>
      <c r="M108" s="89">
        <v>0</v>
      </c>
      <c r="N108" s="89">
        <f t="shared" si="65"/>
        <v>33006.434981447805</v>
      </c>
      <c r="O108" s="89">
        <v>38807.64</v>
      </c>
      <c r="P108" s="89">
        <f t="shared" si="62"/>
        <v>3300.6434981447806</v>
      </c>
      <c r="Q108" s="651">
        <v>-1452.15</v>
      </c>
      <c r="R108" s="650">
        <v>1239750</v>
      </c>
      <c r="S108" s="89">
        <v>85795.93</v>
      </c>
      <c r="T108" s="89">
        <f t="shared" si="66"/>
        <v>249779.19462636899</v>
      </c>
      <c r="U108" s="89">
        <v>84794.05</v>
      </c>
      <c r="V108" s="89">
        <f t="shared" si="63"/>
        <v>24977.919462636899</v>
      </c>
      <c r="W108" s="347">
        <v>11674.99</v>
      </c>
      <c r="X108" s="256">
        <v>2.3017039736016601E-2</v>
      </c>
      <c r="Y108" s="256">
        <v>0.20147545442739986</v>
      </c>
      <c r="Z108" s="648">
        <v>7.8393831087387525E-2</v>
      </c>
      <c r="AA108" s="89">
        <f t="shared" si="67"/>
        <v>2673750</v>
      </c>
      <c r="AB108" s="89">
        <f t="shared" si="68"/>
        <v>85795.93</v>
      </c>
      <c r="AC108" s="257">
        <f t="shared" si="69"/>
        <v>7.8393831087387525E-2</v>
      </c>
      <c r="AD108" s="90">
        <f t="shared" si="70"/>
        <v>209605.50586990241</v>
      </c>
      <c r="AE108" s="89">
        <f t="shared" si="71"/>
        <v>123601.69</v>
      </c>
      <c r="AF108" s="89">
        <f t="shared" si="72"/>
        <v>10222.84</v>
      </c>
      <c r="AG108" s="270">
        <f t="shared" si="59"/>
        <v>1.6044119682094435</v>
      </c>
      <c r="AH108" s="271">
        <f t="shared" si="60"/>
        <v>35.381233757299356</v>
      </c>
      <c r="AI108" s="240">
        <f t="shared" si="61"/>
        <v>36.985645725508796</v>
      </c>
      <c r="AJ108" s="316">
        <v>93.878094608592704</v>
      </c>
      <c r="AK108" s="672">
        <f t="shared" si="64"/>
        <v>-56.892448883083908</v>
      </c>
      <c r="AL108" t="str">
        <f t="shared" si="73"/>
        <v/>
      </c>
    </row>
    <row r="109" spans="1:48" x14ac:dyDescent="0.2">
      <c r="A109" s="6">
        <v>98</v>
      </c>
      <c r="B109" s="199">
        <v>60450</v>
      </c>
      <c r="C109" s="680" t="s">
        <v>593</v>
      </c>
      <c r="D109" s="173" t="s">
        <v>136</v>
      </c>
      <c r="E109" s="173" t="s">
        <v>136</v>
      </c>
      <c r="F109" s="174" t="s">
        <v>14</v>
      </c>
      <c r="G109" s="179" t="s">
        <v>1</v>
      </c>
      <c r="H109" s="179" t="s">
        <v>289</v>
      </c>
      <c r="I109" s="180" t="s">
        <v>0</v>
      </c>
      <c r="J109" s="181" t="s">
        <v>136</v>
      </c>
      <c r="K109" s="200" t="b">
        <v>0</v>
      </c>
      <c r="L109" s="650">
        <v>4456200</v>
      </c>
      <c r="M109" s="89">
        <v>0</v>
      </c>
      <c r="N109" s="89">
        <f t="shared" si="65"/>
        <v>490182</v>
      </c>
      <c r="O109" s="89">
        <v>408681.45</v>
      </c>
      <c r="P109" s="89">
        <f t="shared" si="62"/>
        <v>49018.200000000004</v>
      </c>
      <c r="Q109" s="651">
        <v>239819.4</v>
      </c>
      <c r="R109" s="650">
        <v>13036500</v>
      </c>
      <c r="S109" s="89">
        <v>6848549.21</v>
      </c>
      <c r="T109" s="89">
        <f t="shared" si="66"/>
        <v>7039710</v>
      </c>
      <c r="U109" s="89">
        <v>5679402.0099999998</v>
      </c>
      <c r="V109" s="89">
        <f t="shared" si="63"/>
        <v>703971</v>
      </c>
      <c r="W109" s="347">
        <v>133095.06</v>
      </c>
      <c r="X109" s="256">
        <v>0.11</v>
      </c>
      <c r="Y109" s="256">
        <v>0.54</v>
      </c>
      <c r="Z109" s="648">
        <v>0.44</v>
      </c>
      <c r="AA109" s="89">
        <f t="shared" si="67"/>
        <v>17492700</v>
      </c>
      <c r="AB109" s="89">
        <f t="shared" si="68"/>
        <v>6848549.21</v>
      </c>
      <c r="AC109" s="257">
        <f t="shared" si="69"/>
        <v>0.44</v>
      </c>
      <c r="AD109" s="90">
        <f t="shared" si="70"/>
        <v>7696788</v>
      </c>
      <c r="AE109" s="89">
        <f t="shared" si="71"/>
        <v>6088083.46</v>
      </c>
      <c r="AF109" s="89">
        <f t="shared" si="72"/>
        <v>372914.45999999996</v>
      </c>
      <c r="AG109" s="270">
        <f t="shared" si="59"/>
        <v>19.575449215958656</v>
      </c>
      <c r="AH109" s="271">
        <f t="shared" si="60"/>
        <v>47.459408729979309</v>
      </c>
      <c r="AI109" s="240">
        <f t="shared" si="61"/>
        <v>67.034857945937972</v>
      </c>
      <c r="AJ109" s="316">
        <v>79.051310827377677</v>
      </c>
      <c r="AK109" s="672">
        <f t="shared" si="64"/>
        <v>-12.016452881439704</v>
      </c>
      <c r="AL109">
        <f t="shared" si="73"/>
        <v>97</v>
      </c>
    </row>
    <row r="110" spans="1:48" x14ac:dyDescent="0.2">
      <c r="A110" s="6">
        <v>99</v>
      </c>
      <c r="B110" s="199">
        <v>60451</v>
      </c>
      <c r="C110" s="680" t="s">
        <v>188</v>
      </c>
      <c r="D110" s="173" t="s">
        <v>136</v>
      </c>
      <c r="E110" s="173" t="s">
        <v>136</v>
      </c>
      <c r="F110" s="174" t="s">
        <v>113</v>
      </c>
      <c r="G110" s="179" t="s">
        <v>4</v>
      </c>
      <c r="H110" s="179" t="s">
        <v>295</v>
      </c>
      <c r="I110" s="180" t="s">
        <v>47</v>
      </c>
      <c r="J110" s="181" t="s">
        <v>136</v>
      </c>
      <c r="K110" s="200" t="b">
        <v>0</v>
      </c>
      <c r="L110" s="650">
        <v>2013270</v>
      </c>
      <c r="M110" s="89">
        <v>78439.45</v>
      </c>
      <c r="N110" s="89">
        <f t="shared" si="65"/>
        <v>234584.18171796345</v>
      </c>
      <c r="O110" s="89">
        <v>118039.5</v>
      </c>
      <c r="P110" s="89">
        <f t="shared" si="62"/>
        <v>23458.418171796347</v>
      </c>
      <c r="Q110" s="651">
        <v>98091.81</v>
      </c>
      <c r="R110" s="650">
        <v>1019775</v>
      </c>
      <c r="S110" s="89">
        <v>453683.33</v>
      </c>
      <c r="T110" s="89">
        <f t="shared" si="66"/>
        <v>112641.95090822697</v>
      </c>
      <c r="U110" s="89">
        <v>0</v>
      </c>
      <c r="V110" s="89">
        <f t="shared" si="63"/>
        <v>11264.195090822697</v>
      </c>
      <c r="W110" s="347">
        <v>0</v>
      </c>
      <c r="X110" s="256">
        <v>0.11651898737773049</v>
      </c>
      <c r="Y110" s="256">
        <v>0.11045765086242255</v>
      </c>
      <c r="Z110" s="648">
        <v>0.11452894727439659</v>
      </c>
      <c r="AA110" s="89">
        <f t="shared" si="67"/>
        <v>3033045</v>
      </c>
      <c r="AB110" s="89">
        <f t="shared" si="68"/>
        <v>532122.78</v>
      </c>
      <c r="AC110" s="257">
        <f t="shared" si="69"/>
        <v>0.11452894727439659</v>
      </c>
      <c r="AD110" s="90">
        <f t="shared" si="70"/>
        <v>347371.45088587224</v>
      </c>
      <c r="AE110" s="89">
        <f t="shared" si="71"/>
        <v>118039.5</v>
      </c>
      <c r="AF110" s="89">
        <f t="shared" si="72"/>
        <v>98091.81</v>
      </c>
      <c r="AG110" s="270">
        <f t="shared" si="59"/>
        <v>8.772088445769846</v>
      </c>
      <c r="AH110" s="271">
        <f t="shared" si="60"/>
        <v>20.388463075875769</v>
      </c>
      <c r="AI110" s="240">
        <f t="shared" si="61"/>
        <v>29.160551521645615</v>
      </c>
      <c r="AJ110" s="316">
        <v>88.064334927844115</v>
      </c>
      <c r="AK110" s="672">
        <f t="shared" si="64"/>
        <v>-58.9037834061985</v>
      </c>
      <c r="AL110">
        <f t="shared" si="73"/>
        <v>98</v>
      </c>
    </row>
    <row r="111" spans="1:48" x14ac:dyDescent="0.2">
      <c r="A111" s="6">
        <v>100</v>
      </c>
      <c r="B111" s="199">
        <v>60316</v>
      </c>
      <c r="C111" s="680" t="s">
        <v>397</v>
      </c>
      <c r="D111" s="173" t="s">
        <v>136</v>
      </c>
      <c r="E111" s="173" t="s">
        <v>136</v>
      </c>
      <c r="F111" s="174" t="s">
        <v>113</v>
      </c>
      <c r="G111" s="179" t="s">
        <v>6</v>
      </c>
      <c r="H111" s="179" t="s">
        <v>290</v>
      </c>
      <c r="I111" s="182" t="s">
        <v>33</v>
      </c>
      <c r="J111" s="181" t="s">
        <v>136</v>
      </c>
      <c r="K111" s="200" t="b">
        <v>0</v>
      </c>
      <c r="L111" s="650">
        <v>2258250</v>
      </c>
      <c r="M111" s="89">
        <v>1719232.85</v>
      </c>
      <c r="N111" s="89">
        <f t="shared" si="65"/>
        <v>265377.94185305777</v>
      </c>
      <c r="O111" s="89">
        <v>29365.56</v>
      </c>
      <c r="P111" s="89">
        <f t="shared" si="62"/>
        <v>26537.794185305778</v>
      </c>
      <c r="Q111" s="651">
        <v>43144.83</v>
      </c>
      <c r="R111" s="650">
        <v>375750</v>
      </c>
      <c r="S111" s="89">
        <v>152295.51999999999</v>
      </c>
      <c r="T111" s="89">
        <f t="shared" si="66"/>
        <v>47897.621735805078</v>
      </c>
      <c r="U111" s="89">
        <v>56855.42</v>
      </c>
      <c r="V111" s="89">
        <f t="shared" si="63"/>
        <v>4789.7621735805078</v>
      </c>
      <c r="W111" s="347">
        <v>9457.19</v>
      </c>
      <c r="X111" s="256">
        <v>0.11751486409966025</v>
      </c>
      <c r="Y111" s="256">
        <v>0.12747204720107805</v>
      </c>
      <c r="Z111" s="648">
        <v>0.11961456907126954</v>
      </c>
      <c r="AA111" s="89">
        <f t="shared" si="67"/>
        <v>2634000</v>
      </c>
      <c r="AB111" s="89">
        <f t="shared" si="68"/>
        <v>1871528.37</v>
      </c>
      <c r="AC111" s="257">
        <f t="shared" si="69"/>
        <v>0.11961456907126954</v>
      </c>
      <c r="AD111" s="90">
        <f t="shared" si="70"/>
        <v>315064.77493372397</v>
      </c>
      <c r="AE111" s="89">
        <f t="shared" si="71"/>
        <v>86220.98</v>
      </c>
      <c r="AF111" s="89">
        <f t="shared" si="72"/>
        <v>52602.020000000004</v>
      </c>
      <c r="AG111" s="270">
        <f t="shared" si="59"/>
        <v>35.526354783599089</v>
      </c>
      <c r="AH111" s="271">
        <f t="shared" si="60"/>
        <v>16.41966735598491</v>
      </c>
      <c r="AI111" s="240">
        <f t="shared" si="61"/>
        <v>51.946022139584002</v>
      </c>
      <c r="AJ111" s="316">
        <v>31.412693283552574</v>
      </c>
      <c r="AK111" s="672">
        <f t="shared" si="64"/>
        <v>20.533328856031428</v>
      </c>
      <c r="AL111" t="str">
        <f t="shared" si="73"/>
        <v/>
      </c>
    </row>
    <row r="112" spans="1:48" x14ac:dyDescent="0.2">
      <c r="A112" s="6">
        <v>101</v>
      </c>
      <c r="B112" s="199">
        <v>60313</v>
      </c>
      <c r="C112" s="680" t="s">
        <v>398</v>
      </c>
      <c r="D112" s="173" t="s">
        <v>136</v>
      </c>
      <c r="E112" s="173" t="s">
        <v>136</v>
      </c>
      <c r="F112" s="174" t="s">
        <v>113</v>
      </c>
      <c r="G112" s="179" t="s">
        <v>6</v>
      </c>
      <c r="H112" s="179" t="s">
        <v>290</v>
      </c>
      <c r="I112" s="180" t="s">
        <v>34</v>
      </c>
      <c r="J112" s="181" t="s">
        <v>136</v>
      </c>
      <c r="K112" s="200" t="b">
        <v>0</v>
      </c>
      <c r="L112" s="650">
        <v>8912250</v>
      </c>
      <c r="M112" s="89">
        <v>0</v>
      </c>
      <c r="N112" s="89">
        <f t="shared" si="65"/>
        <v>2439282.8250000002</v>
      </c>
      <c r="O112" s="89">
        <v>342084.78</v>
      </c>
      <c r="P112" s="89">
        <f t="shared" si="62"/>
        <v>243928.28250000003</v>
      </c>
      <c r="Q112" s="651">
        <v>282264.3</v>
      </c>
      <c r="R112" s="650">
        <v>294000</v>
      </c>
      <c r="S112" s="89">
        <v>11476.5</v>
      </c>
      <c r="T112" s="89">
        <f t="shared" si="66"/>
        <v>19198.2</v>
      </c>
      <c r="U112" s="89">
        <v>11476.5</v>
      </c>
      <c r="V112" s="89">
        <f t="shared" si="63"/>
        <v>1919.8200000000002</v>
      </c>
      <c r="W112" s="347">
        <v>2718.3</v>
      </c>
      <c r="X112" s="256">
        <v>0.2737</v>
      </c>
      <c r="Y112" s="256">
        <v>6.5299999999999997E-2</v>
      </c>
      <c r="Z112" s="648">
        <v>0.24360000000000001</v>
      </c>
      <c r="AA112" s="89">
        <f t="shared" si="67"/>
        <v>9206250</v>
      </c>
      <c r="AB112" s="89">
        <f t="shared" si="68"/>
        <v>11476.5</v>
      </c>
      <c r="AC112" s="257">
        <f t="shared" si="69"/>
        <v>0.24360000000000001</v>
      </c>
      <c r="AD112" s="90">
        <f t="shared" si="70"/>
        <v>2242642.5</v>
      </c>
      <c r="AE112" s="89">
        <f t="shared" si="71"/>
        <v>353561.28</v>
      </c>
      <c r="AF112" s="89">
        <f t="shared" si="72"/>
        <v>284982.59999999998</v>
      </c>
      <c r="AG112" s="270">
        <f t="shared" si="59"/>
        <v>6.2329938900203663E-2</v>
      </c>
      <c r="AH112" s="271">
        <f t="shared" si="60"/>
        <v>9.459232490243096</v>
      </c>
      <c r="AI112" s="240">
        <f t="shared" si="61"/>
        <v>9.5215624291432999</v>
      </c>
      <c r="AJ112" s="316">
        <v>63.004773976748851</v>
      </c>
      <c r="AK112" s="672">
        <f t="shared" si="64"/>
        <v>-53.483211547605549</v>
      </c>
      <c r="AL112" t="str">
        <f t="shared" si="73"/>
        <v/>
      </c>
    </row>
    <row r="113" spans="1:38" x14ac:dyDescent="0.2">
      <c r="A113" s="6">
        <v>102</v>
      </c>
      <c r="B113" s="199">
        <v>60323</v>
      </c>
      <c r="C113" s="680" t="s">
        <v>399</v>
      </c>
      <c r="D113" s="173" t="s">
        <v>136</v>
      </c>
      <c r="E113" s="173" t="s">
        <v>136</v>
      </c>
      <c r="F113" s="174" t="s">
        <v>113</v>
      </c>
      <c r="G113" s="179" t="s">
        <v>6</v>
      </c>
      <c r="H113" s="179" t="s">
        <v>290</v>
      </c>
      <c r="I113" s="180" t="s">
        <v>35</v>
      </c>
      <c r="J113" s="181" t="s">
        <v>136</v>
      </c>
      <c r="K113" s="200" t="b">
        <v>0</v>
      </c>
      <c r="L113" s="650">
        <v>2184000</v>
      </c>
      <c r="M113" s="89">
        <v>1963640.74</v>
      </c>
      <c r="N113" s="89">
        <f t="shared" si="65"/>
        <v>443515.28790706012</v>
      </c>
      <c r="O113" s="89">
        <v>185262.39</v>
      </c>
      <c r="P113" s="89">
        <f t="shared" si="62"/>
        <v>44351.528790706012</v>
      </c>
      <c r="Q113" s="651">
        <v>166064.85</v>
      </c>
      <c r="R113" s="650">
        <v>382500</v>
      </c>
      <c r="S113" s="89">
        <v>319646.68</v>
      </c>
      <c r="T113" s="89">
        <f t="shared" si="66"/>
        <v>10920.105746592642</v>
      </c>
      <c r="U113" s="89">
        <v>27515.54</v>
      </c>
      <c r="V113" s="89">
        <f t="shared" si="63"/>
        <v>1092.0105746592642</v>
      </c>
      <c r="W113" s="347">
        <v>7838.32</v>
      </c>
      <c r="X113" s="256">
        <v>0.20307476552521067</v>
      </c>
      <c r="Y113" s="256">
        <v>2.8549296069523247E-2</v>
      </c>
      <c r="Z113" s="648">
        <v>0.1634802309946293</v>
      </c>
      <c r="AA113" s="89">
        <f t="shared" si="67"/>
        <v>2566500</v>
      </c>
      <c r="AB113" s="89">
        <f t="shared" si="68"/>
        <v>2283287.42</v>
      </c>
      <c r="AC113" s="257">
        <f t="shared" si="69"/>
        <v>0.1634802309946293</v>
      </c>
      <c r="AD113" s="90">
        <f t="shared" si="70"/>
        <v>419572.01284771611</v>
      </c>
      <c r="AE113" s="89">
        <f t="shared" si="71"/>
        <v>212777.93000000002</v>
      </c>
      <c r="AF113" s="89">
        <f t="shared" si="72"/>
        <v>173903.17</v>
      </c>
      <c r="AG113" s="270">
        <f t="shared" si="59"/>
        <v>40</v>
      </c>
      <c r="AH113" s="271">
        <f t="shared" si="60"/>
        <v>30.427853643883715</v>
      </c>
      <c r="AI113" s="240">
        <f t="shared" si="61"/>
        <v>70.427853643883708</v>
      </c>
      <c r="AJ113" s="316">
        <v>77.226283215029852</v>
      </c>
      <c r="AK113" s="672">
        <f t="shared" si="64"/>
        <v>-6.7984295711461442</v>
      </c>
      <c r="AL113">
        <f t="shared" si="73"/>
        <v>101</v>
      </c>
    </row>
    <row r="114" spans="1:38" x14ac:dyDescent="0.2">
      <c r="A114" s="6">
        <v>103</v>
      </c>
      <c r="B114" s="199">
        <v>60324</v>
      </c>
      <c r="C114" s="680" t="s">
        <v>400</v>
      </c>
      <c r="D114" s="173" t="s">
        <v>136</v>
      </c>
      <c r="E114" s="173" t="s">
        <v>136</v>
      </c>
      <c r="F114" s="174" t="s">
        <v>113</v>
      </c>
      <c r="G114" s="179" t="s">
        <v>6</v>
      </c>
      <c r="H114" s="179" t="s">
        <v>290</v>
      </c>
      <c r="I114" s="182" t="s">
        <v>36</v>
      </c>
      <c r="J114" s="181" t="s">
        <v>136</v>
      </c>
      <c r="K114" s="200" t="b">
        <v>0</v>
      </c>
      <c r="L114" s="650">
        <v>1100250</v>
      </c>
      <c r="M114" s="89">
        <v>0</v>
      </c>
      <c r="N114" s="89">
        <f t="shared" si="65"/>
        <v>317594.5435703508</v>
      </c>
      <c r="O114" s="89">
        <v>157926.96</v>
      </c>
      <c r="P114" s="89">
        <f t="shared" si="62"/>
        <v>31759.45435703508</v>
      </c>
      <c r="Q114" s="651">
        <v>126192.6</v>
      </c>
      <c r="R114" s="650">
        <v>280500</v>
      </c>
      <c r="S114" s="89">
        <v>0</v>
      </c>
      <c r="T114" s="89">
        <f t="shared" si="66"/>
        <v>16579.814455635267</v>
      </c>
      <c r="U114" s="89">
        <v>0</v>
      </c>
      <c r="V114" s="89">
        <f t="shared" si="63"/>
        <v>1657.9814455635269</v>
      </c>
      <c r="W114" s="347">
        <v>0</v>
      </c>
      <c r="X114" s="256">
        <v>0.28865670853928727</v>
      </c>
      <c r="Y114" s="256">
        <v>5.9108072925615929E-2</v>
      </c>
      <c r="Z114" s="648">
        <v>0.18939041492615671</v>
      </c>
      <c r="AA114" s="89">
        <f t="shared" si="67"/>
        <v>1380750</v>
      </c>
      <c r="AB114" s="89">
        <f t="shared" si="68"/>
        <v>0</v>
      </c>
      <c r="AC114" s="257">
        <f t="shared" si="69"/>
        <v>0.18939041492615671</v>
      </c>
      <c r="AD114" s="90">
        <f t="shared" si="70"/>
        <v>261500.8154092909</v>
      </c>
      <c r="AE114" s="89">
        <f t="shared" si="71"/>
        <v>157926.96</v>
      </c>
      <c r="AF114" s="89">
        <f t="shared" si="72"/>
        <v>126192.6</v>
      </c>
      <c r="AG114" s="270">
        <f t="shared" si="59"/>
        <v>0</v>
      </c>
      <c r="AH114" s="271">
        <f t="shared" si="60"/>
        <v>36.235518367960466</v>
      </c>
      <c r="AI114" s="240">
        <f t="shared" si="61"/>
        <v>36.235518367960466</v>
      </c>
      <c r="AJ114" s="316">
        <v>98.459431439574217</v>
      </c>
      <c r="AK114" s="672">
        <f t="shared" si="64"/>
        <v>-62.223913071613751</v>
      </c>
      <c r="AL114" t="str">
        <f t="shared" si="73"/>
        <v/>
      </c>
    </row>
    <row r="115" spans="1:38" x14ac:dyDescent="0.2">
      <c r="A115" s="6">
        <v>104</v>
      </c>
      <c r="B115" s="199">
        <v>60306</v>
      </c>
      <c r="C115" s="680" t="s">
        <v>401</v>
      </c>
      <c r="D115" s="173" t="s">
        <v>136</v>
      </c>
      <c r="E115" s="173" t="s">
        <v>136</v>
      </c>
      <c r="F115" s="174" t="s">
        <v>113</v>
      </c>
      <c r="G115" s="179" t="s">
        <v>6</v>
      </c>
      <c r="H115" s="179" t="s">
        <v>290</v>
      </c>
      <c r="I115" s="182" t="s">
        <v>7</v>
      </c>
      <c r="J115" s="181" t="s">
        <v>136</v>
      </c>
      <c r="K115" s="200" t="b">
        <v>0</v>
      </c>
      <c r="L115" s="650">
        <v>50532750</v>
      </c>
      <c r="M115" s="89">
        <v>36112180.75</v>
      </c>
      <c r="N115" s="89">
        <f t="shared" si="65"/>
        <v>9341857.0160645414</v>
      </c>
      <c r="O115" s="89">
        <v>418346.64</v>
      </c>
      <c r="P115" s="89">
        <f t="shared" si="62"/>
        <v>934185.70160645421</v>
      </c>
      <c r="Q115" s="651">
        <v>650352.51</v>
      </c>
      <c r="R115" s="650">
        <v>2881500</v>
      </c>
      <c r="S115" s="89">
        <v>350044.1</v>
      </c>
      <c r="T115" s="89">
        <f t="shared" si="66"/>
        <v>102264.21893729275</v>
      </c>
      <c r="U115" s="89">
        <v>97110.73</v>
      </c>
      <c r="V115" s="89">
        <f t="shared" si="63"/>
        <v>10226.421893729275</v>
      </c>
      <c r="W115" s="347">
        <v>27474.05</v>
      </c>
      <c r="X115" s="256">
        <v>0.18486737840439205</v>
      </c>
      <c r="Y115" s="256">
        <v>3.5489925017280148E-2</v>
      </c>
      <c r="Z115" s="648">
        <v>0.18018404777970171</v>
      </c>
      <c r="AA115" s="89">
        <f t="shared" si="67"/>
        <v>53414250</v>
      </c>
      <c r="AB115" s="89">
        <f t="shared" si="68"/>
        <v>36462224.850000001</v>
      </c>
      <c r="AC115" s="257">
        <f t="shared" si="69"/>
        <v>0.18018404777970171</v>
      </c>
      <c r="AD115" s="90">
        <f t="shared" si="70"/>
        <v>9624395.7741169315</v>
      </c>
      <c r="AE115" s="89">
        <f t="shared" si="71"/>
        <v>515457.37</v>
      </c>
      <c r="AF115" s="89">
        <f t="shared" si="72"/>
        <v>677826.56000000006</v>
      </c>
      <c r="AG115" s="270">
        <f t="shared" si="59"/>
        <v>34.131551833078248</v>
      </c>
      <c r="AH115" s="271">
        <f t="shared" si="60"/>
        <v>3.2134424774149202</v>
      </c>
      <c r="AI115" s="240">
        <f t="shared" si="61"/>
        <v>37.344994310493171</v>
      </c>
      <c r="AJ115" s="316">
        <v>10.097156201964287</v>
      </c>
      <c r="AK115" s="672">
        <f t="shared" si="64"/>
        <v>27.247838108528882</v>
      </c>
      <c r="AL115">
        <f t="shared" si="73"/>
        <v>103</v>
      </c>
    </row>
    <row r="116" spans="1:38" x14ac:dyDescent="0.2">
      <c r="A116" s="6">
        <v>105</v>
      </c>
      <c r="B116" s="199">
        <v>60321</v>
      </c>
      <c r="C116" s="680" t="s">
        <v>402</v>
      </c>
      <c r="D116" s="173" t="s">
        <v>136</v>
      </c>
      <c r="E116" s="173" t="s">
        <v>136</v>
      </c>
      <c r="F116" s="174" t="s">
        <v>113</v>
      </c>
      <c r="G116" s="179" t="s">
        <v>6</v>
      </c>
      <c r="H116" s="179" t="s">
        <v>290</v>
      </c>
      <c r="I116" s="182" t="s">
        <v>37</v>
      </c>
      <c r="J116" s="181" t="s">
        <v>136</v>
      </c>
      <c r="K116" s="200" t="b">
        <v>0</v>
      </c>
      <c r="L116" s="650">
        <v>1434000</v>
      </c>
      <c r="M116" s="89">
        <v>0</v>
      </c>
      <c r="N116" s="89">
        <f t="shared" si="65"/>
        <v>352109.03882933228</v>
      </c>
      <c r="O116" s="89">
        <v>142662.51</v>
      </c>
      <c r="P116" s="89">
        <f t="shared" si="62"/>
        <v>35210.903882933228</v>
      </c>
      <c r="Q116" s="651">
        <v>117598.14</v>
      </c>
      <c r="R116" s="650">
        <v>683250</v>
      </c>
      <c r="S116" s="89">
        <v>24975.68</v>
      </c>
      <c r="T116" s="89">
        <f t="shared" si="66"/>
        <v>9112.9344795305151</v>
      </c>
      <c r="U116" s="89">
        <v>23563.61</v>
      </c>
      <c r="V116" s="89">
        <f t="shared" si="63"/>
        <v>911.29344795305155</v>
      </c>
      <c r="W116" s="347">
        <v>2408.4</v>
      </c>
      <c r="X116" s="256">
        <v>0.24554326278196115</v>
      </c>
      <c r="Y116" s="256">
        <v>1.333762821738824E-2</v>
      </c>
      <c r="Z116" s="648">
        <v>0.19170750206831685</v>
      </c>
      <c r="AA116" s="89">
        <f t="shared" si="67"/>
        <v>2117250</v>
      </c>
      <c r="AB116" s="89">
        <f t="shared" si="68"/>
        <v>24975.68</v>
      </c>
      <c r="AC116" s="257">
        <f t="shared" si="69"/>
        <v>0.19170750206831685</v>
      </c>
      <c r="AD116" s="90">
        <f t="shared" si="70"/>
        <v>405892.70875414385</v>
      </c>
      <c r="AE116" s="89">
        <f t="shared" si="71"/>
        <v>166226.12</v>
      </c>
      <c r="AF116" s="89">
        <f t="shared" si="72"/>
        <v>120006.54</v>
      </c>
      <c r="AG116" s="270">
        <f t="shared" si="59"/>
        <v>0.58981414570787583</v>
      </c>
      <c r="AH116" s="271">
        <f t="shared" si="60"/>
        <v>24.571929933437556</v>
      </c>
      <c r="AI116" s="240">
        <f t="shared" si="61"/>
        <v>25.161744079145432</v>
      </c>
      <c r="AJ116" s="316">
        <v>15.981787793562862</v>
      </c>
      <c r="AK116" s="672">
        <f t="shared" si="64"/>
        <v>9.1799562855825698</v>
      </c>
      <c r="AL116" t="str">
        <f t="shared" si="73"/>
        <v/>
      </c>
    </row>
    <row r="117" spans="1:38" x14ac:dyDescent="0.2">
      <c r="A117" s="6">
        <v>106</v>
      </c>
      <c r="B117" s="199">
        <v>60312</v>
      </c>
      <c r="C117" s="680" t="s">
        <v>403</v>
      </c>
      <c r="D117" s="173" t="s">
        <v>136</v>
      </c>
      <c r="E117" s="173" t="s">
        <v>136</v>
      </c>
      <c r="F117" s="174" t="s">
        <v>113</v>
      </c>
      <c r="G117" s="179" t="s">
        <v>6</v>
      </c>
      <c r="H117" s="179" t="s">
        <v>290</v>
      </c>
      <c r="I117" s="182" t="s">
        <v>38</v>
      </c>
      <c r="J117" s="181" t="s">
        <v>136</v>
      </c>
      <c r="K117" s="200" t="b">
        <v>0</v>
      </c>
      <c r="L117" s="650">
        <v>3331500</v>
      </c>
      <c r="M117" s="89">
        <v>0</v>
      </c>
      <c r="N117" s="89">
        <f t="shared" si="65"/>
        <v>1107242.4621027329</v>
      </c>
      <c r="O117" s="89">
        <v>391916.16</v>
      </c>
      <c r="P117" s="89">
        <f t="shared" si="62"/>
        <v>110724.2462102733</v>
      </c>
      <c r="Q117" s="651">
        <v>345312.36</v>
      </c>
      <c r="R117" s="650">
        <v>948000</v>
      </c>
      <c r="S117" s="89">
        <v>53204.88</v>
      </c>
      <c r="T117" s="89">
        <f t="shared" si="66"/>
        <v>51149.541085629447</v>
      </c>
      <c r="U117" s="89">
        <v>49595.44</v>
      </c>
      <c r="V117" s="89">
        <f t="shared" si="63"/>
        <v>5114.9541085629453</v>
      </c>
      <c r="W117" s="347">
        <v>8795.01</v>
      </c>
      <c r="X117" s="256">
        <v>0.33235553417461589</v>
      </c>
      <c r="Y117" s="256">
        <v>5.395521211564288E-2</v>
      </c>
      <c r="Z117" s="648">
        <v>0.25526070732199285</v>
      </c>
      <c r="AA117" s="89">
        <f t="shared" si="67"/>
        <v>4279500</v>
      </c>
      <c r="AB117" s="89">
        <f t="shared" si="68"/>
        <v>53204.88</v>
      </c>
      <c r="AC117" s="257">
        <f t="shared" si="69"/>
        <v>0.25526070732199285</v>
      </c>
      <c r="AD117" s="90">
        <f t="shared" si="70"/>
        <v>1092388.1969844685</v>
      </c>
      <c r="AE117" s="89">
        <f t="shared" si="71"/>
        <v>441511.6</v>
      </c>
      <c r="AF117" s="89">
        <f t="shared" si="72"/>
        <v>354107.37</v>
      </c>
      <c r="AG117" s="270">
        <f t="shared" si="59"/>
        <v>0.6216249561864704</v>
      </c>
      <c r="AH117" s="271">
        <f t="shared" si="60"/>
        <v>24.250258354243861</v>
      </c>
      <c r="AI117" s="240">
        <f t="shared" si="61"/>
        <v>24.871883310430331</v>
      </c>
      <c r="AJ117" s="316">
        <v>28.429387740593153</v>
      </c>
      <c r="AK117" s="672">
        <f t="shared" si="64"/>
        <v>-3.5575044301628225</v>
      </c>
      <c r="AL117">
        <f t="shared" si="73"/>
        <v>105</v>
      </c>
    </row>
    <row r="118" spans="1:38" x14ac:dyDescent="0.2">
      <c r="A118" s="6">
        <v>107</v>
      </c>
      <c r="B118" s="199">
        <v>60307</v>
      </c>
      <c r="C118" s="680" t="s">
        <v>404</v>
      </c>
      <c r="D118" s="173" t="s">
        <v>136</v>
      </c>
      <c r="E118" s="173" t="s">
        <v>136</v>
      </c>
      <c r="F118" s="174" t="s">
        <v>113</v>
      </c>
      <c r="G118" s="179" t="s">
        <v>6</v>
      </c>
      <c r="H118" s="179" t="s">
        <v>290</v>
      </c>
      <c r="I118" s="180" t="s">
        <v>8</v>
      </c>
      <c r="J118" s="181" t="s">
        <v>136</v>
      </c>
      <c r="K118" s="200" t="b">
        <v>0</v>
      </c>
      <c r="L118" s="650">
        <v>45663000</v>
      </c>
      <c r="M118" s="89">
        <v>14619013.98</v>
      </c>
      <c r="N118" s="89">
        <f t="shared" si="65"/>
        <v>6232187.6050918465</v>
      </c>
      <c r="O118" s="89">
        <v>1881675.75</v>
      </c>
      <c r="P118" s="89">
        <f t="shared" si="62"/>
        <v>623218.76050918468</v>
      </c>
      <c r="Q118" s="651">
        <v>1538369.35</v>
      </c>
      <c r="R118" s="650">
        <v>2866500</v>
      </c>
      <c r="S118" s="89">
        <v>1691105.03</v>
      </c>
      <c r="T118" s="89">
        <f t="shared" si="66"/>
        <v>626373.32257590466</v>
      </c>
      <c r="U118" s="89">
        <v>1587316.6</v>
      </c>
      <c r="V118" s="89">
        <f t="shared" si="63"/>
        <v>62637.332257590468</v>
      </c>
      <c r="W118" s="347">
        <v>175932.56</v>
      </c>
      <c r="X118" s="256">
        <v>0.13648221985178036</v>
      </c>
      <c r="Y118" s="256">
        <v>0.2185150261907918</v>
      </c>
      <c r="Z118" s="648">
        <v>0.13648221985178036</v>
      </c>
      <c r="AA118" s="89">
        <f t="shared" si="67"/>
        <v>48529500</v>
      </c>
      <c r="AB118" s="89">
        <f t="shared" si="68"/>
        <v>16310119.01</v>
      </c>
      <c r="AC118" s="257">
        <f t="shared" si="69"/>
        <v>0.13648221985178036</v>
      </c>
      <c r="AD118" s="90">
        <f t="shared" si="70"/>
        <v>6623413.8882969748</v>
      </c>
      <c r="AE118" s="89">
        <f t="shared" si="71"/>
        <v>3468992.35</v>
      </c>
      <c r="AF118" s="89">
        <f t="shared" si="72"/>
        <v>1714301.9100000001</v>
      </c>
      <c r="AG118" s="270">
        <f t="shared" si="59"/>
        <v>16.80433448727063</v>
      </c>
      <c r="AH118" s="271">
        <f t="shared" si="60"/>
        <v>31.424812718976447</v>
      </c>
      <c r="AI118" s="240">
        <f t="shared" si="61"/>
        <v>48.229147206247077</v>
      </c>
      <c r="AJ118" s="316">
        <v>32.838020328072346</v>
      </c>
      <c r="AK118" s="672">
        <f t="shared" si="64"/>
        <v>15.391126878174731</v>
      </c>
      <c r="AL118">
        <f t="shared" si="73"/>
        <v>106</v>
      </c>
    </row>
    <row r="119" spans="1:38" x14ac:dyDescent="0.2">
      <c r="A119" s="6">
        <v>108</v>
      </c>
      <c r="B119" s="199">
        <v>60322</v>
      </c>
      <c r="C119" s="680" t="s">
        <v>405</v>
      </c>
      <c r="D119" s="173" t="s">
        <v>136</v>
      </c>
      <c r="E119" s="173" t="s">
        <v>136</v>
      </c>
      <c r="F119" s="174" t="s">
        <v>113</v>
      </c>
      <c r="G119" s="179" t="s">
        <v>6</v>
      </c>
      <c r="H119" s="179" t="s">
        <v>290</v>
      </c>
      <c r="I119" s="182" t="s">
        <v>39</v>
      </c>
      <c r="J119" s="181" t="s">
        <v>136</v>
      </c>
      <c r="K119" s="200" t="b">
        <v>0</v>
      </c>
      <c r="L119" s="650">
        <v>1453500</v>
      </c>
      <c r="M119" s="89">
        <v>646383.6</v>
      </c>
      <c r="N119" s="89">
        <f t="shared" si="65"/>
        <v>456489.62929955323</v>
      </c>
      <c r="O119" s="89">
        <v>200905.38</v>
      </c>
      <c r="P119" s="89">
        <f t="shared" si="62"/>
        <v>45648.962929955327</v>
      </c>
      <c r="Q119" s="651">
        <v>148999.67999999999</v>
      </c>
      <c r="R119" s="650">
        <v>317250</v>
      </c>
      <c r="S119" s="89">
        <v>108886.19</v>
      </c>
      <c r="T119" s="89">
        <f t="shared" si="66"/>
        <v>6598.1900369202267</v>
      </c>
      <c r="U119" s="89">
        <v>8395.74</v>
      </c>
      <c r="V119" s="89">
        <f t="shared" si="63"/>
        <v>659.81900369202276</v>
      </c>
      <c r="W119" s="347">
        <v>2125.48</v>
      </c>
      <c r="X119" s="256">
        <v>0.31406235245927294</v>
      </c>
      <c r="Y119" s="256">
        <v>2.0798077342538145E-2</v>
      </c>
      <c r="Z119" s="648">
        <v>0.25188134348452557</v>
      </c>
      <c r="AA119" s="89">
        <f t="shared" si="67"/>
        <v>1770750</v>
      </c>
      <c r="AB119" s="89">
        <f t="shared" si="68"/>
        <v>755269.79</v>
      </c>
      <c r="AC119" s="257">
        <f t="shared" si="69"/>
        <v>0.25188134348452557</v>
      </c>
      <c r="AD119" s="90">
        <f t="shared" si="70"/>
        <v>446018.88897522364</v>
      </c>
      <c r="AE119" s="89">
        <f t="shared" si="71"/>
        <v>209301.12</v>
      </c>
      <c r="AF119" s="89">
        <f t="shared" si="72"/>
        <v>151125.16</v>
      </c>
      <c r="AG119" s="270">
        <f t="shared" si="59"/>
        <v>21.32626824791755</v>
      </c>
      <c r="AH119" s="271">
        <f t="shared" si="60"/>
        <v>28.155908887297375</v>
      </c>
      <c r="AI119" s="240">
        <f t="shared" si="61"/>
        <v>49.482177135214926</v>
      </c>
      <c r="AJ119" s="316">
        <v>59.868263985878961</v>
      </c>
      <c r="AK119" s="672">
        <f t="shared" si="64"/>
        <v>-10.386086850664036</v>
      </c>
      <c r="AL119" t="str">
        <f t="shared" si="73"/>
        <v/>
      </c>
    </row>
    <row r="120" spans="1:38" x14ac:dyDescent="0.2">
      <c r="A120" s="6">
        <v>109</v>
      </c>
      <c r="B120" s="199">
        <v>60317</v>
      </c>
      <c r="C120" s="680" t="s">
        <v>406</v>
      </c>
      <c r="D120" s="173" t="s">
        <v>136</v>
      </c>
      <c r="E120" s="173" t="s">
        <v>136</v>
      </c>
      <c r="F120" s="174" t="s">
        <v>113</v>
      </c>
      <c r="G120" s="179" t="s">
        <v>6</v>
      </c>
      <c r="H120" s="179" t="s">
        <v>290</v>
      </c>
      <c r="I120" s="180" t="s">
        <v>40</v>
      </c>
      <c r="J120" s="181" t="s">
        <v>136</v>
      </c>
      <c r="K120" s="200" t="b">
        <v>0</v>
      </c>
      <c r="L120" s="650">
        <v>1666500</v>
      </c>
      <c r="M120" s="89">
        <v>0</v>
      </c>
      <c r="N120" s="89">
        <f t="shared" si="65"/>
        <v>492284.38476197835</v>
      </c>
      <c r="O120" s="89">
        <v>176105.52</v>
      </c>
      <c r="P120" s="89">
        <f t="shared" si="62"/>
        <v>49228.438476197836</v>
      </c>
      <c r="Q120" s="651">
        <v>157455.72</v>
      </c>
      <c r="R120" s="650">
        <v>481500</v>
      </c>
      <c r="S120" s="89">
        <v>1804.59</v>
      </c>
      <c r="T120" s="89">
        <f t="shared" si="66"/>
        <v>26652.07109379043</v>
      </c>
      <c r="U120" s="89">
        <v>1804.59</v>
      </c>
      <c r="V120" s="89">
        <f t="shared" si="63"/>
        <v>2665.2071093790432</v>
      </c>
      <c r="W120" s="347">
        <v>468.33</v>
      </c>
      <c r="X120" s="256">
        <v>0.29540017087427445</v>
      </c>
      <c r="Y120" s="256">
        <v>5.535217257277348E-2</v>
      </c>
      <c r="Z120" s="648">
        <v>0.24458492601616141</v>
      </c>
      <c r="AA120" s="89">
        <f t="shared" si="67"/>
        <v>2148000</v>
      </c>
      <c r="AB120" s="89">
        <f t="shared" si="68"/>
        <v>1804.59</v>
      </c>
      <c r="AC120" s="257">
        <f t="shared" si="69"/>
        <v>0.24458492601616141</v>
      </c>
      <c r="AD120" s="90">
        <f t="shared" si="70"/>
        <v>525368.42108271469</v>
      </c>
      <c r="AE120" s="89">
        <f t="shared" si="71"/>
        <v>177910.11</v>
      </c>
      <c r="AF120" s="89">
        <f t="shared" si="72"/>
        <v>157924.04999999999</v>
      </c>
      <c r="AG120" s="270">
        <f t="shared" si="59"/>
        <v>4.2006284916201113E-2</v>
      </c>
      <c r="AH120" s="271">
        <f t="shared" si="60"/>
        <v>20.318325524783255</v>
      </c>
      <c r="AI120" s="240">
        <f t="shared" si="61"/>
        <v>20.360331809699456</v>
      </c>
      <c r="AJ120" s="316">
        <v>54.519659790257329</v>
      </c>
      <c r="AK120" s="672">
        <f t="shared" si="64"/>
        <v>-34.159327980557876</v>
      </c>
      <c r="AL120" t="str">
        <f t="shared" si="73"/>
        <v/>
      </c>
    </row>
    <row r="121" spans="1:38" x14ac:dyDescent="0.2">
      <c r="A121" s="6">
        <v>110</v>
      </c>
      <c r="B121" s="199">
        <v>60303</v>
      </c>
      <c r="C121" s="680" t="s">
        <v>407</v>
      </c>
      <c r="D121" s="173" t="s">
        <v>136</v>
      </c>
      <c r="E121" s="173" t="s">
        <v>136</v>
      </c>
      <c r="F121" s="174" t="s">
        <v>113</v>
      </c>
      <c r="G121" s="179" t="s">
        <v>6</v>
      </c>
      <c r="H121" s="179" t="s">
        <v>290</v>
      </c>
      <c r="I121" s="182" t="s">
        <v>9</v>
      </c>
      <c r="J121" s="181" t="s">
        <v>136</v>
      </c>
      <c r="K121" s="200" t="b">
        <v>0</v>
      </c>
      <c r="L121" s="650">
        <v>176079750</v>
      </c>
      <c r="M121" s="89">
        <v>0</v>
      </c>
      <c r="N121" s="89">
        <f t="shared" si="65"/>
        <v>43157146.725000001</v>
      </c>
      <c r="O121" s="89">
        <v>35581682.340000004</v>
      </c>
      <c r="P121" s="89">
        <f t="shared" si="62"/>
        <v>4315714.6725000003</v>
      </c>
      <c r="Q121" s="651">
        <v>7773386.3099999996</v>
      </c>
      <c r="R121" s="650">
        <v>6100500</v>
      </c>
      <c r="S121" s="89">
        <v>1918758.69</v>
      </c>
      <c r="T121" s="89">
        <f t="shared" si="66"/>
        <v>1454359.2</v>
      </c>
      <c r="U121" s="89">
        <v>1792436.02</v>
      </c>
      <c r="V121" s="89">
        <f t="shared" si="63"/>
        <v>145435.92000000001</v>
      </c>
      <c r="W121" s="347">
        <v>331832.53000000003</v>
      </c>
      <c r="X121" s="256">
        <v>0.24510000000000001</v>
      </c>
      <c r="Y121" s="256">
        <v>0.2384</v>
      </c>
      <c r="Z121" s="648">
        <v>0.24460000000000001</v>
      </c>
      <c r="AA121" s="89">
        <f t="shared" si="67"/>
        <v>182180250</v>
      </c>
      <c r="AB121" s="89">
        <f t="shared" si="68"/>
        <v>1918758.69</v>
      </c>
      <c r="AC121" s="257">
        <f t="shared" si="69"/>
        <v>0.24460000000000001</v>
      </c>
      <c r="AD121" s="90">
        <f t="shared" si="70"/>
        <v>44561289.149999999</v>
      </c>
      <c r="AE121" s="89">
        <f t="shared" si="71"/>
        <v>37374118.360000007</v>
      </c>
      <c r="AF121" s="89">
        <f t="shared" si="72"/>
        <v>8105218.8399999999</v>
      </c>
      <c r="AG121" s="270">
        <f t="shared" si="59"/>
        <v>0.5266099618372464</v>
      </c>
      <c r="AH121" s="271">
        <f t="shared" si="60"/>
        <v>50.322760951811475</v>
      </c>
      <c r="AI121" s="240">
        <f t="shared" si="61"/>
        <v>50.84937091364872</v>
      </c>
      <c r="AJ121" s="316">
        <v>33.056339685378347</v>
      </c>
      <c r="AK121" s="672">
        <f t="shared" si="64"/>
        <v>17.793031228270372</v>
      </c>
      <c r="AL121">
        <f t="shared" si="73"/>
        <v>109</v>
      </c>
    </row>
    <row r="122" spans="1:38" x14ac:dyDescent="0.2">
      <c r="A122" s="6">
        <v>111</v>
      </c>
      <c r="B122" s="199">
        <v>60319</v>
      </c>
      <c r="C122" s="680" t="s">
        <v>408</v>
      </c>
      <c r="D122" s="173" t="s">
        <v>136</v>
      </c>
      <c r="E122" s="173" t="s">
        <v>136</v>
      </c>
      <c r="F122" s="174" t="s">
        <v>113</v>
      </c>
      <c r="G122" s="179" t="s">
        <v>6</v>
      </c>
      <c r="H122" s="179" t="s">
        <v>290</v>
      </c>
      <c r="I122" s="182" t="s">
        <v>41</v>
      </c>
      <c r="J122" s="181" t="s">
        <v>136</v>
      </c>
      <c r="K122" s="200" t="b">
        <v>0</v>
      </c>
      <c r="L122" s="650">
        <v>2248500</v>
      </c>
      <c r="M122" s="89">
        <v>0</v>
      </c>
      <c r="N122" s="89">
        <f t="shared" si="65"/>
        <v>611691.6273610309</v>
      </c>
      <c r="O122" s="89">
        <v>343193.13</v>
      </c>
      <c r="P122" s="89">
        <f t="shared" si="62"/>
        <v>61169.162736103091</v>
      </c>
      <c r="Q122" s="651">
        <v>274705.91999999998</v>
      </c>
      <c r="R122" s="650">
        <v>558000</v>
      </c>
      <c r="S122" s="89">
        <v>14069.52</v>
      </c>
      <c r="T122" s="89">
        <f t="shared" si="66"/>
        <v>66187.074313230551</v>
      </c>
      <c r="U122" s="89">
        <v>12502.57</v>
      </c>
      <c r="V122" s="89">
        <f t="shared" si="63"/>
        <v>6618.7074313230551</v>
      </c>
      <c r="W122" s="347">
        <v>2588.19</v>
      </c>
      <c r="X122" s="256">
        <v>0.27204430836603555</v>
      </c>
      <c r="Y122" s="256">
        <v>0.11861482851833431</v>
      </c>
      <c r="Z122" s="648">
        <v>0.24720811950192934</v>
      </c>
      <c r="AA122" s="89">
        <f t="shared" si="67"/>
        <v>2806500</v>
      </c>
      <c r="AB122" s="89">
        <f t="shared" si="68"/>
        <v>14069.52</v>
      </c>
      <c r="AC122" s="257">
        <f t="shared" si="69"/>
        <v>0.24720811950192934</v>
      </c>
      <c r="AD122" s="90">
        <f t="shared" si="70"/>
        <v>693789.58738216467</v>
      </c>
      <c r="AE122" s="89">
        <f t="shared" si="71"/>
        <v>355695.7</v>
      </c>
      <c r="AF122" s="89">
        <f t="shared" si="72"/>
        <v>277294.11</v>
      </c>
      <c r="AG122" s="270">
        <f t="shared" si="59"/>
        <v>0.25065954035275256</v>
      </c>
      <c r="AH122" s="271">
        <f t="shared" si="60"/>
        <v>30.761116033072128</v>
      </c>
      <c r="AI122" s="240">
        <f t="shared" si="61"/>
        <v>31.011775573424881</v>
      </c>
      <c r="AJ122" s="316">
        <v>13.9635548653428</v>
      </c>
      <c r="AK122" s="672">
        <f t="shared" si="64"/>
        <v>17.048220708082081</v>
      </c>
      <c r="AL122">
        <f t="shared" si="73"/>
        <v>110</v>
      </c>
    </row>
    <row r="123" spans="1:38" x14ac:dyDescent="0.2">
      <c r="A123" s="6">
        <v>112</v>
      </c>
      <c r="B123" s="199">
        <v>60358</v>
      </c>
      <c r="C123" s="680" t="s">
        <v>409</v>
      </c>
      <c r="D123" s="173" t="s">
        <v>136</v>
      </c>
      <c r="E123" s="173" t="s">
        <v>136</v>
      </c>
      <c r="F123" s="174" t="s">
        <v>113</v>
      </c>
      <c r="G123" s="179" t="s">
        <v>6</v>
      </c>
      <c r="H123" s="179" t="s">
        <v>290</v>
      </c>
      <c r="I123" s="182" t="s">
        <v>42</v>
      </c>
      <c r="J123" s="181" t="s">
        <v>136</v>
      </c>
      <c r="K123" s="200" t="b">
        <v>0</v>
      </c>
      <c r="L123" s="650">
        <v>1060500</v>
      </c>
      <c r="M123" s="89">
        <v>770235.01</v>
      </c>
      <c r="N123" s="89">
        <f t="shared" si="65"/>
        <v>172331.25</v>
      </c>
      <c r="O123" s="89">
        <v>76059</v>
      </c>
      <c r="P123" s="89">
        <f t="shared" si="62"/>
        <v>17233.125</v>
      </c>
      <c r="Q123" s="651">
        <v>80129.97</v>
      </c>
      <c r="R123" s="650">
        <v>290250</v>
      </c>
      <c r="S123" s="89">
        <v>270992.69</v>
      </c>
      <c r="T123" s="89">
        <f t="shared" si="66"/>
        <v>6008.1750000000002</v>
      </c>
      <c r="U123" s="89">
        <v>4491.6499999999996</v>
      </c>
      <c r="V123" s="89">
        <f t="shared" si="63"/>
        <v>600.8175</v>
      </c>
      <c r="W123" s="347">
        <v>1159.81</v>
      </c>
      <c r="X123" s="256">
        <v>0.16250000000000001</v>
      </c>
      <c r="Y123" s="256">
        <v>2.07E-2</v>
      </c>
      <c r="Z123" s="648">
        <v>0.13139999999999999</v>
      </c>
      <c r="AA123" s="89">
        <f t="shared" si="67"/>
        <v>1350750</v>
      </c>
      <c r="AB123" s="89">
        <f t="shared" si="68"/>
        <v>1041227.7</v>
      </c>
      <c r="AC123" s="257">
        <f t="shared" si="69"/>
        <v>0.13139999999999999</v>
      </c>
      <c r="AD123" s="90">
        <f t="shared" si="70"/>
        <v>177488.55</v>
      </c>
      <c r="AE123" s="89">
        <f t="shared" si="71"/>
        <v>80550.649999999994</v>
      </c>
      <c r="AF123" s="89">
        <f t="shared" si="72"/>
        <v>81289.78</v>
      </c>
      <c r="AG123" s="270">
        <f t="shared" si="59"/>
        <v>38.542576346474178</v>
      </c>
      <c r="AH123" s="271">
        <f t="shared" si="60"/>
        <v>27.230145268525774</v>
      </c>
      <c r="AI123" s="240">
        <f t="shared" si="61"/>
        <v>65.772721614999952</v>
      </c>
      <c r="AJ123" s="316">
        <v>35.212378446563491</v>
      </c>
      <c r="AK123" s="672">
        <f t="shared" si="64"/>
        <v>30.560343168436461</v>
      </c>
      <c r="AL123">
        <f t="shared" si="73"/>
        <v>111</v>
      </c>
    </row>
    <row r="124" spans="1:38" x14ac:dyDescent="0.2">
      <c r="A124" s="6">
        <v>113</v>
      </c>
      <c r="B124" s="199">
        <v>60311</v>
      </c>
      <c r="C124" s="680" t="s">
        <v>410</v>
      </c>
      <c r="D124" s="173" t="s">
        <v>136</v>
      </c>
      <c r="E124" s="173" t="s">
        <v>136</v>
      </c>
      <c r="F124" s="174" t="s">
        <v>113</v>
      </c>
      <c r="G124" s="179" t="s">
        <v>6</v>
      </c>
      <c r="H124" s="179" t="s">
        <v>290</v>
      </c>
      <c r="I124" s="180" t="s">
        <v>43</v>
      </c>
      <c r="J124" s="181" t="s">
        <v>136</v>
      </c>
      <c r="K124" s="200" t="b">
        <v>0</v>
      </c>
      <c r="L124" s="650">
        <v>3648750</v>
      </c>
      <c r="M124" s="89">
        <v>3024679.34</v>
      </c>
      <c r="N124" s="89">
        <f t="shared" si="65"/>
        <v>485721.41559463908</v>
      </c>
      <c r="O124" s="89">
        <v>104775.12</v>
      </c>
      <c r="P124" s="89">
        <f t="shared" si="62"/>
        <v>48572.141559463911</v>
      </c>
      <c r="Q124" s="651">
        <v>110757.24</v>
      </c>
      <c r="R124" s="650">
        <v>841500</v>
      </c>
      <c r="S124" s="89">
        <v>387566.75</v>
      </c>
      <c r="T124" s="89">
        <f t="shared" si="66"/>
        <v>47009.024473233832</v>
      </c>
      <c r="U124" s="89">
        <v>28226.94</v>
      </c>
      <c r="V124" s="89">
        <f t="shared" si="63"/>
        <v>4700.9024473233831</v>
      </c>
      <c r="W124" s="347">
        <v>5959.98</v>
      </c>
      <c r="X124" s="256">
        <v>0.13311994946067532</v>
      </c>
      <c r="Y124" s="256">
        <v>5.5863368357972468E-2</v>
      </c>
      <c r="Z124" s="648">
        <v>0.12054742985739865</v>
      </c>
      <c r="AA124" s="89">
        <f t="shared" si="67"/>
        <v>4490250</v>
      </c>
      <c r="AB124" s="89">
        <f t="shared" si="68"/>
        <v>3412246.09</v>
      </c>
      <c r="AC124" s="257">
        <f t="shared" si="69"/>
        <v>0.12054742985739865</v>
      </c>
      <c r="AD124" s="90">
        <f t="shared" si="70"/>
        <v>541288.0969171843</v>
      </c>
      <c r="AE124" s="89">
        <f t="shared" si="71"/>
        <v>133002.06</v>
      </c>
      <c r="AF124" s="89">
        <f t="shared" si="72"/>
        <v>116717.22</v>
      </c>
      <c r="AG124" s="270">
        <f t="shared" si="59"/>
        <v>37.996170480485496</v>
      </c>
      <c r="AH124" s="271">
        <f t="shared" si="60"/>
        <v>14.742839618032352</v>
      </c>
      <c r="AI124" s="240">
        <f t="shared" si="61"/>
        <v>52.739010098517852</v>
      </c>
      <c r="AJ124" s="316">
        <v>73.635329788968562</v>
      </c>
      <c r="AK124" s="672">
        <f t="shared" si="64"/>
        <v>-20.89631969045071</v>
      </c>
      <c r="AL124" t="str">
        <f t="shared" si="73"/>
        <v/>
      </c>
    </row>
    <row r="125" spans="1:38" x14ac:dyDescent="0.2">
      <c r="A125" s="6">
        <v>114</v>
      </c>
      <c r="B125" s="199">
        <v>60926</v>
      </c>
      <c r="C125" s="680" t="s">
        <v>411</v>
      </c>
      <c r="D125" s="173" t="s">
        <v>136</v>
      </c>
      <c r="E125" s="173" t="s">
        <v>136</v>
      </c>
      <c r="F125" s="174" t="s">
        <v>113</v>
      </c>
      <c r="G125" s="179" t="s">
        <v>6</v>
      </c>
      <c r="H125" s="179" t="s">
        <v>290</v>
      </c>
      <c r="I125" s="180" t="s">
        <v>10</v>
      </c>
      <c r="J125" s="181" t="s">
        <v>136</v>
      </c>
      <c r="K125" s="200" t="b">
        <v>0</v>
      </c>
      <c r="L125" s="650">
        <v>70674750</v>
      </c>
      <c r="M125" s="89">
        <v>22396336.390000001</v>
      </c>
      <c r="N125" s="89">
        <f t="shared" si="65"/>
        <v>13124301.075000001</v>
      </c>
      <c r="O125" s="89">
        <v>32480158.059999999</v>
      </c>
      <c r="P125" s="89">
        <f t="shared" si="62"/>
        <v>1312430.1075000002</v>
      </c>
      <c r="Q125" s="651">
        <v>6129044.8499999996</v>
      </c>
      <c r="R125" s="650">
        <v>5910750</v>
      </c>
      <c r="S125" s="89">
        <v>2329012.63</v>
      </c>
      <c r="T125" s="89">
        <f t="shared" si="66"/>
        <v>1206975.1499999999</v>
      </c>
      <c r="U125" s="89">
        <v>593497.99</v>
      </c>
      <c r="V125" s="89">
        <f t="shared" si="63"/>
        <v>120697.515</v>
      </c>
      <c r="W125" s="347">
        <v>75948.37</v>
      </c>
      <c r="X125" s="256">
        <v>0.1857</v>
      </c>
      <c r="Y125" s="256">
        <v>0.20419999999999999</v>
      </c>
      <c r="Z125" s="648">
        <v>0.1867</v>
      </c>
      <c r="AA125" s="89">
        <f t="shared" si="67"/>
        <v>76585500</v>
      </c>
      <c r="AB125" s="89">
        <f t="shared" si="68"/>
        <v>24725349.02</v>
      </c>
      <c r="AC125" s="257">
        <f t="shared" si="69"/>
        <v>0.1867</v>
      </c>
      <c r="AD125" s="90">
        <f t="shared" si="70"/>
        <v>14298512.85</v>
      </c>
      <c r="AE125" s="89">
        <f t="shared" si="71"/>
        <v>33073656.049999997</v>
      </c>
      <c r="AF125" s="89">
        <f t="shared" si="72"/>
        <v>6204993.2199999997</v>
      </c>
      <c r="AG125" s="270">
        <f t="shared" si="59"/>
        <v>16.142317423010883</v>
      </c>
      <c r="AH125" s="271">
        <f t="shared" si="60"/>
        <v>60</v>
      </c>
      <c r="AI125" s="240">
        <f t="shared" si="61"/>
        <v>76.14231742301088</v>
      </c>
      <c r="AJ125" s="316">
        <v>58.063172380091274</v>
      </c>
      <c r="AK125" s="672">
        <f t="shared" si="64"/>
        <v>18.079145042919606</v>
      </c>
      <c r="AL125" t="str">
        <f t="shared" si="73"/>
        <v/>
      </c>
    </row>
    <row r="126" spans="1:38" x14ac:dyDescent="0.2">
      <c r="A126" s="6">
        <v>115</v>
      </c>
      <c r="B126" s="199">
        <v>60320</v>
      </c>
      <c r="C126" s="680" t="s">
        <v>412</v>
      </c>
      <c r="D126" s="173" t="s">
        <v>136</v>
      </c>
      <c r="E126" s="173" t="s">
        <v>136</v>
      </c>
      <c r="F126" s="174" t="s">
        <v>113</v>
      </c>
      <c r="G126" s="179" t="s">
        <v>6</v>
      </c>
      <c r="H126" s="179" t="s">
        <v>290</v>
      </c>
      <c r="I126" s="180" t="s">
        <v>44</v>
      </c>
      <c r="J126" s="181" t="s">
        <v>136</v>
      </c>
      <c r="K126" s="200" t="b">
        <v>0</v>
      </c>
      <c r="L126" s="650">
        <v>2317500</v>
      </c>
      <c r="M126" s="89">
        <v>1026001.9</v>
      </c>
      <c r="N126" s="89">
        <f t="shared" si="65"/>
        <v>766351.80571486615</v>
      </c>
      <c r="O126" s="89">
        <v>163587.96</v>
      </c>
      <c r="P126" s="89">
        <f t="shared" si="62"/>
        <v>76635.18057148662</v>
      </c>
      <c r="Q126" s="89">
        <v>134558.46</v>
      </c>
      <c r="R126" s="650">
        <v>242250</v>
      </c>
      <c r="S126" s="89">
        <v>48374.34</v>
      </c>
      <c r="T126" s="89">
        <f t="shared" si="66"/>
        <v>22467.269469646166</v>
      </c>
      <c r="U126" s="89">
        <v>15887.34</v>
      </c>
      <c r="V126" s="89">
        <f t="shared" si="63"/>
        <v>2246.7269469646167</v>
      </c>
      <c r="W126" s="347">
        <v>4303.66</v>
      </c>
      <c r="X126" s="256">
        <v>0.33068039081547623</v>
      </c>
      <c r="Y126" s="256">
        <v>9.2744146417528026E-2</v>
      </c>
      <c r="Z126" s="648">
        <v>0.27362467245610628</v>
      </c>
      <c r="AA126" s="89">
        <f t="shared" si="67"/>
        <v>2559750</v>
      </c>
      <c r="AB126" s="89">
        <f t="shared" si="68"/>
        <v>1074376.24</v>
      </c>
      <c r="AC126" s="257">
        <f t="shared" si="69"/>
        <v>0.27362467245610628</v>
      </c>
      <c r="AD126" s="90">
        <f t="shared" si="70"/>
        <v>700410.75531951804</v>
      </c>
      <c r="AE126" s="89">
        <f t="shared" si="71"/>
        <v>179475.3</v>
      </c>
      <c r="AF126" s="89">
        <f t="shared" si="72"/>
        <v>138862.12</v>
      </c>
      <c r="AG126" s="270">
        <f t="shared" si="59"/>
        <v>20.985960347690202</v>
      </c>
      <c r="AH126" s="271">
        <f t="shared" si="60"/>
        <v>15.374575444786746</v>
      </c>
      <c r="AI126" s="240">
        <f t="shared" si="61"/>
        <v>36.360535792476952</v>
      </c>
      <c r="AJ126" s="316">
        <v>93.677259600077093</v>
      </c>
      <c r="AK126" s="672">
        <f t="shared" si="64"/>
        <v>-57.316723807600141</v>
      </c>
      <c r="AL126" t="str">
        <f t="shared" si="73"/>
        <v/>
      </c>
    </row>
    <row r="127" spans="1:38" x14ac:dyDescent="0.2">
      <c r="A127" s="6">
        <v>116</v>
      </c>
      <c r="B127" s="199">
        <v>60318</v>
      </c>
      <c r="C127" s="680" t="s">
        <v>413</v>
      </c>
      <c r="D127" s="173" t="s">
        <v>136</v>
      </c>
      <c r="E127" s="173" t="s">
        <v>136</v>
      </c>
      <c r="F127" s="174" t="s">
        <v>113</v>
      </c>
      <c r="G127" s="179" t="s">
        <v>6</v>
      </c>
      <c r="H127" s="179" t="s">
        <v>290</v>
      </c>
      <c r="I127" s="182" t="s">
        <v>45</v>
      </c>
      <c r="J127" s="181" t="s">
        <v>136</v>
      </c>
      <c r="K127" s="200" t="b">
        <v>0</v>
      </c>
      <c r="L127" s="650">
        <v>1706250</v>
      </c>
      <c r="M127" s="89">
        <v>0</v>
      </c>
      <c r="N127" s="89">
        <f t="shared" si="65"/>
        <v>362578.125</v>
      </c>
      <c r="O127" s="89">
        <v>597638.79</v>
      </c>
      <c r="P127" s="89">
        <f t="shared" si="62"/>
        <v>36257.8125</v>
      </c>
      <c r="Q127" s="651">
        <v>82187.820000000007</v>
      </c>
      <c r="R127" s="650">
        <v>163500</v>
      </c>
      <c r="S127" s="89">
        <v>4980.2299999999996</v>
      </c>
      <c r="T127" s="89">
        <f t="shared" si="66"/>
        <v>13374.3</v>
      </c>
      <c r="U127" s="89">
        <v>4425.43</v>
      </c>
      <c r="V127" s="89">
        <f t="shared" si="63"/>
        <v>1337.43</v>
      </c>
      <c r="W127" s="347">
        <v>838.79</v>
      </c>
      <c r="X127" s="256">
        <v>0.21249999999999999</v>
      </c>
      <c r="Y127" s="256">
        <v>8.1799999999999998E-2</v>
      </c>
      <c r="Z127" s="648">
        <v>0.19500000000000001</v>
      </c>
      <c r="AA127" s="89">
        <f t="shared" si="67"/>
        <v>1869750</v>
      </c>
      <c r="AB127" s="89">
        <f t="shared" si="68"/>
        <v>4980.2299999999996</v>
      </c>
      <c r="AC127" s="257">
        <f t="shared" si="69"/>
        <v>0.19500000000000001</v>
      </c>
      <c r="AD127" s="90">
        <f t="shared" si="70"/>
        <v>364601.25</v>
      </c>
      <c r="AE127" s="89">
        <f t="shared" si="71"/>
        <v>602064.22000000009</v>
      </c>
      <c r="AF127" s="89">
        <f t="shared" si="72"/>
        <v>83026.61</v>
      </c>
      <c r="AG127" s="270">
        <f t="shared" si="59"/>
        <v>0.13317903463029815</v>
      </c>
      <c r="AH127" s="271">
        <f t="shared" si="60"/>
        <v>60</v>
      </c>
      <c r="AI127" s="240">
        <f t="shared" si="61"/>
        <v>60.133179034630295</v>
      </c>
      <c r="AJ127" s="316">
        <v>24.655580412511451</v>
      </c>
      <c r="AK127" s="672">
        <f t="shared" si="64"/>
        <v>35.477598622118848</v>
      </c>
      <c r="AL127" t="str">
        <f t="shared" si="73"/>
        <v/>
      </c>
    </row>
    <row r="128" spans="1:38" x14ac:dyDescent="0.2">
      <c r="A128" s="6">
        <v>117</v>
      </c>
      <c r="B128" s="199">
        <v>60927</v>
      </c>
      <c r="C128" s="680" t="s">
        <v>414</v>
      </c>
      <c r="D128" s="173" t="s">
        <v>136</v>
      </c>
      <c r="E128" s="173" t="s">
        <v>136</v>
      </c>
      <c r="F128" s="174" t="s">
        <v>113</v>
      </c>
      <c r="G128" s="179" t="s">
        <v>6</v>
      </c>
      <c r="H128" s="179" t="s">
        <v>290</v>
      </c>
      <c r="I128" s="182" t="s">
        <v>11</v>
      </c>
      <c r="J128" s="181" t="s">
        <v>136</v>
      </c>
      <c r="K128" s="200" t="b">
        <v>0</v>
      </c>
      <c r="L128" s="650">
        <v>6835500</v>
      </c>
      <c r="M128" s="89">
        <v>0</v>
      </c>
      <c r="N128" s="89">
        <f t="shared" si="65"/>
        <v>1771158.7885561313</v>
      </c>
      <c r="O128" s="89">
        <v>480288.51</v>
      </c>
      <c r="P128" s="89">
        <f t="shared" si="62"/>
        <v>177115.87885561315</v>
      </c>
      <c r="Q128" s="651">
        <v>450618.21</v>
      </c>
      <c r="R128" s="650">
        <v>1512000</v>
      </c>
      <c r="S128" s="89">
        <v>1199.56</v>
      </c>
      <c r="T128" s="89">
        <f t="shared" si="66"/>
        <v>98884.420806849128</v>
      </c>
      <c r="U128" s="89">
        <v>1199.56</v>
      </c>
      <c r="V128" s="89">
        <f t="shared" si="63"/>
        <v>9888.4420806849139</v>
      </c>
      <c r="W128" s="347">
        <v>30.01</v>
      </c>
      <c r="X128" s="256">
        <v>0.25911181165329988</v>
      </c>
      <c r="Y128" s="256">
        <v>6.5399749210879057E-2</v>
      </c>
      <c r="Z128" s="648">
        <v>0.22950220472405164</v>
      </c>
      <c r="AA128" s="89">
        <f t="shared" si="67"/>
        <v>8347500</v>
      </c>
      <c r="AB128" s="89">
        <f t="shared" si="68"/>
        <v>1199.56</v>
      </c>
      <c r="AC128" s="257">
        <f t="shared" si="69"/>
        <v>0.22950220472405164</v>
      </c>
      <c r="AD128" s="90">
        <f t="shared" si="70"/>
        <v>1915769.653934021</v>
      </c>
      <c r="AE128" s="89">
        <f t="shared" si="71"/>
        <v>481488.07</v>
      </c>
      <c r="AF128" s="89">
        <f t="shared" si="72"/>
        <v>450648.22000000003</v>
      </c>
      <c r="AG128" s="270">
        <f t="shared" si="59"/>
        <v>7.1851452530697808E-3</v>
      </c>
      <c r="AH128" s="271">
        <f t="shared" si="60"/>
        <v>15.079727430004976</v>
      </c>
      <c r="AI128" s="240">
        <f t="shared" si="61"/>
        <v>15.086912575258046</v>
      </c>
      <c r="AJ128" s="316">
        <v>60.379915190869738</v>
      </c>
      <c r="AK128" s="672">
        <f t="shared" si="64"/>
        <v>-45.293002615611691</v>
      </c>
      <c r="AL128">
        <f t="shared" si="73"/>
        <v>116</v>
      </c>
    </row>
    <row r="129" spans="1:39" x14ac:dyDescent="0.2">
      <c r="A129" s="6">
        <v>118</v>
      </c>
      <c r="B129" s="199">
        <v>60305</v>
      </c>
      <c r="C129" s="680" t="s">
        <v>415</v>
      </c>
      <c r="D129" s="173" t="s">
        <v>136</v>
      </c>
      <c r="E129" s="173" t="s">
        <v>136</v>
      </c>
      <c r="F129" s="174" t="s">
        <v>113</v>
      </c>
      <c r="G129" s="179" t="s">
        <v>6</v>
      </c>
      <c r="H129" s="179" t="s">
        <v>290</v>
      </c>
      <c r="I129" s="182" t="s">
        <v>12</v>
      </c>
      <c r="J129" s="181" t="s">
        <v>136</v>
      </c>
      <c r="K129" s="200" t="b">
        <v>0</v>
      </c>
      <c r="L129" s="650">
        <v>51916500</v>
      </c>
      <c r="M129" s="89">
        <v>36217987.329999998</v>
      </c>
      <c r="N129" s="89">
        <f t="shared" si="65"/>
        <v>11040150.959397508</v>
      </c>
      <c r="O129" s="89">
        <v>5410199.6100000003</v>
      </c>
      <c r="P129" s="89">
        <f t="shared" si="62"/>
        <v>1104015.0959397508</v>
      </c>
      <c r="Q129" s="651">
        <v>4351433.76</v>
      </c>
      <c r="R129" s="650">
        <v>5562750</v>
      </c>
      <c r="S129" s="89">
        <v>4277818.5</v>
      </c>
      <c r="T129" s="89">
        <f t="shared" si="66"/>
        <v>1233847.0432152001</v>
      </c>
      <c r="U129" s="89">
        <v>708999.18</v>
      </c>
      <c r="V129" s="89">
        <f t="shared" si="63"/>
        <v>123384.70432152001</v>
      </c>
      <c r="W129" s="347">
        <v>90960.92</v>
      </c>
      <c r="X129" s="256">
        <v>0.21265206551669522</v>
      </c>
      <c r="Y129" s="256">
        <v>0.2218052300058784</v>
      </c>
      <c r="Z129" s="648">
        <v>0.21337085300724309</v>
      </c>
      <c r="AA129" s="89">
        <f t="shared" si="67"/>
        <v>57479250</v>
      </c>
      <c r="AB129" s="89">
        <f t="shared" si="68"/>
        <v>40495805.829999998</v>
      </c>
      <c r="AC129" s="257">
        <f t="shared" si="69"/>
        <v>0.21337085300724309</v>
      </c>
      <c r="AD129" s="90">
        <f t="shared" si="70"/>
        <v>12264396.602716578</v>
      </c>
      <c r="AE129" s="89">
        <f t="shared" si="71"/>
        <v>6119198.79</v>
      </c>
      <c r="AF129" s="89">
        <f t="shared" si="72"/>
        <v>4442394.68</v>
      </c>
      <c r="AG129" s="270">
        <f t="shared" si="59"/>
        <v>35.226456355989335</v>
      </c>
      <c r="AH129" s="271">
        <f t="shared" si="60"/>
        <v>29.936403664463644</v>
      </c>
      <c r="AI129" s="240">
        <f t="shared" si="61"/>
        <v>65.162860020452982</v>
      </c>
      <c r="AJ129" s="316">
        <v>20.220009165365848</v>
      </c>
      <c r="AK129" s="672">
        <f t="shared" si="64"/>
        <v>44.94285085508713</v>
      </c>
      <c r="AL129">
        <f t="shared" si="73"/>
        <v>117</v>
      </c>
    </row>
    <row r="130" spans="1:39" x14ac:dyDescent="0.2">
      <c r="A130" s="6">
        <v>119</v>
      </c>
      <c r="B130" s="199">
        <v>60314</v>
      </c>
      <c r="C130" s="680" t="s">
        <v>416</v>
      </c>
      <c r="D130" s="173" t="s">
        <v>136</v>
      </c>
      <c r="E130" s="173" t="s">
        <v>136</v>
      </c>
      <c r="F130" s="174" t="s">
        <v>113</v>
      </c>
      <c r="G130" s="179" t="s">
        <v>6</v>
      </c>
      <c r="H130" s="179" t="s">
        <v>290</v>
      </c>
      <c r="I130" s="180" t="s">
        <v>46</v>
      </c>
      <c r="J130" s="181" t="s">
        <v>136</v>
      </c>
      <c r="K130" s="200" t="b">
        <v>0</v>
      </c>
      <c r="L130" s="650">
        <v>2294250</v>
      </c>
      <c r="M130" s="89">
        <v>100656.75</v>
      </c>
      <c r="N130" s="89">
        <f t="shared" si="65"/>
        <v>634917.53883789713</v>
      </c>
      <c r="O130" s="89">
        <v>58877.37</v>
      </c>
      <c r="P130" s="89">
        <f t="shared" si="62"/>
        <v>63491.753883789715</v>
      </c>
      <c r="Q130" s="651">
        <v>70885.08</v>
      </c>
      <c r="R130" s="650">
        <v>415500</v>
      </c>
      <c r="S130" s="89">
        <v>85076.55</v>
      </c>
      <c r="T130" s="89">
        <f t="shared" si="66"/>
        <v>80961.333980261799</v>
      </c>
      <c r="U130" s="89">
        <v>28094.39</v>
      </c>
      <c r="V130" s="89">
        <f t="shared" si="63"/>
        <v>8096.1333980261807</v>
      </c>
      <c r="W130" s="347">
        <v>7114.29</v>
      </c>
      <c r="X130" s="256">
        <v>0.27674296124567815</v>
      </c>
      <c r="Y130" s="256">
        <v>0.19485278936284428</v>
      </c>
      <c r="Z130" s="648">
        <v>0.25922545144779635</v>
      </c>
      <c r="AA130" s="89">
        <f t="shared" si="67"/>
        <v>2709750</v>
      </c>
      <c r="AB130" s="89">
        <f t="shared" si="68"/>
        <v>185733.3</v>
      </c>
      <c r="AC130" s="257">
        <f t="shared" si="69"/>
        <v>0.25922545144779635</v>
      </c>
      <c r="AD130" s="90">
        <f t="shared" si="70"/>
        <v>702436.16706066614</v>
      </c>
      <c r="AE130" s="89">
        <f t="shared" si="71"/>
        <v>86971.760000000009</v>
      </c>
      <c r="AF130" s="89">
        <f t="shared" si="72"/>
        <v>77999.37</v>
      </c>
      <c r="AG130" s="270">
        <f t="shared" si="59"/>
        <v>3.4271298090229725</v>
      </c>
      <c r="AH130" s="271">
        <f t="shared" si="60"/>
        <v>7.4288680519340629</v>
      </c>
      <c r="AI130" s="240">
        <f t="shared" si="61"/>
        <v>10.855997860957036</v>
      </c>
      <c r="AJ130" s="316">
        <v>65.890813960706566</v>
      </c>
      <c r="AK130" s="672">
        <f t="shared" si="64"/>
        <v>-55.034816099749534</v>
      </c>
      <c r="AL130" t="str">
        <f t="shared" si="73"/>
        <v/>
      </c>
    </row>
    <row r="131" spans="1:39" x14ac:dyDescent="0.2">
      <c r="A131" s="6">
        <v>120</v>
      </c>
      <c r="B131" s="199">
        <v>60310</v>
      </c>
      <c r="C131" s="680" t="s">
        <v>417</v>
      </c>
      <c r="D131" s="173" t="s">
        <v>136</v>
      </c>
      <c r="E131" s="173" t="s">
        <v>136</v>
      </c>
      <c r="F131" s="174" t="s">
        <v>113</v>
      </c>
      <c r="G131" s="179" t="s">
        <v>6</v>
      </c>
      <c r="H131" s="179" t="s">
        <v>290</v>
      </c>
      <c r="I131" s="180" t="s">
        <v>47</v>
      </c>
      <c r="J131" s="181" t="s">
        <v>136</v>
      </c>
      <c r="K131" s="200" t="b">
        <v>0</v>
      </c>
      <c r="L131" s="650">
        <v>5092500</v>
      </c>
      <c r="M131" s="89">
        <v>3610539.93</v>
      </c>
      <c r="N131" s="89">
        <f t="shared" si="65"/>
        <v>797517.85248936329</v>
      </c>
      <c r="O131" s="89">
        <v>371800.8</v>
      </c>
      <c r="P131" s="89">
        <f t="shared" si="62"/>
        <v>79751.785248936329</v>
      </c>
      <c r="Q131" s="651">
        <v>283695.84000000003</v>
      </c>
      <c r="R131" s="650">
        <v>438000</v>
      </c>
      <c r="S131" s="89">
        <v>201963.74</v>
      </c>
      <c r="T131" s="89">
        <f t="shared" si="66"/>
        <v>35487.343310531614</v>
      </c>
      <c r="U131" s="89">
        <v>25625.29</v>
      </c>
      <c r="V131" s="89">
        <f t="shared" si="63"/>
        <v>3548.7343310531614</v>
      </c>
      <c r="W131" s="347">
        <v>6238.66</v>
      </c>
      <c r="X131" s="256">
        <v>0.1566063529679653</v>
      </c>
      <c r="Y131" s="256">
        <v>8.1021331759204604E-2</v>
      </c>
      <c r="Z131" s="648">
        <v>0.14752125202248395</v>
      </c>
      <c r="AA131" s="89">
        <f t="shared" si="67"/>
        <v>5530500</v>
      </c>
      <c r="AB131" s="89">
        <f t="shared" si="68"/>
        <v>3812503.67</v>
      </c>
      <c r="AC131" s="257">
        <f t="shared" si="69"/>
        <v>0.14752125202248395</v>
      </c>
      <c r="AD131" s="90">
        <f t="shared" si="70"/>
        <v>815866.28431034752</v>
      </c>
      <c r="AE131" s="89">
        <f t="shared" si="71"/>
        <v>397426.08999999997</v>
      </c>
      <c r="AF131" s="89">
        <f t="shared" si="72"/>
        <v>289934.5</v>
      </c>
      <c r="AG131" s="270">
        <f t="shared" si="59"/>
        <v>34.467983636199257</v>
      </c>
      <c r="AH131" s="271">
        <f t="shared" si="60"/>
        <v>29.227296014758934</v>
      </c>
      <c r="AI131" s="240">
        <f t="shared" si="61"/>
        <v>63.695279650958192</v>
      </c>
      <c r="AJ131" s="316">
        <v>61.585414478590714</v>
      </c>
      <c r="AK131" s="672">
        <f t="shared" si="64"/>
        <v>2.1098651723674777</v>
      </c>
      <c r="AL131" t="str">
        <f t="shared" si="73"/>
        <v/>
      </c>
    </row>
    <row r="132" spans="1:39" x14ac:dyDescent="0.2">
      <c r="A132" s="6">
        <v>121</v>
      </c>
      <c r="B132" s="199">
        <v>60315</v>
      </c>
      <c r="C132" s="680" t="s">
        <v>418</v>
      </c>
      <c r="D132" s="173" t="s">
        <v>136</v>
      </c>
      <c r="E132" s="173" t="s">
        <v>136</v>
      </c>
      <c r="F132" s="174" t="s">
        <v>113</v>
      </c>
      <c r="G132" s="179" t="s">
        <v>6</v>
      </c>
      <c r="H132" s="179" t="s">
        <v>290</v>
      </c>
      <c r="I132" s="180" t="s">
        <v>48</v>
      </c>
      <c r="J132" s="181" t="s">
        <v>136</v>
      </c>
      <c r="K132" s="200" t="b">
        <v>0</v>
      </c>
      <c r="L132" s="650">
        <v>2224500</v>
      </c>
      <c r="M132" s="89">
        <v>1202489.33</v>
      </c>
      <c r="N132" s="89">
        <f t="shared" si="65"/>
        <v>772455.13596085401</v>
      </c>
      <c r="O132" s="89">
        <v>161082.35999999999</v>
      </c>
      <c r="P132" s="89">
        <f t="shared" si="62"/>
        <v>77245.51359608541</v>
      </c>
      <c r="Q132" s="651">
        <v>149526.35999999999</v>
      </c>
      <c r="R132" s="650">
        <v>319500</v>
      </c>
      <c r="S132" s="89">
        <v>371251.6</v>
      </c>
      <c r="T132" s="89">
        <f t="shared" si="66"/>
        <v>39607.967534811476</v>
      </c>
      <c r="U132" s="89">
        <v>16923.810000000001</v>
      </c>
      <c r="V132" s="89">
        <f t="shared" si="63"/>
        <v>3960.7967534811478</v>
      </c>
      <c r="W132" s="347">
        <v>4673.6499999999996</v>
      </c>
      <c r="X132" s="256">
        <v>0.34724888107927804</v>
      </c>
      <c r="Y132" s="256">
        <v>0.12396859948297802</v>
      </c>
      <c r="Z132" s="648">
        <v>0.32468997749544032</v>
      </c>
      <c r="AA132" s="89">
        <f t="shared" si="67"/>
        <v>2544000</v>
      </c>
      <c r="AB132" s="89">
        <f t="shared" si="68"/>
        <v>1573740.9300000002</v>
      </c>
      <c r="AC132" s="257">
        <f t="shared" si="69"/>
        <v>0.32468997749544032</v>
      </c>
      <c r="AD132" s="90">
        <f t="shared" si="70"/>
        <v>826011.30274840014</v>
      </c>
      <c r="AE132" s="89">
        <f t="shared" si="71"/>
        <v>178006.16999999998</v>
      </c>
      <c r="AF132" s="89">
        <f t="shared" si="72"/>
        <v>154200.00999999998</v>
      </c>
      <c r="AG132" s="270">
        <f t="shared" si="59"/>
        <v>30.930442806603775</v>
      </c>
      <c r="AH132" s="271">
        <f t="shared" si="60"/>
        <v>12.930053335182022</v>
      </c>
      <c r="AI132" s="240">
        <f t="shared" si="61"/>
        <v>43.860496141785795</v>
      </c>
      <c r="AJ132" s="316">
        <v>71.817474432842346</v>
      </c>
      <c r="AK132" s="672">
        <f t="shared" si="64"/>
        <v>-27.956978291056551</v>
      </c>
      <c r="AL132" t="str">
        <f t="shared" si="73"/>
        <v/>
      </c>
    </row>
    <row r="133" spans="1:39" x14ac:dyDescent="0.2">
      <c r="A133" s="6">
        <v>122</v>
      </c>
      <c r="B133" s="199">
        <v>60308</v>
      </c>
      <c r="C133" s="680" t="s">
        <v>419</v>
      </c>
      <c r="D133" s="173" t="s">
        <v>136</v>
      </c>
      <c r="E133" s="173" t="s">
        <v>136</v>
      </c>
      <c r="F133" s="174" t="s">
        <v>113</v>
      </c>
      <c r="G133" s="179" t="s">
        <v>6</v>
      </c>
      <c r="H133" s="179" t="s">
        <v>290</v>
      </c>
      <c r="I133" s="182" t="s">
        <v>49</v>
      </c>
      <c r="J133" s="181" t="s">
        <v>136</v>
      </c>
      <c r="K133" s="200" t="b">
        <v>0</v>
      </c>
      <c r="L133" s="650">
        <v>20645250</v>
      </c>
      <c r="M133" s="89">
        <v>14364119.119999999</v>
      </c>
      <c r="N133" s="89">
        <f t="shared" si="65"/>
        <v>3381370.5860445346</v>
      </c>
      <c r="O133" s="89">
        <v>2425503.96</v>
      </c>
      <c r="P133" s="89">
        <f t="shared" si="62"/>
        <v>338137.05860445346</v>
      </c>
      <c r="Q133" s="651">
        <v>1971982.53</v>
      </c>
      <c r="R133" s="650">
        <v>3294750</v>
      </c>
      <c r="S133" s="89">
        <v>529352.26</v>
      </c>
      <c r="T133" s="89">
        <f t="shared" si="66"/>
        <v>615392.16625050444</v>
      </c>
      <c r="U133" s="89">
        <v>134951.23000000001</v>
      </c>
      <c r="V133" s="89">
        <f t="shared" si="63"/>
        <v>61539.216625050445</v>
      </c>
      <c r="W133" s="347">
        <v>23093.32</v>
      </c>
      <c r="X133" s="256">
        <v>0.1637844340002923</v>
      </c>
      <c r="Y133" s="256">
        <v>0.1867796240232201</v>
      </c>
      <c r="Z133" s="648">
        <v>0.16601831318436977</v>
      </c>
      <c r="AA133" s="89">
        <f t="shared" si="67"/>
        <v>23940000</v>
      </c>
      <c r="AB133" s="89">
        <f t="shared" si="68"/>
        <v>14893471.379999999</v>
      </c>
      <c r="AC133" s="257">
        <f t="shared" si="69"/>
        <v>0.16601831318436977</v>
      </c>
      <c r="AD133" s="90">
        <f t="shared" si="70"/>
        <v>3974478.4176338124</v>
      </c>
      <c r="AE133" s="89">
        <f t="shared" si="71"/>
        <v>2560455.19</v>
      </c>
      <c r="AF133" s="89">
        <f t="shared" si="72"/>
        <v>1995075.85</v>
      </c>
      <c r="AG133" s="270">
        <f t="shared" si="59"/>
        <v>31.105829949874682</v>
      </c>
      <c r="AH133" s="271">
        <f t="shared" si="60"/>
        <v>38.653452165796715</v>
      </c>
      <c r="AI133" s="240">
        <f t="shared" si="61"/>
        <v>69.759282115671397</v>
      </c>
      <c r="AJ133" s="316">
        <v>57.804801914440631</v>
      </c>
      <c r="AK133" s="672">
        <f t="shared" si="64"/>
        <v>11.954480201230766</v>
      </c>
      <c r="AL133" t="str">
        <f t="shared" si="73"/>
        <v/>
      </c>
    </row>
    <row r="134" spans="1:39" x14ac:dyDescent="0.2">
      <c r="A134" s="6">
        <v>123</v>
      </c>
      <c r="B134" s="199">
        <v>60514</v>
      </c>
      <c r="C134" s="680" t="s">
        <v>430</v>
      </c>
      <c r="D134" s="173" t="s">
        <v>136</v>
      </c>
      <c r="E134" s="173" t="s">
        <v>136</v>
      </c>
      <c r="F134" s="174" t="s">
        <v>113</v>
      </c>
      <c r="G134" s="179" t="s">
        <v>4</v>
      </c>
      <c r="H134" s="179" t="s">
        <v>294</v>
      </c>
      <c r="I134" s="180" t="s">
        <v>8</v>
      </c>
      <c r="J134" s="181" t="s">
        <v>136</v>
      </c>
      <c r="K134" s="200" t="b">
        <v>0</v>
      </c>
      <c r="L134" s="650">
        <v>1209000</v>
      </c>
      <c r="M134" s="89">
        <v>216000.83</v>
      </c>
      <c r="N134" s="89">
        <f t="shared" si="65"/>
        <v>12090</v>
      </c>
      <c r="O134" s="89">
        <v>2711.61</v>
      </c>
      <c r="P134" s="89">
        <f t="shared" si="62"/>
        <v>1209</v>
      </c>
      <c r="Q134" s="651">
        <v>19168.29</v>
      </c>
      <c r="R134" s="650">
        <v>169500</v>
      </c>
      <c r="S134" s="89">
        <v>0</v>
      </c>
      <c r="T134" s="89">
        <f t="shared" si="66"/>
        <v>25035.15</v>
      </c>
      <c r="U134" s="89">
        <v>0</v>
      </c>
      <c r="V134" s="89">
        <f t="shared" si="63"/>
        <v>2503.5150000000003</v>
      </c>
      <c r="W134" s="347">
        <v>0</v>
      </c>
      <c r="X134" s="256">
        <v>0.01</v>
      </c>
      <c r="Y134" s="256">
        <v>0.1477</v>
      </c>
      <c r="Z134" s="648">
        <v>3.7600000000000001E-2</v>
      </c>
      <c r="AA134" s="89">
        <f t="shared" si="67"/>
        <v>1378500</v>
      </c>
      <c r="AB134" s="89">
        <f t="shared" si="68"/>
        <v>216000.83</v>
      </c>
      <c r="AC134" s="257">
        <f t="shared" si="69"/>
        <v>3.7600000000000001E-2</v>
      </c>
      <c r="AD134" s="90">
        <f t="shared" si="70"/>
        <v>51831.6</v>
      </c>
      <c r="AE134" s="89">
        <f t="shared" si="71"/>
        <v>2711.61</v>
      </c>
      <c r="AF134" s="89">
        <f t="shared" si="72"/>
        <v>19168.29</v>
      </c>
      <c r="AG134" s="270">
        <f t="shared" si="59"/>
        <v>7.8346329343489298</v>
      </c>
      <c r="AH134" s="271">
        <f t="shared" si="60"/>
        <v>3.1389461255295998</v>
      </c>
      <c r="AI134" s="240">
        <f t="shared" si="61"/>
        <v>10.97357905987853</v>
      </c>
      <c r="AJ134" s="316">
        <v>56.550597498334156</v>
      </c>
      <c r="AK134" s="672">
        <f t="shared" si="64"/>
        <v>-45.577018438455625</v>
      </c>
      <c r="AL134" t="str">
        <f t="shared" si="73"/>
        <v/>
      </c>
    </row>
    <row r="135" spans="1:39" x14ac:dyDescent="0.2">
      <c r="A135" s="6">
        <v>124</v>
      </c>
      <c r="B135" s="199">
        <v>60457</v>
      </c>
      <c r="C135" s="680" t="s">
        <v>189</v>
      </c>
      <c r="D135" s="173" t="s">
        <v>136</v>
      </c>
      <c r="E135" s="173" t="s">
        <v>136</v>
      </c>
      <c r="F135" s="174" t="s">
        <v>113</v>
      </c>
      <c r="G135" s="179" t="s">
        <v>4</v>
      </c>
      <c r="H135" s="179" t="s">
        <v>294</v>
      </c>
      <c r="I135" s="180" t="s">
        <v>9</v>
      </c>
      <c r="J135" s="181" t="s">
        <v>136</v>
      </c>
      <c r="K135" s="200" t="b">
        <v>0</v>
      </c>
      <c r="L135" s="650">
        <v>2214000</v>
      </c>
      <c r="M135" s="89">
        <v>1514812.88</v>
      </c>
      <c r="N135" s="89">
        <f t="shared" si="65"/>
        <v>80368.2</v>
      </c>
      <c r="O135" s="89">
        <v>97065.18</v>
      </c>
      <c r="P135" s="89">
        <f t="shared" si="62"/>
        <v>8036.82</v>
      </c>
      <c r="Q135" s="651">
        <v>93781.89</v>
      </c>
      <c r="R135" s="650">
        <v>1310250</v>
      </c>
      <c r="S135" s="89">
        <v>0</v>
      </c>
      <c r="T135" s="89">
        <f t="shared" si="66"/>
        <v>445747.05</v>
      </c>
      <c r="U135" s="89">
        <v>0</v>
      </c>
      <c r="V135" s="89">
        <f t="shared" si="63"/>
        <v>44574.705000000002</v>
      </c>
      <c r="W135" s="347">
        <v>0</v>
      </c>
      <c r="X135" s="256">
        <v>3.6299999999999999E-2</v>
      </c>
      <c r="Y135" s="256">
        <v>0.3402</v>
      </c>
      <c r="Z135" s="648">
        <v>0.13850000000000001</v>
      </c>
      <c r="AA135" s="89">
        <f t="shared" si="67"/>
        <v>3524250</v>
      </c>
      <c r="AB135" s="89">
        <f t="shared" si="68"/>
        <v>1514812.88</v>
      </c>
      <c r="AC135" s="257">
        <f t="shared" si="69"/>
        <v>0.13850000000000001</v>
      </c>
      <c r="AD135" s="90">
        <f t="shared" si="70"/>
        <v>488108.62500000006</v>
      </c>
      <c r="AE135" s="89">
        <f t="shared" si="71"/>
        <v>97065.18</v>
      </c>
      <c r="AF135" s="89">
        <f t="shared" si="72"/>
        <v>93781.89</v>
      </c>
      <c r="AG135" s="270">
        <f t="shared" si="59"/>
        <v>21.491280130524224</v>
      </c>
      <c r="AH135" s="271">
        <f t="shared" si="60"/>
        <v>11.931587564141074</v>
      </c>
      <c r="AI135" s="240">
        <f t="shared" si="61"/>
        <v>33.4228676946653</v>
      </c>
      <c r="AJ135" s="316">
        <v>42.140050400829615</v>
      </c>
      <c r="AK135" s="672">
        <f t="shared" si="64"/>
        <v>-8.7171827061643157</v>
      </c>
      <c r="AL135" t="str">
        <f t="shared" si="73"/>
        <v/>
      </c>
    </row>
    <row r="136" spans="1:39" x14ac:dyDescent="0.2">
      <c r="A136" s="6">
        <v>125</v>
      </c>
      <c r="B136" s="199">
        <v>60458</v>
      </c>
      <c r="C136" s="680" t="s">
        <v>190</v>
      </c>
      <c r="D136" s="173" t="s">
        <v>136</v>
      </c>
      <c r="E136" s="173" t="s">
        <v>136</v>
      </c>
      <c r="F136" s="174" t="s">
        <v>113</v>
      </c>
      <c r="G136" s="179" t="s">
        <v>4</v>
      </c>
      <c r="H136" s="179" t="s">
        <v>294</v>
      </c>
      <c r="I136" s="182" t="s">
        <v>33</v>
      </c>
      <c r="J136" s="181" t="s">
        <v>136</v>
      </c>
      <c r="K136" s="200" t="b">
        <v>0</v>
      </c>
      <c r="L136" s="650">
        <v>1169250</v>
      </c>
      <c r="M136" s="89">
        <v>0</v>
      </c>
      <c r="N136" s="89">
        <f t="shared" si="65"/>
        <v>59982.525000000001</v>
      </c>
      <c r="O136" s="89">
        <v>62305.919999999998</v>
      </c>
      <c r="P136" s="89">
        <f t="shared" si="62"/>
        <v>5998.2525000000005</v>
      </c>
      <c r="Q136" s="651">
        <v>38363.49</v>
      </c>
      <c r="R136" s="650">
        <v>1491000</v>
      </c>
      <c r="S136" s="89">
        <v>0</v>
      </c>
      <c r="T136" s="89">
        <f t="shared" si="66"/>
        <v>642173.70000000007</v>
      </c>
      <c r="U136" s="89">
        <v>0</v>
      </c>
      <c r="V136" s="89">
        <f t="shared" si="63"/>
        <v>64217.37000000001</v>
      </c>
      <c r="W136" s="347">
        <v>0</v>
      </c>
      <c r="X136" s="256">
        <v>5.1299999999999998E-2</v>
      </c>
      <c r="Y136" s="256">
        <v>0.43070000000000003</v>
      </c>
      <c r="Z136" s="648">
        <v>0.24640000000000001</v>
      </c>
      <c r="AA136" s="89">
        <f t="shared" si="67"/>
        <v>2660250</v>
      </c>
      <c r="AB136" s="89">
        <f t="shared" si="68"/>
        <v>0</v>
      </c>
      <c r="AC136" s="257">
        <f t="shared" si="69"/>
        <v>0.24640000000000001</v>
      </c>
      <c r="AD136" s="90">
        <f t="shared" si="70"/>
        <v>655485.6</v>
      </c>
      <c r="AE136" s="89">
        <f t="shared" si="71"/>
        <v>62305.919999999998</v>
      </c>
      <c r="AF136" s="89">
        <f t="shared" si="72"/>
        <v>38363.49</v>
      </c>
      <c r="AG136" s="270">
        <f t="shared" si="59"/>
        <v>0</v>
      </c>
      <c r="AH136" s="271">
        <f t="shared" si="60"/>
        <v>5.7031843262460686</v>
      </c>
      <c r="AI136" s="240">
        <f t="shared" si="61"/>
        <v>5.7031843262460686</v>
      </c>
      <c r="AJ136" s="316">
        <v>13.673088775025976</v>
      </c>
      <c r="AK136" s="672">
        <f t="shared" si="64"/>
        <v>-7.9699044487799071</v>
      </c>
      <c r="AL136" t="str">
        <f t="shared" si="73"/>
        <v/>
      </c>
    </row>
    <row r="137" spans="1:39" x14ac:dyDescent="0.2">
      <c r="A137" s="6">
        <v>126</v>
      </c>
      <c r="B137" s="199">
        <v>60454</v>
      </c>
      <c r="C137" s="680" t="s">
        <v>191</v>
      </c>
      <c r="D137" s="173" t="s">
        <v>136</v>
      </c>
      <c r="E137" s="173" t="s">
        <v>136</v>
      </c>
      <c r="F137" s="174" t="s">
        <v>113</v>
      </c>
      <c r="G137" s="179" t="s">
        <v>4</v>
      </c>
      <c r="H137" s="179" t="s">
        <v>294</v>
      </c>
      <c r="I137" s="182" t="s">
        <v>9</v>
      </c>
      <c r="J137" s="181" t="s">
        <v>136</v>
      </c>
      <c r="K137" s="200" t="b">
        <v>0</v>
      </c>
      <c r="L137" s="650">
        <v>2401500</v>
      </c>
      <c r="M137" s="89">
        <v>0</v>
      </c>
      <c r="N137" s="89">
        <f t="shared" si="65"/>
        <v>115512.15</v>
      </c>
      <c r="O137" s="89">
        <v>109249.11</v>
      </c>
      <c r="P137" s="89">
        <f t="shared" si="62"/>
        <v>11551.215</v>
      </c>
      <c r="Q137" s="651">
        <v>94741.38</v>
      </c>
      <c r="R137" s="650">
        <v>3091500</v>
      </c>
      <c r="S137" s="89">
        <v>179512.54</v>
      </c>
      <c r="T137" s="89">
        <f t="shared" si="66"/>
        <v>1550696.4000000001</v>
      </c>
      <c r="U137" s="89">
        <v>177893.55</v>
      </c>
      <c r="V137" s="89">
        <f t="shared" si="63"/>
        <v>155069.64000000001</v>
      </c>
      <c r="W137" s="347">
        <v>40852.269999999997</v>
      </c>
      <c r="X137" s="256">
        <v>4.8099999999999997E-2</v>
      </c>
      <c r="Y137" s="256">
        <v>0.50160000000000005</v>
      </c>
      <c r="Z137" s="648">
        <v>0.30309999999999998</v>
      </c>
      <c r="AA137" s="89">
        <f t="shared" si="67"/>
        <v>5493000</v>
      </c>
      <c r="AB137" s="89">
        <f t="shared" si="68"/>
        <v>179512.54</v>
      </c>
      <c r="AC137" s="257">
        <f t="shared" si="69"/>
        <v>0.30309999999999998</v>
      </c>
      <c r="AD137" s="90">
        <f t="shared" si="70"/>
        <v>1664928.2999999998</v>
      </c>
      <c r="AE137" s="89">
        <f t="shared" si="71"/>
        <v>287142.65999999997</v>
      </c>
      <c r="AF137" s="89">
        <f t="shared" si="72"/>
        <v>135593.65</v>
      </c>
      <c r="AG137" s="270">
        <f t="shared" si="59"/>
        <v>1.6340118332423084</v>
      </c>
      <c r="AH137" s="271">
        <f t="shared" si="60"/>
        <v>10.347928856756173</v>
      </c>
      <c r="AI137" s="240">
        <f t="shared" si="61"/>
        <v>11.981940689998481</v>
      </c>
      <c r="AJ137" s="316">
        <v>6.551872709050258</v>
      </c>
      <c r="AK137" s="672">
        <f t="shared" si="64"/>
        <v>5.4300679809482233</v>
      </c>
      <c r="AL137">
        <f t="shared" si="73"/>
        <v>125</v>
      </c>
    </row>
    <row r="138" spans="1:39" x14ac:dyDescent="0.2">
      <c r="A138" s="6">
        <v>127</v>
      </c>
      <c r="B138" s="199">
        <v>60928</v>
      </c>
      <c r="C138" s="680" t="s">
        <v>192</v>
      </c>
      <c r="D138" s="173" t="s">
        <v>136</v>
      </c>
      <c r="E138" s="173" t="s">
        <v>136</v>
      </c>
      <c r="F138" s="174" t="s">
        <v>113</v>
      </c>
      <c r="G138" s="179" t="s">
        <v>4</v>
      </c>
      <c r="H138" s="179" t="s">
        <v>294</v>
      </c>
      <c r="I138" s="180" t="s">
        <v>9</v>
      </c>
      <c r="J138" s="181" t="s">
        <v>136</v>
      </c>
      <c r="K138" s="200" t="b">
        <v>0</v>
      </c>
      <c r="L138" s="650">
        <v>2222550</v>
      </c>
      <c r="M138" s="89">
        <v>1419632.69</v>
      </c>
      <c r="N138" s="89">
        <f t="shared" si="65"/>
        <v>113127.795</v>
      </c>
      <c r="O138" s="89">
        <v>577701.32999999996</v>
      </c>
      <c r="P138" s="89">
        <f t="shared" si="62"/>
        <v>11312.779500000001</v>
      </c>
      <c r="Q138" s="651">
        <v>83731.86</v>
      </c>
      <c r="R138" s="650">
        <v>2601000</v>
      </c>
      <c r="S138" s="89">
        <v>766949.45</v>
      </c>
      <c r="T138" s="89">
        <f t="shared" si="66"/>
        <v>1131174.8999999999</v>
      </c>
      <c r="U138" s="89">
        <v>718004.21</v>
      </c>
      <c r="V138" s="89">
        <f t="shared" si="63"/>
        <v>113117.48999999999</v>
      </c>
      <c r="W138" s="347">
        <v>140892.6</v>
      </c>
      <c r="X138" s="256">
        <v>5.0900000000000001E-2</v>
      </c>
      <c r="Y138" s="256">
        <v>0.43490000000000001</v>
      </c>
      <c r="Z138" s="648">
        <v>0.23280000000000001</v>
      </c>
      <c r="AA138" s="89">
        <f t="shared" si="67"/>
        <v>4823550</v>
      </c>
      <c r="AB138" s="89">
        <f t="shared" si="68"/>
        <v>2186582.1399999997</v>
      </c>
      <c r="AC138" s="257">
        <f t="shared" si="69"/>
        <v>0.23280000000000001</v>
      </c>
      <c r="AD138" s="90">
        <f t="shared" si="70"/>
        <v>1122922.44</v>
      </c>
      <c r="AE138" s="89">
        <f t="shared" si="71"/>
        <v>1295705.54</v>
      </c>
      <c r="AF138" s="89">
        <f t="shared" si="72"/>
        <v>224624.46000000002</v>
      </c>
      <c r="AG138" s="270">
        <f t="shared" si="59"/>
        <v>22.665693731795042</v>
      </c>
      <c r="AH138" s="271">
        <f t="shared" si="60"/>
        <v>60</v>
      </c>
      <c r="AI138" s="240">
        <f t="shared" si="61"/>
        <v>82.665693731795045</v>
      </c>
      <c r="AJ138" s="316">
        <v>13.181023901219371</v>
      </c>
      <c r="AK138" s="672">
        <f t="shared" si="64"/>
        <v>69.484669830575669</v>
      </c>
      <c r="AL138">
        <f t="shared" si="73"/>
        <v>126</v>
      </c>
    </row>
    <row r="139" spans="1:39" x14ac:dyDescent="0.2">
      <c r="A139" s="6">
        <v>128</v>
      </c>
      <c r="B139" s="199">
        <v>60461</v>
      </c>
      <c r="C139" s="680" t="s">
        <v>193</v>
      </c>
      <c r="D139" s="173" t="s">
        <v>136</v>
      </c>
      <c r="E139" s="173" t="s">
        <v>136</v>
      </c>
      <c r="F139" s="174" t="s">
        <v>113</v>
      </c>
      <c r="G139" s="179" t="s">
        <v>4</v>
      </c>
      <c r="H139" s="179" t="s">
        <v>294</v>
      </c>
      <c r="I139" s="180" t="s">
        <v>9</v>
      </c>
      <c r="J139" s="181" t="s">
        <v>136</v>
      </c>
      <c r="K139" s="200" t="b">
        <v>0</v>
      </c>
      <c r="L139" s="650">
        <v>5541000</v>
      </c>
      <c r="M139" s="89">
        <v>0</v>
      </c>
      <c r="N139" s="89">
        <f t="shared" si="65"/>
        <v>197259.6</v>
      </c>
      <c r="O139" s="89">
        <v>89337.15</v>
      </c>
      <c r="P139" s="89">
        <f t="shared" si="62"/>
        <v>19725.960000000003</v>
      </c>
      <c r="Q139" s="651">
        <v>52001.01</v>
      </c>
      <c r="R139" s="650">
        <v>4490250</v>
      </c>
      <c r="S139" s="89">
        <v>990251.98</v>
      </c>
      <c r="T139" s="89">
        <f t="shared" si="66"/>
        <v>1847288.8499999999</v>
      </c>
      <c r="U139" s="89">
        <v>767081.85</v>
      </c>
      <c r="V139" s="89">
        <f t="shared" si="63"/>
        <v>184728.88500000001</v>
      </c>
      <c r="W139" s="347">
        <v>145716.28</v>
      </c>
      <c r="X139" s="256">
        <v>3.56E-2</v>
      </c>
      <c r="Y139" s="256">
        <v>0.41139999999999999</v>
      </c>
      <c r="Z139" s="648">
        <v>0.20019999999999999</v>
      </c>
      <c r="AA139" s="89">
        <f t="shared" ref="AA139:AA170" si="74">IF(jakaKS=1,L139+R139,IF(jakaKS=2,L139,IF(jakaKS=3,R139,0)))</f>
        <v>10031250</v>
      </c>
      <c r="AB139" s="89">
        <f t="shared" ref="AB139:AB170" si="75">IF(jakaKS=1,M139+S139,IF(jakaKS=2,M139,IF(jakaKS=3,S139,0)))+IF(uspora="A",IF(jakaKS=1,Q139+W139,IF(jakaKS=2,Q139,IF(jakaKS=3,W139,0))),0)</f>
        <v>990251.98</v>
      </c>
      <c r="AC139" s="257">
        <f t="shared" ref="AC139:AC170" si="76">IF(jakaKS=1,Z139,IF(jakaKS=2,X139,IF(jakaKS=3,Y139,0)))</f>
        <v>0.20019999999999999</v>
      </c>
      <c r="AD139" s="90">
        <f t="shared" ref="AD139:AD170" si="77">IF(jakaKS=1,AA139*Z139,IF(jakaKS=2,N139,IF(jakaKS=3,T139,0)))</f>
        <v>2008256.25</v>
      </c>
      <c r="AE139" s="89">
        <f t="shared" ref="AE139:AE170" si="78">IF(jakaKS=1,O139+U139,IF(jakaKS=2,O139,IF(jakaKS=3,U139,0)))+IF(uspora="A",IF(jakaKS=1,Q139+W139,IF(jakaKS=2,Q139,IF(jakaKS=3,W139,0))),0)</f>
        <v>856419</v>
      </c>
      <c r="AF139" s="89">
        <f t="shared" ref="AF139:AF170" si="79">IF(jakaKS=1,Q139+W139,IF(jakaKS=2,Q139,IF(jakaKS=3,W139,0)))</f>
        <v>197717.29</v>
      </c>
      <c r="AG139" s="270">
        <f t="shared" ref="AG139:AG200" si="80">IF((AB139/(AA139*$O$6)*vahaE)&gt;vahaE,vahaE,AB139/(AA139*$O$6)*vahaE)</f>
        <v>4.9358354143302181</v>
      </c>
      <c r="AH139" s="271">
        <f t="shared" ref="AH139:AH200" si="81">IF((AE139/AD139*vahaD)&gt;vahaD,vahaD,AE139/AD139*vahaD)</f>
        <v>25.58694389722427</v>
      </c>
      <c r="AI139" s="240">
        <f t="shared" ref="AI139:AI200" si="82">IF((AB139/(AA139*$O$6)*vahaE)&gt;vahaE,vahaE,AB139/(AA139*$O$6)*vahaE)+IF((AE139/AD139*vahaD)&gt;vahaD,vahaD,AE139/AD139*vahaD)</f>
        <v>30.522779311554487</v>
      </c>
      <c r="AJ139" s="316">
        <v>31.590846522006927</v>
      </c>
      <c r="AK139" s="672">
        <f t="shared" si="64"/>
        <v>-1.0680672104524405</v>
      </c>
      <c r="AL139" t="str">
        <f t="shared" ref="AL139:AL170" si="83">IF($M138=AL$11,$A138,"")</f>
        <v/>
      </c>
    </row>
    <row r="140" spans="1:39" x14ac:dyDescent="0.2">
      <c r="A140" s="6">
        <v>129</v>
      </c>
      <c r="B140" s="199">
        <v>60463</v>
      </c>
      <c r="C140" s="680" t="s">
        <v>194</v>
      </c>
      <c r="D140" s="173" t="s">
        <v>136</v>
      </c>
      <c r="E140" s="173" t="s">
        <v>136</v>
      </c>
      <c r="F140" s="174" t="s">
        <v>113</v>
      </c>
      <c r="G140" s="179" t="s">
        <v>4</v>
      </c>
      <c r="H140" s="179" t="s">
        <v>294</v>
      </c>
      <c r="I140" s="180" t="s">
        <v>35</v>
      </c>
      <c r="J140" s="181" t="s">
        <v>136</v>
      </c>
      <c r="K140" s="200" t="b">
        <v>0</v>
      </c>
      <c r="L140" s="650">
        <v>1124700</v>
      </c>
      <c r="M140" s="89">
        <v>0</v>
      </c>
      <c r="N140" s="89">
        <f t="shared" si="65"/>
        <v>385884.57</v>
      </c>
      <c r="O140" s="89">
        <v>293547.33</v>
      </c>
      <c r="P140" s="89">
        <f t="shared" ref="P140:P189" si="84">N140*planUspor</f>
        <v>38588.457000000002</v>
      </c>
      <c r="Q140" s="651">
        <v>216846.09</v>
      </c>
      <c r="R140" s="650">
        <v>1827300</v>
      </c>
      <c r="S140" s="89">
        <v>792198.93</v>
      </c>
      <c r="T140" s="89">
        <f t="shared" si="66"/>
        <v>776419.77</v>
      </c>
      <c r="U140" s="89">
        <v>757520.08</v>
      </c>
      <c r="V140" s="89">
        <f t="shared" ref="V140:V189" si="85">T140*planUspor</f>
        <v>77641.976999999999</v>
      </c>
      <c r="W140" s="347">
        <v>164913.85999999999</v>
      </c>
      <c r="X140" s="256">
        <v>0.34310000000000002</v>
      </c>
      <c r="Y140" s="256">
        <v>0.4249</v>
      </c>
      <c r="Z140" s="648">
        <v>0.38900000000000001</v>
      </c>
      <c r="AA140" s="89">
        <f t="shared" si="74"/>
        <v>2952000</v>
      </c>
      <c r="AB140" s="89">
        <f t="shared" si="75"/>
        <v>792198.93</v>
      </c>
      <c r="AC140" s="257">
        <f t="shared" si="76"/>
        <v>0.38900000000000001</v>
      </c>
      <c r="AD140" s="90">
        <f t="shared" si="77"/>
        <v>1148328</v>
      </c>
      <c r="AE140" s="89">
        <f t="shared" si="78"/>
        <v>1051067.4099999999</v>
      </c>
      <c r="AF140" s="89">
        <f t="shared" si="79"/>
        <v>381759.94999999995</v>
      </c>
      <c r="AG140" s="270">
        <f t="shared" si="80"/>
        <v>13.41800355691057</v>
      </c>
      <c r="AH140" s="271">
        <f t="shared" si="81"/>
        <v>54.918145860764511</v>
      </c>
      <c r="AI140" s="240">
        <f t="shared" si="82"/>
        <v>68.336149417675074</v>
      </c>
      <c r="AJ140" s="316">
        <v>20.910129494558308</v>
      </c>
      <c r="AK140" s="672">
        <f t="shared" ref="AK140:AK201" si="86">AI140-AJ140</f>
        <v>47.426019923116769</v>
      </c>
      <c r="AL140">
        <f t="shared" si="83"/>
        <v>128</v>
      </c>
    </row>
    <row r="141" spans="1:39" x14ac:dyDescent="0.2">
      <c r="A141" s="6">
        <v>130</v>
      </c>
      <c r="B141" s="199">
        <v>60464</v>
      </c>
      <c r="C141" s="680" t="s">
        <v>195</v>
      </c>
      <c r="D141" s="173" t="s">
        <v>136</v>
      </c>
      <c r="E141" s="173" t="s">
        <v>136</v>
      </c>
      <c r="F141" s="175" t="s">
        <v>113</v>
      </c>
      <c r="G141" s="179" t="s">
        <v>4</v>
      </c>
      <c r="H141" s="179" t="s">
        <v>294</v>
      </c>
      <c r="I141" s="182" t="s">
        <v>36</v>
      </c>
      <c r="J141" s="181" t="s">
        <v>136</v>
      </c>
      <c r="K141" s="200" t="b">
        <v>0</v>
      </c>
      <c r="L141" s="650">
        <v>727500</v>
      </c>
      <c r="M141" s="89">
        <v>0</v>
      </c>
      <c r="N141" s="89">
        <f t="shared" ref="N141:N189" si="87">L141*X141</f>
        <v>121347</v>
      </c>
      <c r="O141" s="89">
        <v>78028.47</v>
      </c>
      <c r="P141" s="89">
        <f t="shared" si="84"/>
        <v>12134.7</v>
      </c>
      <c r="Q141" s="651">
        <v>79924.23</v>
      </c>
      <c r="R141" s="650">
        <v>260250</v>
      </c>
      <c r="S141" s="89">
        <v>0</v>
      </c>
      <c r="T141" s="89">
        <f t="shared" ref="T141:T189" si="88">R141*Y141</f>
        <v>28080.974999999999</v>
      </c>
      <c r="U141" s="89">
        <v>0</v>
      </c>
      <c r="V141" s="89">
        <f t="shared" si="85"/>
        <v>2808.0974999999999</v>
      </c>
      <c r="W141" s="347">
        <v>0</v>
      </c>
      <c r="X141" s="256">
        <v>0.1668</v>
      </c>
      <c r="Y141" s="256">
        <v>0.1079</v>
      </c>
      <c r="Z141" s="648">
        <v>0.1507</v>
      </c>
      <c r="AA141" s="89">
        <f t="shared" si="74"/>
        <v>987750</v>
      </c>
      <c r="AB141" s="89">
        <f t="shared" si="75"/>
        <v>0</v>
      </c>
      <c r="AC141" s="257">
        <f t="shared" si="76"/>
        <v>0.1507</v>
      </c>
      <c r="AD141" s="90">
        <f t="shared" si="77"/>
        <v>148853.92499999999</v>
      </c>
      <c r="AE141" s="89">
        <f t="shared" si="78"/>
        <v>78028.47</v>
      </c>
      <c r="AF141" s="89">
        <f t="shared" si="79"/>
        <v>79924.23</v>
      </c>
      <c r="AG141" s="270">
        <f t="shared" si="80"/>
        <v>0</v>
      </c>
      <c r="AH141" s="271">
        <f t="shared" si="81"/>
        <v>31.451694673150211</v>
      </c>
      <c r="AI141" s="240">
        <f t="shared" si="82"/>
        <v>31.451694673150211</v>
      </c>
      <c r="AJ141" s="316">
        <v>5.7884050198045296</v>
      </c>
      <c r="AK141" s="672">
        <f t="shared" si="86"/>
        <v>25.663289653345682</v>
      </c>
      <c r="AL141">
        <f t="shared" si="83"/>
        <v>129</v>
      </c>
    </row>
    <row r="142" spans="1:39" x14ac:dyDescent="0.2">
      <c r="A142" s="6">
        <v>131</v>
      </c>
      <c r="B142" s="199">
        <v>60465</v>
      </c>
      <c r="C142" s="680" t="s">
        <v>196</v>
      </c>
      <c r="D142" s="173" t="s">
        <v>136</v>
      </c>
      <c r="E142" s="173" t="s">
        <v>136</v>
      </c>
      <c r="F142" s="174" t="s">
        <v>113</v>
      </c>
      <c r="G142" s="179" t="s">
        <v>4</v>
      </c>
      <c r="H142" s="179" t="s">
        <v>294</v>
      </c>
      <c r="I142" s="180" t="s">
        <v>44</v>
      </c>
      <c r="J142" s="181" t="s">
        <v>136</v>
      </c>
      <c r="K142" s="200" t="b">
        <v>0</v>
      </c>
      <c r="L142" s="650">
        <v>827175</v>
      </c>
      <c r="M142" s="89">
        <v>0</v>
      </c>
      <c r="N142" s="89">
        <f t="shared" si="87"/>
        <v>227638.56</v>
      </c>
      <c r="O142" s="89">
        <v>171872.73</v>
      </c>
      <c r="P142" s="89">
        <f t="shared" si="84"/>
        <v>22763.856</v>
      </c>
      <c r="Q142" s="651">
        <v>136019.88</v>
      </c>
      <c r="R142" s="650">
        <v>881250</v>
      </c>
      <c r="S142" s="89">
        <v>13481.82</v>
      </c>
      <c r="T142" s="89">
        <f t="shared" si="88"/>
        <v>308613.75</v>
      </c>
      <c r="U142" s="89">
        <v>13481.82</v>
      </c>
      <c r="V142" s="89">
        <f t="shared" si="85"/>
        <v>30861.375</v>
      </c>
      <c r="W142" s="347">
        <v>2431.33</v>
      </c>
      <c r="X142" s="256">
        <v>0.2752</v>
      </c>
      <c r="Y142" s="256">
        <v>0.35020000000000001</v>
      </c>
      <c r="Z142" s="648">
        <v>0.31890000000000002</v>
      </c>
      <c r="AA142" s="89">
        <f t="shared" si="74"/>
        <v>1708425</v>
      </c>
      <c r="AB142" s="89">
        <f t="shared" si="75"/>
        <v>13481.82</v>
      </c>
      <c r="AC142" s="257">
        <f t="shared" si="76"/>
        <v>0.31890000000000002</v>
      </c>
      <c r="AD142" s="90">
        <f t="shared" si="77"/>
        <v>544816.73250000004</v>
      </c>
      <c r="AE142" s="89">
        <f t="shared" si="78"/>
        <v>185354.55000000002</v>
      </c>
      <c r="AF142" s="89">
        <f t="shared" si="79"/>
        <v>138451.21</v>
      </c>
      <c r="AG142" s="270">
        <f t="shared" si="80"/>
        <v>0.39456868168049519</v>
      </c>
      <c r="AH142" s="271">
        <f t="shared" si="81"/>
        <v>20.412869753408319</v>
      </c>
      <c r="AI142" s="240">
        <f t="shared" si="82"/>
        <v>20.807438435088816</v>
      </c>
      <c r="AJ142" s="316">
        <v>57.816099333939768</v>
      </c>
      <c r="AK142" s="672">
        <f t="shared" si="86"/>
        <v>-37.008660898850948</v>
      </c>
      <c r="AL142">
        <f t="shared" si="83"/>
        <v>130</v>
      </c>
    </row>
    <row r="143" spans="1:39" x14ac:dyDescent="0.2">
      <c r="A143" s="6">
        <v>132</v>
      </c>
      <c r="B143" s="199">
        <v>60466</v>
      </c>
      <c r="C143" s="680" t="s">
        <v>197</v>
      </c>
      <c r="D143" s="173" t="s">
        <v>136</v>
      </c>
      <c r="E143" s="173" t="s">
        <v>136</v>
      </c>
      <c r="F143" s="174" t="s">
        <v>113</v>
      </c>
      <c r="G143" s="179" t="s">
        <v>4</v>
      </c>
      <c r="H143" s="179" t="s">
        <v>294</v>
      </c>
      <c r="I143" s="182" t="s">
        <v>47</v>
      </c>
      <c r="J143" s="181" t="s">
        <v>136</v>
      </c>
      <c r="K143" s="200" t="b">
        <v>0</v>
      </c>
      <c r="L143" s="650">
        <v>2476815</v>
      </c>
      <c r="M143" s="89">
        <v>1728368.16</v>
      </c>
      <c r="N143" s="89">
        <f t="shared" si="87"/>
        <v>734871.01050000009</v>
      </c>
      <c r="O143" s="89">
        <v>728791.83</v>
      </c>
      <c r="P143" s="89">
        <f t="shared" si="84"/>
        <v>73487.101050000012</v>
      </c>
      <c r="Q143" s="651">
        <v>524951.28</v>
      </c>
      <c r="R143" s="650">
        <v>3573304.5</v>
      </c>
      <c r="S143" s="89">
        <v>1766561.52</v>
      </c>
      <c r="T143" s="89">
        <f t="shared" si="88"/>
        <v>1641218.75685</v>
      </c>
      <c r="U143" s="89">
        <v>936413.08</v>
      </c>
      <c r="V143" s="89">
        <f t="shared" si="85"/>
        <v>164121.87568500001</v>
      </c>
      <c r="W143" s="347">
        <v>213594.93</v>
      </c>
      <c r="X143" s="256">
        <v>0.29670000000000002</v>
      </c>
      <c r="Y143" s="256">
        <v>0.45929999999999999</v>
      </c>
      <c r="Z143" s="648">
        <v>0.37509999999999999</v>
      </c>
      <c r="AA143" s="89">
        <f t="shared" si="74"/>
        <v>6050119.5</v>
      </c>
      <c r="AB143" s="89">
        <f t="shared" si="75"/>
        <v>3494929.6799999997</v>
      </c>
      <c r="AC143" s="257">
        <f t="shared" si="76"/>
        <v>0.37509999999999999</v>
      </c>
      <c r="AD143" s="90">
        <f t="shared" si="77"/>
        <v>2269399.8244499997</v>
      </c>
      <c r="AE143" s="89">
        <f t="shared" si="78"/>
        <v>1665204.91</v>
      </c>
      <c r="AF143" s="89">
        <f t="shared" si="79"/>
        <v>738546.21</v>
      </c>
      <c r="AG143" s="270">
        <f t="shared" si="80"/>
        <v>28.883145861829664</v>
      </c>
      <c r="AH143" s="271">
        <f t="shared" si="81"/>
        <v>44.025866893778499</v>
      </c>
      <c r="AI143" s="240">
        <f t="shared" si="82"/>
        <v>72.90901275560816</v>
      </c>
      <c r="AJ143" s="316">
        <v>44.699694441272918</v>
      </c>
      <c r="AK143" s="672">
        <f t="shared" si="86"/>
        <v>28.209318314335242</v>
      </c>
      <c r="AL143">
        <f t="shared" si="83"/>
        <v>131</v>
      </c>
    </row>
    <row r="144" spans="1:39" x14ac:dyDescent="0.2">
      <c r="A144" s="6">
        <v>133</v>
      </c>
      <c r="B144" s="199">
        <v>60468</v>
      </c>
      <c r="C144" s="680" t="s">
        <v>198</v>
      </c>
      <c r="D144" s="173" t="s">
        <v>136</v>
      </c>
      <c r="E144" s="173" t="s">
        <v>136</v>
      </c>
      <c r="F144" s="174" t="s">
        <v>113</v>
      </c>
      <c r="G144" s="179" t="s">
        <v>4</v>
      </c>
      <c r="H144" s="179" t="s">
        <v>294</v>
      </c>
      <c r="I144" s="182" t="s">
        <v>9</v>
      </c>
      <c r="J144" s="181" t="s">
        <v>136</v>
      </c>
      <c r="K144" s="200" t="b">
        <v>0</v>
      </c>
      <c r="L144" s="650">
        <v>2923275</v>
      </c>
      <c r="M144" s="89">
        <v>0</v>
      </c>
      <c r="N144" s="89">
        <f t="shared" si="87"/>
        <v>95006.4375</v>
      </c>
      <c r="O144" s="89">
        <v>87988.86</v>
      </c>
      <c r="P144" s="89">
        <f t="shared" si="84"/>
        <v>9500.6437500000011</v>
      </c>
      <c r="Q144" s="651">
        <v>70694.55</v>
      </c>
      <c r="R144" s="650">
        <v>2890875</v>
      </c>
      <c r="S144" s="89">
        <v>0</v>
      </c>
      <c r="T144" s="89">
        <f t="shared" si="88"/>
        <v>1160975.4000000001</v>
      </c>
      <c r="U144" s="89">
        <v>0</v>
      </c>
      <c r="V144" s="89">
        <f t="shared" si="85"/>
        <v>116097.54000000002</v>
      </c>
      <c r="W144" s="347">
        <v>0</v>
      </c>
      <c r="X144" s="256">
        <v>3.2500000000000001E-2</v>
      </c>
      <c r="Y144" s="256">
        <v>0.40160000000000001</v>
      </c>
      <c r="Z144" s="648">
        <v>0.19409999999999999</v>
      </c>
      <c r="AA144" s="89">
        <f t="shared" si="74"/>
        <v>5814150</v>
      </c>
      <c r="AB144" s="89">
        <f t="shared" si="75"/>
        <v>0</v>
      </c>
      <c r="AC144" s="257">
        <f t="shared" si="76"/>
        <v>0.19409999999999999</v>
      </c>
      <c r="AD144" s="90">
        <f t="shared" si="77"/>
        <v>1128526.5149999999</v>
      </c>
      <c r="AE144" s="89">
        <f t="shared" si="78"/>
        <v>87988.86</v>
      </c>
      <c r="AF144" s="89">
        <f t="shared" si="79"/>
        <v>70694.55</v>
      </c>
      <c r="AG144" s="270">
        <f t="shared" si="80"/>
        <v>0</v>
      </c>
      <c r="AH144" s="271">
        <f t="shared" si="81"/>
        <v>4.678074932071933</v>
      </c>
      <c r="AI144" s="240">
        <f t="shared" si="82"/>
        <v>4.678074932071933</v>
      </c>
      <c r="AJ144" s="316">
        <v>26.406905297583059</v>
      </c>
      <c r="AK144" s="672">
        <f t="shared" si="86"/>
        <v>-21.728830365511126</v>
      </c>
      <c r="AL144" t="str">
        <f t="shared" si="83"/>
        <v/>
      </c>
      <c r="AM144" t="str">
        <f t="shared" ref="AM144:AM186" si="89">IF($M143=AM$21,$A143,"")</f>
        <v/>
      </c>
    </row>
    <row r="145" spans="1:39" x14ac:dyDescent="0.2">
      <c r="A145" s="6">
        <v>134</v>
      </c>
      <c r="B145" s="199">
        <v>60469</v>
      </c>
      <c r="C145" s="680" t="s">
        <v>199</v>
      </c>
      <c r="D145" s="173" t="s">
        <v>136</v>
      </c>
      <c r="E145" s="173" t="s">
        <v>136</v>
      </c>
      <c r="F145" s="174" t="s">
        <v>113</v>
      </c>
      <c r="G145" s="179" t="s">
        <v>4</v>
      </c>
      <c r="H145" s="179" t="s">
        <v>294</v>
      </c>
      <c r="I145" s="180" t="s">
        <v>9</v>
      </c>
      <c r="J145" s="181" t="s">
        <v>136</v>
      </c>
      <c r="K145" s="200" t="b">
        <v>0</v>
      </c>
      <c r="L145" s="650">
        <v>1511592</v>
      </c>
      <c r="M145" s="89">
        <v>0</v>
      </c>
      <c r="N145" s="89">
        <f t="shared" si="87"/>
        <v>105660.28080000001</v>
      </c>
      <c r="O145" s="89">
        <v>73369.98</v>
      </c>
      <c r="P145" s="89">
        <f t="shared" si="84"/>
        <v>10566.028080000002</v>
      </c>
      <c r="Q145" s="651">
        <v>54891.72</v>
      </c>
      <c r="R145" s="650">
        <v>1410000</v>
      </c>
      <c r="S145" s="89">
        <v>14334.75</v>
      </c>
      <c r="T145" s="89">
        <f t="shared" si="88"/>
        <v>426102.00000000006</v>
      </c>
      <c r="U145" s="89">
        <v>13744.37</v>
      </c>
      <c r="V145" s="89">
        <f t="shared" si="85"/>
        <v>42610.200000000012</v>
      </c>
      <c r="W145" s="347">
        <v>3002.66</v>
      </c>
      <c r="X145" s="256">
        <v>6.9900000000000004E-2</v>
      </c>
      <c r="Y145" s="256">
        <v>0.30220000000000002</v>
      </c>
      <c r="Z145" s="648">
        <v>0.17460000000000001</v>
      </c>
      <c r="AA145" s="89">
        <f t="shared" si="74"/>
        <v>2921592</v>
      </c>
      <c r="AB145" s="89">
        <f t="shared" si="75"/>
        <v>14334.75</v>
      </c>
      <c r="AC145" s="257">
        <f t="shared" si="76"/>
        <v>0.17460000000000001</v>
      </c>
      <c r="AD145" s="90">
        <f t="shared" si="77"/>
        <v>510109.9632</v>
      </c>
      <c r="AE145" s="89">
        <f t="shared" si="78"/>
        <v>87114.349999999991</v>
      </c>
      <c r="AF145" s="89">
        <f t="shared" si="79"/>
        <v>57894.380000000005</v>
      </c>
      <c r="AG145" s="270">
        <f t="shared" si="80"/>
        <v>0.24532429579489537</v>
      </c>
      <c r="AH145" s="271">
        <f t="shared" si="81"/>
        <v>10.246537760625333</v>
      </c>
      <c r="AI145" s="240">
        <f t="shared" si="82"/>
        <v>10.49186205642023</v>
      </c>
      <c r="AJ145" s="316">
        <v>68.603139770834517</v>
      </c>
      <c r="AK145" s="672">
        <f t="shared" si="86"/>
        <v>-58.111277714414285</v>
      </c>
      <c r="AL145">
        <f t="shared" si="83"/>
        <v>133</v>
      </c>
      <c r="AM145">
        <f t="shared" si="89"/>
        <v>133</v>
      </c>
    </row>
    <row r="146" spans="1:39" x14ac:dyDescent="0.2">
      <c r="A146" s="6">
        <v>135</v>
      </c>
      <c r="B146" s="199">
        <v>60471</v>
      </c>
      <c r="C146" s="680" t="s">
        <v>200</v>
      </c>
      <c r="D146" s="173" t="s">
        <v>136</v>
      </c>
      <c r="E146" s="173" t="s">
        <v>136</v>
      </c>
      <c r="F146" s="174" t="s">
        <v>113</v>
      </c>
      <c r="G146" s="179" t="s">
        <v>4</v>
      </c>
      <c r="H146" s="179" t="s">
        <v>294</v>
      </c>
      <c r="I146" s="180" t="s">
        <v>9</v>
      </c>
      <c r="J146" s="181" t="s">
        <v>136</v>
      </c>
      <c r="K146" s="200" t="b">
        <v>0</v>
      </c>
      <c r="L146" s="650">
        <v>2406750</v>
      </c>
      <c r="M146" s="89">
        <v>1606339.83</v>
      </c>
      <c r="N146" s="89">
        <f t="shared" si="87"/>
        <v>94825.95</v>
      </c>
      <c r="O146" s="89">
        <v>96837.84</v>
      </c>
      <c r="P146" s="89">
        <f t="shared" si="84"/>
        <v>9482.5949999999993</v>
      </c>
      <c r="Q146" s="651">
        <v>68631.839999999997</v>
      </c>
      <c r="R146" s="650">
        <v>3216975</v>
      </c>
      <c r="S146" s="89">
        <v>508057.52</v>
      </c>
      <c r="T146" s="89">
        <f t="shared" si="88"/>
        <v>1272313.6125</v>
      </c>
      <c r="U146" s="89">
        <v>446497.78</v>
      </c>
      <c r="V146" s="89">
        <f t="shared" si="85"/>
        <v>127231.36125000002</v>
      </c>
      <c r="W146" s="347">
        <v>83087.62</v>
      </c>
      <c r="X146" s="256">
        <v>3.9399999999999998E-2</v>
      </c>
      <c r="Y146" s="256">
        <v>0.39550000000000002</v>
      </c>
      <c r="Z146" s="648">
        <v>0.24879999999999999</v>
      </c>
      <c r="AA146" s="89">
        <f t="shared" si="74"/>
        <v>5623725</v>
      </c>
      <c r="AB146" s="89">
        <f t="shared" si="75"/>
        <v>2114397.35</v>
      </c>
      <c r="AC146" s="257">
        <f t="shared" si="76"/>
        <v>0.24879999999999999</v>
      </c>
      <c r="AD146" s="90">
        <f t="shared" si="77"/>
        <v>1399182.78</v>
      </c>
      <c r="AE146" s="89">
        <f t="shared" si="78"/>
        <v>543335.62</v>
      </c>
      <c r="AF146" s="89">
        <f t="shared" si="79"/>
        <v>151719.46</v>
      </c>
      <c r="AG146" s="270">
        <f t="shared" si="80"/>
        <v>18.798904196062217</v>
      </c>
      <c r="AH146" s="271">
        <f t="shared" si="81"/>
        <v>23.299412818674053</v>
      </c>
      <c r="AI146" s="240">
        <f t="shared" si="82"/>
        <v>42.098317014736267</v>
      </c>
      <c r="AJ146" s="316">
        <v>5.7532980928896462</v>
      </c>
      <c r="AK146" s="672">
        <f t="shared" si="86"/>
        <v>36.345018921846624</v>
      </c>
      <c r="AL146">
        <f t="shared" si="83"/>
        <v>134</v>
      </c>
      <c r="AM146">
        <f t="shared" si="89"/>
        <v>134</v>
      </c>
    </row>
    <row r="147" spans="1:39" x14ac:dyDescent="0.2">
      <c r="A147" s="6">
        <v>136</v>
      </c>
      <c r="B147" s="199">
        <v>60472</v>
      </c>
      <c r="C147" s="680" t="s">
        <v>201</v>
      </c>
      <c r="D147" s="173" t="s">
        <v>136</v>
      </c>
      <c r="E147" s="173" t="s">
        <v>136</v>
      </c>
      <c r="F147" s="174" t="s">
        <v>113</v>
      </c>
      <c r="G147" s="179" t="s">
        <v>4</v>
      </c>
      <c r="H147" s="179" t="s">
        <v>294</v>
      </c>
      <c r="I147" s="180" t="s">
        <v>9</v>
      </c>
      <c r="J147" s="181" t="s">
        <v>136</v>
      </c>
      <c r="K147" s="200" t="b">
        <v>0</v>
      </c>
      <c r="L147" s="650">
        <v>1620750</v>
      </c>
      <c r="M147" s="89">
        <v>1143567.19</v>
      </c>
      <c r="N147" s="89">
        <f t="shared" si="87"/>
        <v>58833.224999999999</v>
      </c>
      <c r="O147" s="89">
        <v>53602.02</v>
      </c>
      <c r="P147" s="89">
        <f t="shared" si="84"/>
        <v>5883.3225000000002</v>
      </c>
      <c r="Q147" s="651">
        <v>52448.22</v>
      </c>
      <c r="R147" s="650">
        <v>692250</v>
      </c>
      <c r="S147" s="89">
        <v>112023.47</v>
      </c>
      <c r="T147" s="89">
        <f t="shared" si="88"/>
        <v>149802.9</v>
      </c>
      <c r="U147" s="89">
        <v>109184.23</v>
      </c>
      <c r="V147" s="89">
        <f t="shared" si="85"/>
        <v>14980.29</v>
      </c>
      <c r="W147" s="347">
        <v>20877.46</v>
      </c>
      <c r="X147" s="256">
        <v>3.6299999999999999E-2</v>
      </c>
      <c r="Y147" s="256">
        <v>0.21640000000000001</v>
      </c>
      <c r="Z147" s="648">
        <v>0.10349999999999999</v>
      </c>
      <c r="AA147" s="89">
        <f t="shared" si="74"/>
        <v>2313000</v>
      </c>
      <c r="AB147" s="89">
        <f t="shared" si="75"/>
        <v>1255590.6599999999</v>
      </c>
      <c r="AC147" s="257">
        <f t="shared" si="76"/>
        <v>0.10349999999999999</v>
      </c>
      <c r="AD147" s="90">
        <f t="shared" si="77"/>
        <v>239395.5</v>
      </c>
      <c r="AE147" s="89">
        <f t="shared" si="78"/>
        <v>162786.25</v>
      </c>
      <c r="AF147" s="89">
        <f t="shared" si="79"/>
        <v>73325.679999999993</v>
      </c>
      <c r="AG147" s="270">
        <f t="shared" si="80"/>
        <v>27.142037613488974</v>
      </c>
      <c r="AH147" s="271">
        <f t="shared" si="81"/>
        <v>40.799325801863446</v>
      </c>
      <c r="AI147" s="240">
        <f t="shared" si="82"/>
        <v>67.941363415352413</v>
      </c>
      <c r="AJ147" s="316">
        <v>17.002779076226158</v>
      </c>
      <c r="AK147" s="672">
        <f t="shared" si="86"/>
        <v>50.938584339126251</v>
      </c>
      <c r="AL147" t="str">
        <f t="shared" si="83"/>
        <v/>
      </c>
      <c r="AM147" t="str">
        <f t="shared" si="89"/>
        <v/>
      </c>
    </row>
    <row r="148" spans="1:39" x14ac:dyDescent="0.2">
      <c r="A148" s="6">
        <v>137</v>
      </c>
      <c r="B148" s="199">
        <v>60473</v>
      </c>
      <c r="C148" s="680" t="s">
        <v>202</v>
      </c>
      <c r="D148" s="173" t="s">
        <v>136</v>
      </c>
      <c r="E148" s="173" t="s">
        <v>136</v>
      </c>
      <c r="F148" s="174" t="s">
        <v>113</v>
      </c>
      <c r="G148" s="179" t="s">
        <v>4</v>
      </c>
      <c r="H148" s="179" t="s">
        <v>294</v>
      </c>
      <c r="I148" s="180" t="s">
        <v>9</v>
      </c>
      <c r="J148" s="181" t="s">
        <v>136</v>
      </c>
      <c r="K148" s="200" t="b">
        <v>0</v>
      </c>
      <c r="L148" s="650">
        <v>3349875</v>
      </c>
      <c r="M148" s="89">
        <v>3258495.7</v>
      </c>
      <c r="N148" s="89">
        <f t="shared" si="87"/>
        <v>207357.26249999998</v>
      </c>
      <c r="O148" s="89">
        <v>1053059.82</v>
      </c>
      <c r="P148" s="89">
        <f t="shared" si="84"/>
        <v>20735.72625</v>
      </c>
      <c r="Q148" s="651">
        <v>138142.57</v>
      </c>
      <c r="R148" s="650">
        <v>3693750</v>
      </c>
      <c r="S148" s="89">
        <v>1767317.3</v>
      </c>
      <c r="T148" s="89">
        <f t="shared" si="88"/>
        <v>1934416.8750000002</v>
      </c>
      <c r="U148" s="89">
        <v>1177029.3799999999</v>
      </c>
      <c r="V148" s="89">
        <f t="shared" si="85"/>
        <v>193441.68750000003</v>
      </c>
      <c r="W148" s="347">
        <v>286593.53999999998</v>
      </c>
      <c r="X148" s="256">
        <v>6.1899999999999997E-2</v>
      </c>
      <c r="Y148" s="256">
        <v>0.52370000000000005</v>
      </c>
      <c r="Z148" s="648">
        <v>0.30020000000000002</v>
      </c>
      <c r="AA148" s="89">
        <f t="shared" si="74"/>
        <v>7043625</v>
      </c>
      <c r="AB148" s="89">
        <f t="shared" si="75"/>
        <v>5025813</v>
      </c>
      <c r="AC148" s="257">
        <f t="shared" si="76"/>
        <v>0.30020000000000002</v>
      </c>
      <c r="AD148" s="90">
        <f t="shared" si="77"/>
        <v>2114496.2250000001</v>
      </c>
      <c r="AE148" s="89">
        <f t="shared" si="78"/>
        <v>2230089.2000000002</v>
      </c>
      <c r="AF148" s="89">
        <f t="shared" si="79"/>
        <v>424736.11</v>
      </c>
      <c r="AG148" s="270">
        <f t="shared" si="80"/>
        <v>35.676324335835595</v>
      </c>
      <c r="AH148" s="271">
        <f t="shared" si="81"/>
        <v>60</v>
      </c>
      <c r="AI148" s="240">
        <f t="shared" si="82"/>
        <v>95.676324335835602</v>
      </c>
      <c r="AJ148" s="316">
        <v>10.291071597010484</v>
      </c>
      <c r="AK148" s="672">
        <f t="shared" si="86"/>
        <v>85.385252738825116</v>
      </c>
      <c r="AL148" t="str">
        <f t="shared" si="83"/>
        <v/>
      </c>
      <c r="AM148" t="str">
        <f t="shared" si="89"/>
        <v/>
      </c>
    </row>
    <row r="149" spans="1:39" x14ac:dyDescent="0.2">
      <c r="A149" s="6">
        <v>138</v>
      </c>
      <c r="B149" s="199">
        <v>60474</v>
      </c>
      <c r="C149" s="680" t="s">
        <v>203</v>
      </c>
      <c r="D149" s="173" t="s">
        <v>136</v>
      </c>
      <c r="E149" s="173" t="s">
        <v>136</v>
      </c>
      <c r="F149" s="174" t="s">
        <v>113</v>
      </c>
      <c r="G149" s="179" t="s">
        <v>4</v>
      </c>
      <c r="H149" s="179" t="s">
        <v>294</v>
      </c>
      <c r="I149" s="182" t="s">
        <v>9</v>
      </c>
      <c r="J149" s="181" t="s">
        <v>136</v>
      </c>
      <c r="K149" s="200" t="b">
        <v>0</v>
      </c>
      <c r="L149" s="650">
        <v>2685375</v>
      </c>
      <c r="M149" s="89">
        <v>0</v>
      </c>
      <c r="N149" s="89">
        <f t="shared" si="87"/>
        <v>69014.137499999997</v>
      </c>
      <c r="O149" s="89">
        <v>58524.66</v>
      </c>
      <c r="P149" s="89">
        <f t="shared" si="84"/>
        <v>6901.4137499999997</v>
      </c>
      <c r="Q149" s="651">
        <v>44470.53</v>
      </c>
      <c r="R149" s="650">
        <v>2254275</v>
      </c>
      <c r="S149" s="89">
        <v>6816.3</v>
      </c>
      <c r="T149" s="89">
        <f t="shared" si="88"/>
        <v>897426.87750000006</v>
      </c>
      <c r="U149" s="89">
        <v>6816.3</v>
      </c>
      <c r="V149" s="89">
        <f t="shared" si="85"/>
        <v>89742.687750000012</v>
      </c>
      <c r="W149" s="347">
        <v>1336.17</v>
      </c>
      <c r="X149" s="256">
        <v>2.5700000000000001E-2</v>
      </c>
      <c r="Y149" s="256">
        <v>0.39810000000000001</v>
      </c>
      <c r="Z149" s="648">
        <v>0.1978</v>
      </c>
      <c r="AA149" s="89">
        <f t="shared" si="74"/>
        <v>4939650</v>
      </c>
      <c r="AB149" s="89">
        <f t="shared" si="75"/>
        <v>6816.3</v>
      </c>
      <c r="AC149" s="257">
        <f t="shared" si="76"/>
        <v>0.1978</v>
      </c>
      <c r="AD149" s="90">
        <f t="shared" si="77"/>
        <v>977062.77</v>
      </c>
      <c r="AE149" s="89">
        <f t="shared" si="78"/>
        <v>65340.960000000006</v>
      </c>
      <c r="AF149" s="89">
        <f t="shared" si="79"/>
        <v>45806.7</v>
      </c>
      <c r="AG149" s="270">
        <f t="shared" si="80"/>
        <v>6.899577905317178E-2</v>
      </c>
      <c r="AH149" s="271">
        <f t="shared" si="81"/>
        <v>4.0124930765707107</v>
      </c>
      <c r="AI149" s="240">
        <f t="shared" si="82"/>
        <v>4.0814888556238822</v>
      </c>
      <c r="AJ149" s="316">
        <v>80.062663837519779</v>
      </c>
      <c r="AK149" s="672">
        <f t="shared" si="86"/>
        <v>-75.98117498189589</v>
      </c>
      <c r="AL149" t="str">
        <f t="shared" si="83"/>
        <v/>
      </c>
      <c r="AM149" t="str">
        <f t="shared" si="89"/>
        <v/>
      </c>
    </row>
    <row r="150" spans="1:39" x14ac:dyDescent="0.2">
      <c r="A150" s="6">
        <v>139</v>
      </c>
      <c r="B150" s="199">
        <v>60500</v>
      </c>
      <c r="C150" s="680" t="s">
        <v>443</v>
      </c>
      <c r="D150" s="173" t="s">
        <v>136</v>
      </c>
      <c r="E150" s="173" t="s">
        <v>136</v>
      </c>
      <c r="F150" s="174" t="s">
        <v>113</v>
      </c>
      <c r="G150" s="179" t="s">
        <v>4</v>
      </c>
      <c r="H150" s="179" t="s">
        <v>294</v>
      </c>
      <c r="I150" s="180" t="s">
        <v>10</v>
      </c>
      <c r="J150" s="181" t="s">
        <v>136</v>
      </c>
      <c r="K150" s="200" t="b">
        <v>0</v>
      </c>
      <c r="L150" s="650">
        <v>1858500</v>
      </c>
      <c r="M150" s="89">
        <v>1804630.16</v>
      </c>
      <c r="N150" s="89">
        <f t="shared" si="87"/>
        <v>60029.55</v>
      </c>
      <c r="O150" s="89">
        <v>28298.34</v>
      </c>
      <c r="P150" s="89">
        <f t="shared" si="84"/>
        <v>6002.9550000000008</v>
      </c>
      <c r="Q150" s="651">
        <v>28500.57</v>
      </c>
      <c r="R150" s="650">
        <v>3066000</v>
      </c>
      <c r="S150" s="89">
        <v>189816.22</v>
      </c>
      <c r="T150" s="89">
        <f t="shared" si="88"/>
        <v>1221801</v>
      </c>
      <c r="U150" s="89">
        <v>189816.22</v>
      </c>
      <c r="V150" s="89">
        <f t="shared" si="85"/>
        <v>122180.1</v>
      </c>
      <c r="W150" s="347">
        <v>66180.44</v>
      </c>
      <c r="X150" s="256">
        <v>3.2300000000000002E-2</v>
      </c>
      <c r="Y150" s="256">
        <v>0.39850000000000002</v>
      </c>
      <c r="Z150" s="648">
        <v>0.1893</v>
      </c>
      <c r="AA150" s="89">
        <f t="shared" si="74"/>
        <v>4924500</v>
      </c>
      <c r="AB150" s="89">
        <f t="shared" si="75"/>
        <v>1994446.38</v>
      </c>
      <c r="AC150" s="257">
        <f t="shared" si="76"/>
        <v>0.1893</v>
      </c>
      <c r="AD150" s="90">
        <f t="shared" si="77"/>
        <v>932207.85</v>
      </c>
      <c r="AE150" s="89">
        <f t="shared" si="78"/>
        <v>218114.56</v>
      </c>
      <c r="AF150" s="89">
        <f t="shared" si="79"/>
        <v>94681.010000000009</v>
      </c>
      <c r="AG150" s="270">
        <f t="shared" si="80"/>
        <v>20.250242461163566</v>
      </c>
      <c r="AH150" s="271">
        <f t="shared" si="81"/>
        <v>14.03857905723493</v>
      </c>
      <c r="AI150" s="240">
        <f t="shared" si="82"/>
        <v>34.288821518398493</v>
      </c>
      <c r="AJ150" s="316">
        <v>100</v>
      </c>
      <c r="AK150" s="672">
        <f t="shared" si="86"/>
        <v>-65.711178481601507</v>
      </c>
      <c r="AL150">
        <f t="shared" si="83"/>
        <v>138</v>
      </c>
      <c r="AM150">
        <f t="shared" si="89"/>
        <v>138</v>
      </c>
    </row>
    <row r="151" spans="1:39" x14ac:dyDescent="0.2">
      <c r="A151" s="6">
        <v>140</v>
      </c>
      <c r="B151" s="199">
        <v>60501</v>
      </c>
      <c r="C151" s="680" t="s">
        <v>432</v>
      </c>
      <c r="D151" s="173" t="s">
        <v>136</v>
      </c>
      <c r="E151" s="173" t="s">
        <v>136</v>
      </c>
      <c r="F151" s="175" t="s">
        <v>113</v>
      </c>
      <c r="G151" s="179" t="s">
        <v>4</v>
      </c>
      <c r="H151" s="179" t="s">
        <v>294</v>
      </c>
      <c r="I151" s="182" t="s">
        <v>10</v>
      </c>
      <c r="J151" s="181" t="s">
        <v>136</v>
      </c>
      <c r="K151" s="200" t="b">
        <v>0</v>
      </c>
      <c r="L151" s="650">
        <v>1569000</v>
      </c>
      <c r="M151" s="89">
        <v>0</v>
      </c>
      <c r="N151" s="89">
        <f t="shared" si="87"/>
        <v>111085.2</v>
      </c>
      <c r="O151" s="89">
        <v>99733.5</v>
      </c>
      <c r="P151" s="89">
        <f t="shared" si="84"/>
        <v>11108.52</v>
      </c>
      <c r="Q151" s="651">
        <v>65929.59</v>
      </c>
      <c r="R151" s="650">
        <v>2706750</v>
      </c>
      <c r="S151" s="89">
        <v>597745.62</v>
      </c>
      <c r="T151" s="89">
        <f t="shared" si="88"/>
        <v>1270277.7749999999</v>
      </c>
      <c r="U151" s="89">
        <v>484907.95</v>
      </c>
      <c r="V151" s="89">
        <f t="shared" si="85"/>
        <v>127027.7775</v>
      </c>
      <c r="W151" s="347">
        <v>42818.01</v>
      </c>
      <c r="X151" s="256">
        <v>7.0800000000000002E-2</v>
      </c>
      <c r="Y151" s="256">
        <v>0.46929999999999999</v>
      </c>
      <c r="Z151" s="648">
        <v>0.32400000000000001</v>
      </c>
      <c r="AA151" s="89">
        <f t="shared" si="74"/>
        <v>4275750</v>
      </c>
      <c r="AB151" s="89">
        <f t="shared" si="75"/>
        <v>597745.62</v>
      </c>
      <c r="AC151" s="257">
        <f t="shared" si="76"/>
        <v>0.32400000000000001</v>
      </c>
      <c r="AD151" s="90">
        <f t="shared" si="77"/>
        <v>1385343</v>
      </c>
      <c r="AE151" s="89">
        <f t="shared" si="78"/>
        <v>584641.44999999995</v>
      </c>
      <c r="AF151" s="89">
        <f t="shared" si="79"/>
        <v>108747.6</v>
      </c>
      <c r="AG151" s="270">
        <f t="shared" si="80"/>
        <v>6.9899505349938611</v>
      </c>
      <c r="AH151" s="271">
        <f t="shared" si="81"/>
        <v>25.32115656555813</v>
      </c>
      <c r="AI151" s="240">
        <f t="shared" si="82"/>
        <v>32.311107100551993</v>
      </c>
      <c r="AJ151" s="316">
        <v>8.0045180392836812</v>
      </c>
      <c r="AK151" s="672">
        <f t="shared" si="86"/>
        <v>24.306589061268312</v>
      </c>
      <c r="AL151" t="str">
        <f t="shared" si="83"/>
        <v/>
      </c>
      <c r="AM151" t="str">
        <f t="shared" si="89"/>
        <v/>
      </c>
    </row>
    <row r="152" spans="1:39" x14ac:dyDescent="0.2">
      <c r="A152" s="6">
        <v>141</v>
      </c>
      <c r="B152" s="199">
        <v>60470</v>
      </c>
      <c r="C152" s="680" t="s">
        <v>204</v>
      </c>
      <c r="D152" s="173" t="s">
        <v>136</v>
      </c>
      <c r="E152" s="173" t="s">
        <v>136</v>
      </c>
      <c r="F152" s="174" t="s">
        <v>113</v>
      </c>
      <c r="G152" s="179" t="s">
        <v>4</v>
      </c>
      <c r="H152" s="179" t="s">
        <v>294</v>
      </c>
      <c r="I152" s="180" t="s">
        <v>8</v>
      </c>
      <c r="J152" s="181" t="s">
        <v>136</v>
      </c>
      <c r="K152" s="200" t="b">
        <v>0</v>
      </c>
      <c r="L152" s="650">
        <v>572250</v>
      </c>
      <c r="M152" s="89">
        <v>0</v>
      </c>
      <c r="N152" s="89">
        <f t="shared" si="87"/>
        <v>14363.475</v>
      </c>
      <c r="O152" s="89">
        <v>18293.400000000001</v>
      </c>
      <c r="P152" s="89">
        <f t="shared" si="84"/>
        <v>1436.3475000000001</v>
      </c>
      <c r="Q152" s="651">
        <v>20706.57</v>
      </c>
      <c r="R152" s="650">
        <v>169500</v>
      </c>
      <c r="S152" s="89">
        <v>23994</v>
      </c>
      <c r="T152" s="89">
        <f t="shared" si="88"/>
        <v>16424.55</v>
      </c>
      <c r="U152" s="89">
        <v>23994</v>
      </c>
      <c r="V152" s="89">
        <f t="shared" si="85"/>
        <v>1642.4549999999999</v>
      </c>
      <c r="W152" s="347">
        <v>4756.59</v>
      </c>
      <c r="X152" s="256">
        <v>2.5100000000000001E-2</v>
      </c>
      <c r="Y152" s="256">
        <v>9.69E-2</v>
      </c>
      <c r="Z152" s="648">
        <v>5.6599999999999998E-2</v>
      </c>
      <c r="AA152" s="89">
        <f t="shared" si="74"/>
        <v>741750</v>
      </c>
      <c r="AB152" s="89">
        <f t="shared" si="75"/>
        <v>23994</v>
      </c>
      <c r="AC152" s="257">
        <f t="shared" si="76"/>
        <v>5.6599999999999998E-2</v>
      </c>
      <c r="AD152" s="90">
        <f t="shared" si="77"/>
        <v>41983.049999999996</v>
      </c>
      <c r="AE152" s="89">
        <f t="shared" si="78"/>
        <v>42287.4</v>
      </c>
      <c r="AF152" s="89">
        <f t="shared" si="79"/>
        <v>25463.16</v>
      </c>
      <c r="AG152" s="270">
        <f t="shared" si="80"/>
        <v>1.6173913043478261</v>
      </c>
      <c r="AH152" s="271">
        <f t="shared" si="81"/>
        <v>60</v>
      </c>
      <c r="AI152" s="240">
        <f t="shared" si="82"/>
        <v>61.617391304347827</v>
      </c>
      <c r="AJ152" s="316">
        <v>23.922940625128859</v>
      </c>
      <c r="AK152" s="672">
        <f t="shared" si="86"/>
        <v>37.694450679218967</v>
      </c>
      <c r="AL152">
        <f t="shared" si="83"/>
        <v>140</v>
      </c>
      <c r="AM152">
        <f t="shared" si="89"/>
        <v>140</v>
      </c>
    </row>
    <row r="153" spans="1:39" x14ac:dyDescent="0.2">
      <c r="A153" s="6">
        <v>142</v>
      </c>
      <c r="B153" s="199">
        <v>60482</v>
      </c>
      <c r="C153" s="680" t="s">
        <v>205</v>
      </c>
      <c r="D153" s="173" t="s">
        <v>136</v>
      </c>
      <c r="E153" s="173" t="s">
        <v>136</v>
      </c>
      <c r="F153" s="174" t="s">
        <v>113</v>
      </c>
      <c r="G153" s="179" t="s">
        <v>4</v>
      </c>
      <c r="H153" s="179" t="s">
        <v>294</v>
      </c>
      <c r="I153" s="180" t="s">
        <v>9</v>
      </c>
      <c r="J153" s="181" t="s">
        <v>136</v>
      </c>
      <c r="K153" s="200" t="b">
        <v>0</v>
      </c>
      <c r="L153" s="650">
        <v>2896500</v>
      </c>
      <c r="M153" s="89">
        <v>0</v>
      </c>
      <c r="N153" s="89">
        <f t="shared" si="87"/>
        <v>146562.9</v>
      </c>
      <c r="O153" s="89">
        <v>1460635.85</v>
      </c>
      <c r="P153" s="89">
        <f t="shared" si="84"/>
        <v>14656.29</v>
      </c>
      <c r="Q153" s="651">
        <v>617243.9</v>
      </c>
      <c r="R153" s="650">
        <v>2485500</v>
      </c>
      <c r="S153" s="89">
        <v>339914.25</v>
      </c>
      <c r="T153" s="89">
        <f t="shared" si="88"/>
        <v>1040927.4</v>
      </c>
      <c r="U153" s="89">
        <v>265895.38</v>
      </c>
      <c r="V153" s="89">
        <f t="shared" si="85"/>
        <v>104092.74</v>
      </c>
      <c r="W153" s="347">
        <v>30280.46</v>
      </c>
      <c r="X153" s="256">
        <v>5.0599999999999999E-2</v>
      </c>
      <c r="Y153" s="256">
        <v>0.41880000000000001</v>
      </c>
      <c r="Z153" s="648">
        <v>0.20780000000000001</v>
      </c>
      <c r="AA153" s="89">
        <f t="shared" si="74"/>
        <v>5382000</v>
      </c>
      <c r="AB153" s="89">
        <f t="shared" si="75"/>
        <v>339914.25</v>
      </c>
      <c r="AC153" s="257">
        <f t="shared" si="76"/>
        <v>0.20780000000000001</v>
      </c>
      <c r="AD153" s="90">
        <f t="shared" si="77"/>
        <v>1118379.6000000001</v>
      </c>
      <c r="AE153" s="89">
        <f t="shared" si="78"/>
        <v>1726531.23</v>
      </c>
      <c r="AF153" s="89">
        <f t="shared" si="79"/>
        <v>647524.36</v>
      </c>
      <c r="AG153" s="270">
        <f t="shared" si="80"/>
        <v>3.157880434782609</v>
      </c>
      <c r="AH153" s="271">
        <f t="shared" si="81"/>
        <v>60</v>
      </c>
      <c r="AI153" s="240">
        <f t="shared" si="82"/>
        <v>63.157880434782612</v>
      </c>
      <c r="AJ153" s="316">
        <v>31.655765219270194</v>
      </c>
      <c r="AK153" s="672">
        <f t="shared" si="86"/>
        <v>31.502115215512418</v>
      </c>
      <c r="AL153">
        <f t="shared" si="83"/>
        <v>141</v>
      </c>
      <c r="AM153">
        <f t="shared" si="89"/>
        <v>141</v>
      </c>
    </row>
    <row r="154" spans="1:39" x14ac:dyDescent="0.2">
      <c r="A154" s="6">
        <v>143</v>
      </c>
      <c r="B154" s="199">
        <v>60483</v>
      </c>
      <c r="C154" s="680" t="s">
        <v>206</v>
      </c>
      <c r="D154" s="173" t="s">
        <v>136</v>
      </c>
      <c r="E154" s="173" t="s">
        <v>136</v>
      </c>
      <c r="F154" s="174" t="s">
        <v>113</v>
      </c>
      <c r="G154" s="179" t="s">
        <v>4</v>
      </c>
      <c r="H154" s="179" t="s">
        <v>294</v>
      </c>
      <c r="I154" s="182" t="s">
        <v>34</v>
      </c>
      <c r="J154" s="181" t="s">
        <v>136</v>
      </c>
      <c r="K154" s="200" t="b">
        <v>0</v>
      </c>
      <c r="L154" s="650">
        <v>1808700</v>
      </c>
      <c r="M154" s="89">
        <v>0</v>
      </c>
      <c r="N154" s="89">
        <f t="shared" si="87"/>
        <v>147589.92000000001</v>
      </c>
      <c r="O154" s="89">
        <v>131905.53</v>
      </c>
      <c r="P154" s="89">
        <f t="shared" si="84"/>
        <v>14758.992000000002</v>
      </c>
      <c r="Q154" s="651">
        <v>96623.37</v>
      </c>
      <c r="R154" s="650">
        <v>1755300</v>
      </c>
      <c r="S154" s="89">
        <v>0</v>
      </c>
      <c r="T154" s="89">
        <f t="shared" si="88"/>
        <v>786725.46</v>
      </c>
      <c r="U154" s="89">
        <v>0</v>
      </c>
      <c r="V154" s="89">
        <f t="shared" si="85"/>
        <v>78672.546000000002</v>
      </c>
      <c r="W154" s="347">
        <v>0</v>
      </c>
      <c r="X154" s="256">
        <v>8.1600000000000006E-2</v>
      </c>
      <c r="Y154" s="256">
        <v>0.44819999999999999</v>
      </c>
      <c r="Z154" s="648">
        <v>0.26419999999999999</v>
      </c>
      <c r="AA154" s="89">
        <f t="shared" si="74"/>
        <v>3564000</v>
      </c>
      <c r="AB154" s="89">
        <f t="shared" si="75"/>
        <v>0</v>
      </c>
      <c r="AC154" s="257">
        <f t="shared" si="76"/>
        <v>0.26419999999999999</v>
      </c>
      <c r="AD154" s="90">
        <f t="shared" si="77"/>
        <v>941608.79999999993</v>
      </c>
      <c r="AE154" s="89">
        <f t="shared" si="78"/>
        <v>131905.53</v>
      </c>
      <c r="AF154" s="89">
        <f t="shared" si="79"/>
        <v>96623.37</v>
      </c>
      <c r="AG154" s="270">
        <f t="shared" si="80"/>
        <v>0</v>
      </c>
      <c r="AH154" s="271">
        <f t="shared" si="81"/>
        <v>8.4051166471681231</v>
      </c>
      <c r="AI154" s="240">
        <f t="shared" si="82"/>
        <v>8.4051166471681231</v>
      </c>
      <c r="AJ154" s="316">
        <v>10.956953281924815</v>
      </c>
      <c r="AK154" s="672">
        <f t="shared" si="86"/>
        <v>-2.5518366347566914</v>
      </c>
      <c r="AL154">
        <f t="shared" si="83"/>
        <v>142</v>
      </c>
      <c r="AM154">
        <f t="shared" si="89"/>
        <v>142</v>
      </c>
    </row>
    <row r="155" spans="1:39" x14ac:dyDescent="0.2">
      <c r="A155" s="6">
        <v>144</v>
      </c>
      <c r="B155" s="199">
        <v>60484</v>
      </c>
      <c r="C155" s="680" t="s">
        <v>207</v>
      </c>
      <c r="D155" s="173" t="s">
        <v>136</v>
      </c>
      <c r="E155" s="173" t="s">
        <v>136</v>
      </c>
      <c r="F155" s="174" t="s">
        <v>113</v>
      </c>
      <c r="G155" s="179" t="s">
        <v>4</v>
      </c>
      <c r="H155" s="179" t="s">
        <v>294</v>
      </c>
      <c r="I155" s="180" t="s">
        <v>9</v>
      </c>
      <c r="J155" s="181" t="s">
        <v>136</v>
      </c>
      <c r="K155" s="200" t="b">
        <v>0</v>
      </c>
      <c r="L155" s="650">
        <v>1513527.75</v>
      </c>
      <c r="M155" s="89">
        <v>0</v>
      </c>
      <c r="N155" s="89">
        <f t="shared" si="87"/>
        <v>48735.593549999998</v>
      </c>
      <c r="O155" s="89">
        <v>37013.760000000002</v>
      </c>
      <c r="P155" s="89">
        <f t="shared" si="84"/>
        <v>4873.5593550000003</v>
      </c>
      <c r="Q155" s="651">
        <v>78140.160000000003</v>
      </c>
      <c r="R155" s="650">
        <v>608850</v>
      </c>
      <c r="S155" s="89">
        <v>8992.32</v>
      </c>
      <c r="T155" s="89">
        <f t="shared" si="88"/>
        <v>84691.035000000003</v>
      </c>
      <c r="U155" s="89">
        <v>8992.32</v>
      </c>
      <c r="V155" s="89">
        <f t="shared" si="85"/>
        <v>8469.1035000000011</v>
      </c>
      <c r="W155" s="347">
        <v>1787.08</v>
      </c>
      <c r="X155" s="256">
        <v>3.2199999999999999E-2</v>
      </c>
      <c r="Y155" s="256">
        <v>0.1391</v>
      </c>
      <c r="Z155" s="648">
        <v>6.9000000000000006E-2</v>
      </c>
      <c r="AA155" s="89">
        <f t="shared" si="74"/>
        <v>2122377.75</v>
      </c>
      <c r="AB155" s="89">
        <f t="shared" si="75"/>
        <v>8992.32</v>
      </c>
      <c r="AC155" s="257">
        <f t="shared" si="76"/>
        <v>6.9000000000000006E-2</v>
      </c>
      <c r="AD155" s="90">
        <f t="shared" si="77"/>
        <v>146444.06475000002</v>
      </c>
      <c r="AE155" s="89">
        <f t="shared" si="78"/>
        <v>46006.080000000002</v>
      </c>
      <c r="AF155" s="89">
        <f t="shared" si="79"/>
        <v>79927.240000000005</v>
      </c>
      <c r="AG155" s="270">
        <f t="shared" si="80"/>
        <v>0.21184541724488015</v>
      </c>
      <c r="AH155" s="271">
        <f t="shared" si="81"/>
        <v>18.84927739961547</v>
      </c>
      <c r="AI155" s="240">
        <f t="shared" si="82"/>
        <v>19.061122816860351</v>
      </c>
      <c r="AJ155" s="316">
        <v>22.478311904747351</v>
      </c>
      <c r="AK155" s="672">
        <f t="shared" si="86"/>
        <v>-3.4171890878869995</v>
      </c>
      <c r="AL155">
        <f t="shared" si="83"/>
        <v>143</v>
      </c>
      <c r="AM155">
        <f t="shared" si="89"/>
        <v>143</v>
      </c>
    </row>
    <row r="156" spans="1:39" x14ac:dyDescent="0.2">
      <c r="A156" s="6">
        <v>145</v>
      </c>
      <c r="B156" s="199">
        <v>60485</v>
      </c>
      <c r="C156" s="680" t="s">
        <v>208</v>
      </c>
      <c r="D156" s="173" t="s">
        <v>136</v>
      </c>
      <c r="E156" s="173" t="s">
        <v>136</v>
      </c>
      <c r="F156" s="175" t="s">
        <v>113</v>
      </c>
      <c r="G156" s="179" t="s">
        <v>4</v>
      </c>
      <c r="H156" s="179" t="s">
        <v>294</v>
      </c>
      <c r="I156" s="182" t="s">
        <v>9</v>
      </c>
      <c r="J156" s="181" t="s">
        <v>136</v>
      </c>
      <c r="K156" s="200" t="b">
        <v>0</v>
      </c>
      <c r="L156" s="650">
        <v>1769181</v>
      </c>
      <c r="M156" s="89">
        <v>0</v>
      </c>
      <c r="N156" s="89">
        <f t="shared" si="87"/>
        <v>75897.8649</v>
      </c>
      <c r="O156" s="89">
        <v>28762.2</v>
      </c>
      <c r="P156" s="89">
        <f t="shared" si="84"/>
        <v>7589.7864900000004</v>
      </c>
      <c r="Q156" s="651">
        <v>19112.310000000001</v>
      </c>
      <c r="R156" s="650">
        <v>1215348</v>
      </c>
      <c r="S156" s="89">
        <v>727408.93</v>
      </c>
      <c r="T156" s="89">
        <f t="shared" si="88"/>
        <v>352086.31560000003</v>
      </c>
      <c r="U156" s="89">
        <v>232581.82</v>
      </c>
      <c r="V156" s="89">
        <f t="shared" si="85"/>
        <v>35208.631560000002</v>
      </c>
      <c r="W156" s="347">
        <v>49498.94</v>
      </c>
      <c r="X156" s="256">
        <v>4.2900000000000001E-2</v>
      </c>
      <c r="Y156" s="256">
        <v>0.28970000000000001</v>
      </c>
      <c r="Z156" s="648">
        <v>0.15709999999999999</v>
      </c>
      <c r="AA156" s="89">
        <f t="shared" si="74"/>
        <v>2984529</v>
      </c>
      <c r="AB156" s="89">
        <f t="shared" si="75"/>
        <v>727408.93</v>
      </c>
      <c r="AC156" s="257">
        <f t="shared" si="76"/>
        <v>0.15709999999999999</v>
      </c>
      <c r="AD156" s="90">
        <f t="shared" si="77"/>
        <v>468869.50589999999</v>
      </c>
      <c r="AE156" s="89">
        <f t="shared" si="78"/>
        <v>261344.02000000002</v>
      </c>
      <c r="AF156" s="89">
        <f t="shared" si="79"/>
        <v>68611.25</v>
      </c>
      <c r="AG156" s="270">
        <f t="shared" si="80"/>
        <v>12.186327055290802</v>
      </c>
      <c r="AH156" s="271">
        <f t="shared" si="81"/>
        <v>33.443508274015059</v>
      </c>
      <c r="AI156" s="240">
        <f t="shared" si="82"/>
        <v>45.629835329305863</v>
      </c>
      <c r="AJ156" s="316">
        <v>3.5208625559093703</v>
      </c>
      <c r="AK156" s="672">
        <f t="shared" si="86"/>
        <v>42.108972773396495</v>
      </c>
      <c r="AL156">
        <f t="shared" si="83"/>
        <v>144</v>
      </c>
      <c r="AM156">
        <f t="shared" si="89"/>
        <v>144</v>
      </c>
    </row>
    <row r="157" spans="1:39" x14ac:dyDescent="0.2">
      <c r="A157" s="6">
        <v>146</v>
      </c>
      <c r="B157" s="199">
        <v>60487</v>
      </c>
      <c r="C157" s="680" t="s">
        <v>209</v>
      </c>
      <c r="D157" s="173" t="s">
        <v>136</v>
      </c>
      <c r="E157" s="173" t="s">
        <v>136</v>
      </c>
      <c r="F157" s="174" t="s">
        <v>113</v>
      </c>
      <c r="G157" s="179" t="s">
        <v>4</v>
      </c>
      <c r="H157" s="179" t="s">
        <v>294</v>
      </c>
      <c r="I157" s="180" t="s">
        <v>7</v>
      </c>
      <c r="J157" s="181" t="s">
        <v>136</v>
      </c>
      <c r="K157" s="200" t="b">
        <v>0</v>
      </c>
      <c r="L157" s="650">
        <v>1543741.2825</v>
      </c>
      <c r="M157" s="89">
        <v>0</v>
      </c>
      <c r="N157" s="89">
        <f t="shared" si="87"/>
        <v>92624.476949999997</v>
      </c>
      <c r="O157" s="89">
        <v>84197.61</v>
      </c>
      <c r="P157" s="89">
        <f t="shared" si="84"/>
        <v>9262.4476950000007</v>
      </c>
      <c r="Q157" s="651">
        <v>61490.25</v>
      </c>
      <c r="R157" s="650">
        <v>2114265.1425000005</v>
      </c>
      <c r="S157" s="89">
        <v>509524.53</v>
      </c>
      <c r="T157" s="89">
        <f t="shared" si="88"/>
        <v>835769.01083025022</v>
      </c>
      <c r="U157" s="89">
        <v>360599.53</v>
      </c>
      <c r="V157" s="89">
        <f t="shared" si="85"/>
        <v>83576.901083025034</v>
      </c>
      <c r="W157" s="347">
        <v>33982.78</v>
      </c>
      <c r="X157" s="256">
        <v>0.06</v>
      </c>
      <c r="Y157" s="256">
        <v>0.39529999999999998</v>
      </c>
      <c r="Z157" s="648">
        <v>0.19589999999999999</v>
      </c>
      <c r="AA157" s="89">
        <f t="shared" si="74"/>
        <v>3658006.4250000007</v>
      </c>
      <c r="AB157" s="89">
        <f t="shared" si="75"/>
        <v>509524.53</v>
      </c>
      <c r="AC157" s="257">
        <f t="shared" si="76"/>
        <v>0.19589999999999999</v>
      </c>
      <c r="AD157" s="90">
        <f t="shared" si="77"/>
        <v>716603.4586575001</v>
      </c>
      <c r="AE157" s="89">
        <f t="shared" si="78"/>
        <v>444797.14</v>
      </c>
      <c r="AF157" s="89">
        <f t="shared" si="79"/>
        <v>95473.03</v>
      </c>
      <c r="AG157" s="270">
        <f t="shared" si="80"/>
        <v>6.9645111407916671</v>
      </c>
      <c r="AH157" s="271">
        <f t="shared" si="81"/>
        <v>37.242114976667203</v>
      </c>
      <c r="AI157" s="240">
        <f t="shared" si="82"/>
        <v>44.206626117458867</v>
      </c>
      <c r="AJ157" s="316">
        <v>60</v>
      </c>
      <c r="AK157" s="672">
        <f t="shared" si="86"/>
        <v>-15.793373882541133</v>
      </c>
      <c r="AL157">
        <f t="shared" si="83"/>
        <v>145</v>
      </c>
      <c r="AM157">
        <f t="shared" si="89"/>
        <v>145</v>
      </c>
    </row>
    <row r="158" spans="1:39" x14ac:dyDescent="0.2">
      <c r="A158" s="6">
        <v>147</v>
      </c>
      <c r="B158" s="199">
        <v>60488</v>
      </c>
      <c r="C158" s="680" t="s">
        <v>210</v>
      </c>
      <c r="D158" s="173" t="s">
        <v>136</v>
      </c>
      <c r="E158" s="173" t="s">
        <v>136</v>
      </c>
      <c r="F158" s="174" t="s">
        <v>113</v>
      </c>
      <c r="G158" s="179" t="s">
        <v>4</v>
      </c>
      <c r="H158" s="179" t="s">
        <v>294</v>
      </c>
      <c r="I158" s="180" t="s">
        <v>38</v>
      </c>
      <c r="J158" s="181" t="s">
        <v>136</v>
      </c>
      <c r="K158" s="200" t="b">
        <v>0</v>
      </c>
      <c r="L158" s="650">
        <v>1248000</v>
      </c>
      <c r="M158" s="89">
        <v>0</v>
      </c>
      <c r="N158" s="89">
        <f t="shared" si="87"/>
        <v>397737.6</v>
      </c>
      <c r="O158" s="89">
        <v>346018.95</v>
      </c>
      <c r="P158" s="89">
        <f t="shared" si="84"/>
        <v>39773.760000000002</v>
      </c>
      <c r="Q158" s="651">
        <v>253214.55</v>
      </c>
      <c r="R158" s="650">
        <v>1398375</v>
      </c>
      <c r="S158" s="89">
        <v>0</v>
      </c>
      <c r="T158" s="89">
        <f t="shared" si="88"/>
        <v>574312.61250000005</v>
      </c>
      <c r="U158" s="89">
        <v>0</v>
      </c>
      <c r="V158" s="89">
        <f t="shared" si="85"/>
        <v>57431.26125000001</v>
      </c>
      <c r="W158" s="347">
        <v>0</v>
      </c>
      <c r="X158" s="256">
        <v>0.31869999999999998</v>
      </c>
      <c r="Y158" s="256">
        <v>0.41070000000000001</v>
      </c>
      <c r="Z158" s="648">
        <v>0.26329999999999998</v>
      </c>
      <c r="AA158" s="89">
        <f t="shared" si="74"/>
        <v>2646375</v>
      </c>
      <c r="AB158" s="89">
        <f t="shared" si="75"/>
        <v>0</v>
      </c>
      <c r="AC158" s="257">
        <f t="shared" si="76"/>
        <v>0.26329999999999998</v>
      </c>
      <c r="AD158" s="90">
        <f t="shared" si="77"/>
        <v>696790.53749999998</v>
      </c>
      <c r="AE158" s="89">
        <f t="shared" si="78"/>
        <v>346018.95</v>
      </c>
      <c r="AF158" s="89">
        <f t="shared" si="79"/>
        <v>253214.55</v>
      </c>
      <c r="AG158" s="270">
        <f t="shared" si="80"/>
        <v>0</v>
      </c>
      <c r="AH158" s="271">
        <f t="shared" si="81"/>
        <v>29.795377351834375</v>
      </c>
      <c r="AI158" s="240">
        <f t="shared" si="82"/>
        <v>29.795377351834375</v>
      </c>
      <c r="AJ158" s="316">
        <v>71.008873300703442</v>
      </c>
      <c r="AK158" s="672">
        <f t="shared" si="86"/>
        <v>-41.213495948869067</v>
      </c>
      <c r="AL158">
        <f t="shared" si="83"/>
        <v>146</v>
      </c>
      <c r="AM158">
        <f t="shared" si="89"/>
        <v>146</v>
      </c>
    </row>
    <row r="159" spans="1:39" x14ac:dyDescent="0.2">
      <c r="A159" s="6">
        <v>148</v>
      </c>
      <c r="B159" s="199">
        <v>60489</v>
      </c>
      <c r="C159" s="680" t="s">
        <v>211</v>
      </c>
      <c r="D159" s="173" t="s">
        <v>136</v>
      </c>
      <c r="E159" s="173" t="s">
        <v>136</v>
      </c>
      <c r="F159" s="174" t="s">
        <v>113</v>
      </c>
      <c r="G159" s="179" t="s">
        <v>4</v>
      </c>
      <c r="H159" s="179" t="s">
        <v>294</v>
      </c>
      <c r="I159" s="180" t="s">
        <v>12</v>
      </c>
      <c r="J159" s="181" t="s">
        <v>136</v>
      </c>
      <c r="K159" s="200" t="b">
        <v>0</v>
      </c>
      <c r="L159" s="650">
        <v>1011000</v>
      </c>
      <c r="M159" s="89">
        <v>0</v>
      </c>
      <c r="N159" s="89">
        <f t="shared" si="87"/>
        <v>236776.19999999998</v>
      </c>
      <c r="O159" s="89">
        <v>273384.45</v>
      </c>
      <c r="P159" s="89">
        <f t="shared" si="84"/>
        <v>23677.62</v>
      </c>
      <c r="Q159" s="651">
        <v>193628.79</v>
      </c>
      <c r="R159" s="650">
        <v>237750</v>
      </c>
      <c r="S159" s="89">
        <v>1723.65</v>
      </c>
      <c r="T159" s="89">
        <f t="shared" si="88"/>
        <v>33546.525000000001</v>
      </c>
      <c r="U159" s="89">
        <v>1723.65</v>
      </c>
      <c r="V159" s="89">
        <f t="shared" si="85"/>
        <v>3354.6525000000001</v>
      </c>
      <c r="W159" s="347">
        <v>494.05</v>
      </c>
      <c r="X159" s="256">
        <v>0.23419999999999999</v>
      </c>
      <c r="Y159" s="256">
        <v>0.1411</v>
      </c>
      <c r="Z159" s="648">
        <v>0.21249999999999999</v>
      </c>
      <c r="AA159" s="89">
        <f t="shared" si="74"/>
        <v>1248750</v>
      </c>
      <c r="AB159" s="89">
        <f t="shared" si="75"/>
        <v>1723.65</v>
      </c>
      <c r="AC159" s="257">
        <f t="shared" si="76"/>
        <v>0.21249999999999999</v>
      </c>
      <c r="AD159" s="90">
        <f t="shared" si="77"/>
        <v>265359.375</v>
      </c>
      <c r="AE159" s="89">
        <f t="shared" si="78"/>
        <v>275108.10000000003</v>
      </c>
      <c r="AF159" s="89">
        <f t="shared" si="79"/>
        <v>194122.84</v>
      </c>
      <c r="AG159" s="270">
        <f t="shared" si="80"/>
        <v>6.9015015015015016E-2</v>
      </c>
      <c r="AH159" s="271">
        <f t="shared" si="81"/>
        <v>60</v>
      </c>
      <c r="AI159" s="240">
        <f t="shared" si="82"/>
        <v>60.069015015015012</v>
      </c>
      <c r="AJ159" s="316">
        <v>36.600075109210287</v>
      </c>
      <c r="AK159" s="672">
        <f t="shared" si="86"/>
        <v>23.468939905804724</v>
      </c>
      <c r="AL159">
        <f t="shared" si="83"/>
        <v>147</v>
      </c>
      <c r="AM159">
        <f t="shared" si="89"/>
        <v>147</v>
      </c>
    </row>
    <row r="160" spans="1:39" x14ac:dyDescent="0.2">
      <c r="A160" s="6">
        <v>149</v>
      </c>
      <c r="B160" s="199">
        <v>60490</v>
      </c>
      <c r="C160" s="680" t="s">
        <v>212</v>
      </c>
      <c r="D160" s="173" t="s">
        <v>136</v>
      </c>
      <c r="E160" s="173" t="s">
        <v>136</v>
      </c>
      <c r="F160" s="174" t="s">
        <v>113</v>
      </c>
      <c r="G160" s="179" t="s">
        <v>4</v>
      </c>
      <c r="H160" s="179" t="s">
        <v>294</v>
      </c>
      <c r="I160" s="180" t="s">
        <v>39</v>
      </c>
      <c r="J160" s="181" t="s">
        <v>136</v>
      </c>
      <c r="K160" s="200" t="b">
        <v>0</v>
      </c>
      <c r="L160" s="650">
        <v>619965.96750000003</v>
      </c>
      <c r="M160" s="89">
        <v>125860.35</v>
      </c>
      <c r="N160" s="89">
        <f t="shared" si="87"/>
        <v>162679.06987200002</v>
      </c>
      <c r="O160" s="89">
        <v>111824.37</v>
      </c>
      <c r="P160" s="89">
        <f t="shared" si="84"/>
        <v>16267.906987200004</v>
      </c>
      <c r="Q160" s="651">
        <v>80228.7</v>
      </c>
      <c r="R160" s="650">
        <v>714468.29249999998</v>
      </c>
      <c r="S160" s="89">
        <v>24335.17</v>
      </c>
      <c r="T160" s="89">
        <f t="shared" si="88"/>
        <v>285430.08285375003</v>
      </c>
      <c r="U160" s="89">
        <v>9127.94</v>
      </c>
      <c r="V160" s="89">
        <f t="shared" si="85"/>
        <v>28543.008285375006</v>
      </c>
      <c r="W160" s="347">
        <v>2030.15</v>
      </c>
      <c r="X160" s="256">
        <v>0.26240000000000002</v>
      </c>
      <c r="Y160" s="256">
        <v>0.39950000000000002</v>
      </c>
      <c r="Z160" s="648">
        <v>0.33989999999999998</v>
      </c>
      <c r="AA160" s="89">
        <f t="shared" si="74"/>
        <v>1334434.26</v>
      </c>
      <c r="AB160" s="89">
        <f t="shared" si="75"/>
        <v>150195.52000000002</v>
      </c>
      <c r="AC160" s="257">
        <f t="shared" si="76"/>
        <v>0.33989999999999998</v>
      </c>
      <c r="AD160" s="90">
        <f t="shared" si="77"/>
        <v>453574.20497399999</v>
      </c>
      <c r="AE160" s="89">
        <f t="shared" si="78"/>
        <v>120952.31</v>
      </c>
      <c r="AF160" s="89">
        <f t="shared" si="79"/>
        <v>82258.849999999991</v>
      </c>
      <c r="AG160" s="270">
        <f t="shared" si="80"/>
        <v>5.6276852484287989</v>
      </c>
      <c r="AH160" s="271">
        <f t="shared" si="81"/>
        <v>15.999892675589868</v>
      </c>
      <c r="AI160" s="240">
        <f t="shared" si="82"/>
        <v>21.627577924018667</v>
      </c>
      <c r="AJ160" s="316">
        <v>60.612076363636362</v>
      </c>
      <c r="AK160" s="672">
        <f t="shared" si="86"/>
        <v>-38.984498439617695</v>
      </c>
      <c r="AL160">
        <f t="shared" si="83"/>
        <v>148</v>
      </c>
      <c r="AM160">
        <f t="shared" si="89"/>
        <v>148</v>
      </c>
    </row>
    <row r="161" spans="1:39" x14ac:dyDescent="0.2">
      <c r="A161" s="6">
        <v>150</v>
      </c>
      <c r="B161" s="199">
        <v>60491</v>
      </c>
      <c r="C161" s="680" t="s">
        <v>213</v>
      </c>
      <c r="D161" s="173" t="s">
        <v>136</v>
      </c>
      <c r="E161" s="173" t="s">
        <v>136</v>
      </c>
      <c r="F161" s="174" t="s">
        <v>113</v>
      </c>
      <c r="G161" s="179" t="s">
        <v>4</v>
      </c>
      <c r="H161" s="179" t="s">
        <v>294</v>
      </c>
      <c r="I161" s="180" t="s">
        <v>41</v>
      </c>
      <c r="J161" s="181" t="s">
        <v>136</v>
      </c>
      <c r="K161" s="200" t="b">
        <v>0</v>
      </c>
      <c r="L161" s="650">
        <v>1225500</v>
      </c>
      <c r="M161" s="89">
        <v>0</v>
      </c>
      <c r="N161" s="89">
        <f t="shared" si="87"/>
        <v>367404.9</v>
      </c>
      <c r="O161" s="89">
        <v>271442.15999999997</v>
      </c>
      <c r="P161" s="89">
        <f t="shared" si="84"/>
        <v>36740.490000000005</v>
      </c>
      <c r="Q161" s="651">
        <v>201407.31</v>
      </c>
      <c r="R161" s="650">
        <v>1275750</v>
      </c>
      <c r="S161" s="89">
        <v>326397.2</v>
      </c>
      <c r="T161" s="89">
        <f t="shared" si="88"/>
        <v>362823.3</v>
      </c>
      <c r="U161" s="89">
        <v>324617.57</v>
      </c>
      <c r="V161" s="89">
        <f t="shared" si="85"/>
        <v>36282.33</v>
      </c>
      <c r="W161" s="347">
        <v>62387.15</v>
      </c>
      <c r="X161" s="256">
        <v>0.29980000000000001</v>
      </c>
      <c r="Y161" s="256">
        <v>0.28439999999999999</v>
      </c>
      <c r="Z161" s="648">
        <v>0.29160000000000003</v>
      </c>
      <c r="AA161" s="89">
        <f t="shared" si="74"/>
        <v>2501250</v>
      </c>
      <c r="AB161" s="89">
        <f t="shared" si="75"/>
        <v>326397.2</v>
      </c>
      <c r="AC161" s="257">
        <f t="shared" si="76"/>
        <v>0.29160000000000003</v>
      </c>
      <c r="AD161" s="90">
        <f t="shared" si="77"/>
        <v>729364.50000000012</v>
      </c>
      <c r="AE161" s="89">
        <f t="shared" si="78"/>
        <v>596059.73</v>
      </c>
      <c r="AF161" s="89">
        <f t="shared" si="79"/>
        <v>263794.46000000002</v>
      </c>
      <c r="AG161" s="270">
        <f t="shared" si="80"/>
        <v>6.5246816591704153</v>
      </c>
      <c r="AH161" s="271">
        <f t="shared" si="81"/>
        <v>49.033897043247912</v>
      </c>
      <c r="AI161" s="240">
        <f t="shared" si="82"/>
        <v>55.55857870241833</v>
      </c>
      <c r="AJ161" s="316">
        <v>54.751685999677377</v>
      </c>
      <c r="AK161" s="672">
        <f t="shared" si="86"/>
        <v>0.80689270274095293</v>
      </c>
      <c r="AL161" t="str">
        <f t="shared" si="83"/>
        <v/>
      </c>
      <c r="AM161" t="str">
        <f t="shared" si="89"/>
        <v/>
      </c>
    </row>
    <row r="162" spans="1:39" x14ac:dyDescent="0.2">
      <c r="A162" s="6">
        <v>151</v>
      </c>
      <c r="B162" s="199">
        <v>60475</v>
      </c>
      <c r="C162" s="680" t="s">
        <v>214</v>
      </c>
      <c r="D162" s="173" t="s">
        <v>136</v>
      </c>
      <c r="E162" s="173" t="s">
        <v>136</v>
      </c>
      <c r="F162" s="174" t="s">
        <v>113</v>
      </c>
      <c r="G162" s="179" t="s">
        <v>4</v>
      </c>
      <c r="H162" s="179" t="s">
        <v>294</v>
      </c>
      <c r="I162" s="180" t="s">
        <v>43</v>
      </c>
      <c r="J162" s="181" t="s">
        <v>136</v>
      </c>
      <c r="K162" s="200" t="b">
        <v>0</v>
      </c>
      <c r="L162" s="650">
        <v>2003250</v>
      </c>
      <c r="M162" s="89">
        <v>0</v>
      </c>
      <c r="N162" s="89">
        <f t="shared" si="87"/>
        <v>97558.274999999994</v>
      </c>
      <c r="O162" s="89">
        <v>54851.76</v>
      </c>
      <c r="P162" s="89">
        <f t="shared" si="84"/>
        <v>9755.8274999999994</v>
      </c>
      <c r="Q162" s="651">
        <v>39035.61</v>
      </c>
      <c r="R162" s="650">
        <v>2025750</v>
      </c>
      <c r="S162" s="89">
        <v>1146.58</v>
      </c>
      <c r="T162" s="89">
        <f t="shared" si="88"/>
        <v>846966.07500000007</v>
      </c>
      <c r="U162" s="89">
        <v>189.58</v>
      </c>
      <c r="V162" s="89">
        <f t="shared" si="85"/>
        <v>84696.607500000013</v>
      </c>
      <c r="W162" s="347">
        <v>37.61</v>
      </c>
      <c r="X162" s="256">
        <v>4.87E-2</v>
      </c>
      <c r="Y162" s="256">
        <v>0.41810000000000003</v>
      </c>
      <c r="Z162" s="648">
        <v>0.2288</v>
      </c>
      <c r="AA162" s="89">
        <f t="shared" si="74"/>
        <v>4029000</v>
      </c>
      <c r="AB162" s="89">
        <f t="shared" si="75"/>
        <v>1146.58</v>
      </c>
      <c r="AC162" s="257">
        <f t="shared" si="76"/>
        <v>0.2288</v>
      </c>
      <c r="AD162" s="90">
        <f t="shared" si="77"/>
        <v>921835.20000000007</v>
      </c>
      <c r="AE162" s="89">
        <f t="shared" si="78"/>
        <v>55041.340000000004</v>
      </c>
      <c r="AF162" s="89">
        <f t="shared" si="79"/>
        <v>39073.22</v>
      </c>
      <c r="AG162" s="270">
        <f t="shared" si="80"/>
        <v>1.4229089103996027E-2</v>
      </c>
      <c r="AH162" s="271">
        <f t="shared" si="81"/>
        <v>3.5825062874578881</v>
      </c>
      <c r="AI162" s="240">
        <f t="shared" si="82"/>
        <v>3.5967353765618841</v>
      </c>
      <c r="AJ162" s="316">
        <v>69.260789644012945</v>
      </c>
      <c r="AK162" s="672">
        <f t="shared" si="86"/>
        <v>-65.664054267451064</v>
      </c>
      <c r="AL162">
        <f t="shared" si="83"/>
        <v>150</v>
      </c>
      <c r="AM162">
        <f t="shared" si="89"/>
        <v>150</v>
      </c>
    </row>
    <row r="163" spans="1:39" x14ac:dyDescent="0.2">
      <c r="A163" s="6">
        <v>152</v>
      </c>
      <c r="B163" s="199">
        <v>60492</v>
      </c>
      <c r="C163" s="680" t="s">
        <v>215</v>
      </c>
      <c r="D163" s="173" t="s">
        <v>136</v>
      </c>
      <c r="E163" s="173" t="s">
        <v>136</v>
      </c>
      <c r="F163" s="174" t="s">
        <v>113</v>
      </c>
      <c r="G163" s="179" t="s">
        <v>4</v>
      </c>
      <c r="H163" s="179" t="s">
        <v>294</v>
      </c>
      <c r="I163" s="182" t="s">
        <v>10</v>
      </c>
      <c r="J163" s="181" t="s">
        <v>136</v>
      </c>
      <c r="K163" s="200" t="b">
        <v>0</v>
      </c>
      <c r="L163" s="650">
        <v>1752750</v>
      </c>
      <c r="M163" s="89">
        <v>1842302.63</v>
      </c>
      <c r="N163" s="89">
        <f t="shared" si="87"/>
        <v>103938.075</v>
      </c>
      <c r="O163" s="89">
        <v>87264.18</v>
      </c>
      <c r="P163" s="89">
        <f t="shared" si="84"/>
        <v>10393.807500000001</v>
      </c>
      <c r="Q163" s="651">
        <v>61885.35</v>
      </c>
      <c r="R163" s="650">
        <v>1840500</v>
      </c>
      <c r="S163" s="89">
        <v>65933.789999999994</v>
      </c>
      <c r="T163" s="89">
        <f t="shared" si="88"/>
        <v>769513.05</v>
      </c>
      <c r="U163" s="89">
        <v>65933.789999999994</v>
      </c>
      <c r="V163" s="89">
        <f t="shared" si="85"/>
        <v>76951.305000000008</v>
      </c>
      <c r="W163" s="347">
        <v>22546.41</v>
      </c>
      <c r="X163" s="256">
        <v>5.9299999999999999E-2</v>
      </c>
      <c r="Y163" s="256">
        <v>0.41810000000000003</v>
      </c>
      <c r="Z163" s="648">
        <v>0.22869999999999999</v>
      </c>
      <c r="AA163" s="89">
        <f t="shared" si="74"/>
        <v>3593250</v>
      </c>
      <c r="AB163" s="89">
        <f t="shared" si="75"/>
        <v>1908236.42</v>
      </c>
      <c r="AC163" s="257">
        <f t="shared" si="76"/>
        <v>0.22869999999999999</v>
      </c>
      <c r="AD163" s="90">
        <f t="shared" si="77"/>
        <v>821776.27499999991</v>
      </c>
      <c r="AE163" s="89">
        <f t="shared" si="78"/>
        <v>153197.96999999997</v>
      </c>
      <c r="AF163" s="89">
        <f t="shared" si="79"/>
        <v>84431.76</v>
      </c>
      <c r="AG163" s="270">
        <f t="shared" si="80"/>
        <v>26.553070618520835</v>
      </c>
      <c r="AH163" s="271">
        <f t="shared" si="81"/>
        <v>11.185377918095773</v>
      </c>
      <c r="AI163" s="240">
        <f t="shared" si="82"/>
        <v>37.738448536616609</v>
      </c>
      <c r="AJ163" s="316">
        <v>5.5862317294672099</v>
      </c>
      <c r="AK163" s="672">
        <f t="shared" si="86"/>
        <v>32.152216807149401</v>
      </c>
      <c r="AL163">
        <f t="shared" si="83"/>
        <v>151</v>
      </c>
      <c r="AM163">
        <f t="shared" si="89"/>
        <v>151</v>
      </c>
    </row>
    <row r="164" spans="1:39" x14ac:dyDescent="0.2">
      <c r="A164" s="6">
        <v>153</v>
      </c>
      <c r="B164" s="199">
        <v>60493</v>
      </c>
      <c r="C164" s="680" t="s">
        <v>216</v>
      </c>
      <c r="D164" s="173" t="s">
        <v>136</v>
      </c>
      <c r="E164" s="173" t="s">
        <v>136</v>
      </c>
      <c r="F164" s="174" t="s">
        <v>113</v>
      </c>
      <c r="G164" s="179" t="s">
        <v>4</v>
      </c>
      <c r="H164" s="179" t="s">
        <v>294</v>
      </c>
      <c r="I164" s="180" t="s">
        <v>10</v>
      </c>
      <c r="J164" s="181" t="s">
        <v>136</v>
      </c>
      <c r="K164" s="200" t="b">
        <v>0</v>
      </c>
      <c r="L164" s="650">
        <v>1401015</v>
      </c>
      <c r="M164" s="89">
        <v>1042500.06</v>
      </c>
      <c r="N164" s="89">
        <f t="shared" si="87"/>
        <v>67949.227500000008</v>
      </c>
      <c r="O164" s="89">
        <v>70401.06</v>
      </c>
      <c r="P164" s="89">
        <f t="shared" si="84"/>
        <v>6794.9227500000015</v>
      </c>
      <c r="Q164" s="651">
        <v>50234.400000000001</v>
      </c>
      <c r="R164" s="650">
        <v>2577750</v>
      </c>
      <c r="S164" s="89">
        <v>62081.69</v>
      </c>
      <c r="T164" s="89">
        <f t="shared" si="88"/>
        <v>1003260.2999999999</v>
      </c>
      <c r="U164" s="89">
        <v>57721.48</v>
      </c>
      <c r="V164" s="89">
        <f t="shared" si="85"/>
        <v>100326.03</v>
      </c>
      <c r="W164" s="347">
        <v>13616.8</v>
      </c>
      <c r="X164" s="256">
        <v>4.8500000000000001E-2</v>
      </c>
      <c r="Y164" s="256">
        <v>0.38919999999999999</v>
      </c>
      <c r="Z164" s="648">
        <v>0.2535</v>
      </c>
      <c r="AA164" s="89">
        <f t="shared" si="74"/>
        <v>3978765</v>
      </c>
      <c r="AB164" s="89">
        <f t="shared" si="75"/>
        <v>1104581.75</v>
      </c>
      <c r="AC164" s="257">
        <f t="shared" si="76"/>
        <v>0.2535</v>
      </c>
      <c r="AD164" s="90">
        <f t="shared" si="77"/>
        <v>1008616.9275</v>
      </c>
      <c r="AE164" s="89">
        <f t="shared" si="78"/>
        <v>128122.54000000001</v>
      </c>
      <c r="AF164" s="89">
        <f t="shared" si="79"/>
        <v>63851.199999999997</v>
      </c>
      <c r="AG164" s="270">
        <f t="shared" si="80"/>
        <v>13.880962434323214</v>
      </c>
      <c r="AH164" s="271">
        <f t="shared" si="81"/>
        <v>7.6216769621884026</v>
      </c>
      <c r="AI164" s="240">
        <f t="shared" si="82"/>
        <v>21.502639396511618</v>
      </c>
      <c r="AJ164" s="316">
        <v>26.351842522691744</v>
      </c>
      <c r="AK164" s="672">
        <f t="shared" si="86"/>
        <v>-4.8492031261801252</v>
      </c>
      <c r="AL164" t="str">
        <f t="shared" si="83"/>
        <v/>
      </c>
      <c r="AM164" t="str">
        <f t="shared" si="89"/>
        <v/>
      </c>
    </row>
    <row r="165" spans="1:39" x14ac:dyDescent="0.2">
      <c r="A165" s="6">
        <v>154</v>
      </c>
      <c r="B165" s="199">
        <v>60494</v>
      </c>
      <c r="C165" s="680" t="s">
        <v>217</v>
      </c>
      <c r="D165" s="173" t="s">
        <v>136</v>
      </c>
      <c r="E165" s="173" t="s">
        <v>136</v>
      </c>
      <c r="F165" s="174" t="s">
        <v>113</v>
      </c>
      <c r="G165" s="179" t="s">
        <v>4</v>
      </c>
      <c r="H165" s="179" t="s">
        <v>294</v>
      </c>
      <c r="I165" s="182" t="s">
        <v>10</v>
      </c>
      <c r="J165" s="181" t="s">
        <v>136</v>
      </c>
      <c r="K165" s="200" t="b">
        <v>0</v>
      </c>
      <c r="L165" s="650">
        <v>802500</v>
      </c>
      <c r="M165" s="89">
        <v>627921.09</v>
      </c>
      <c r="N165" s="89">
        <f t="shared" si="87"/>
        <v>35550.75</v>
      </c>
      <c r="O165" s="89">
        <v>64210.05</v>
      </c>
      <c r="P165" s="89">
        <f t="shared" si="84"/>
        <v>3555.0750000000003</v>
      </c>
      <c r="Q165" s="651">
        <v>56499.93</v>
      </c>
      <c r="R165" s="650">
        <v>581250</v>
      </c>
      <c r="S165" s="89">
        <v>23853.97</v>
      </c>
      <c r="T165" s="89">
        <f t="shared" si="88"/>
        <v>55625.624999999993</v>
      </c>
      <c r="U165" s="89">
        <v>23853.97</v>
      </c>
      <c r="V165" s="89">
        <f t="shared" si="85"/>
        <v>5562.5625</v>
      </c>
      <c r="W165" s="347">
        <v>4860.05</v>
      </c>
      <c r="X165" s="256">
        <v>4.4299999999999999E-2</v>
      </c>
      <c r="Y165" s="256">
        <v>9.5699999999999993E-2</v>
      </c>
      <c r="Z165" s="648">
        <v>6.4199999999999993E-2</v>
      </c>
      <c r="AA165" s="89">
        <f t="shared" si="74"/>
        <v>1383750</v>
      </c>
      <c r="AB165" s="89">
        <f t="shared" si="75"/>
        <v>651775.05999999994</v>
      </c>
      <c r="AC165" s="257">
        <f t="shared" si="76"/>
        <v>6.4199999999999993E-2</v>
      </c>
      <c r="AD165" s="90">
        <f t="shared" si="77"/>
        <v>88836.749999999985</v>
      </c>
      <c r="AE165" s="89">
        <f t="shared" si="78"/>
        <v>88064.02</v>
      </c>
      <c r="AF165" s="89">
        <f t="shared" si="79"/>
        <v>61359.98</v>
      </c>
      <c r="AG165" s="270">
        <f t="shared" si="80"/>
        <v>23.551041011743447</v>
      </c>
      <c r="AH165" s="271">
        <f t="shared" si="81"/>
        <v>59.478101123690379</v>
      </c>
      <c r="AI165" s="240">
        <f t="shared" si="82"/>
        <v>83.02914213543383</v>
      </c>
      <c r="AJ165" s="316">
        <v>32.355088558220949</v>
      </c>
      <c r="AK165" s="672">
        <f t="shared" si="86"/>
        <v>50.674053577212881</v>
      </c>
      <c r="AL165" t="str">
        <f t="shared" si="83"/>
        <v/>
      </c>
      <c r="AM165" t="str">
        <f t="shared" si="89"/>
        <v/>
      </c>
    </row>
    <row r="166" spans="1:39" x14ac:dyDescent="0.2">
      <c r="A166" s="6">
        <v>155</v>
      </c>
      <c r="B166" s="199">
        <v>60495</v>
      </c>
      <c r="C166" s="680" t="s">
        <v>218</v>
      </c>
      <c r="D166" s="173" t="s">
        <v>136</v>
      </c>
      <c r="E166" s="173" t="s">
        <v>136</v>
      </c>
      <c r="F166" s="174" t="s">
        <v>113</v>
      </c>
      <c r="G166" s="179" t="s">
        <v>4</v>
      </c>
      <c r="H166" s="179" t="s">
        <v>294</v>
      </c>
      <c r="I166" s="180" t="s">
        <v>10</v>
      </c>
      <c r="J166" s="181" t="s">
        <v>136</v>
      </c>
      <c r="K166" s="200" t="b">
        <v>0</v>
      </c>
      <c r="L166" s="650">
        <v>1677000</v>
      </c>
      <c r="M166" s="89">
        <v>0</v>
      </c>
      <c r="N166" s="89">
        <f t="shared" si="87"/>
        <v>96595.199999999997</v>
      </c>
      <c r="O166" s="89">
        <v>97994.34</v>
      </c>
      <c r="P166" s="89">
        <f t="shared" si="84"/>
        <v>9659.52</v>
      </c>
      <c r="Q166" s="651">
        <v>76754.070000000007</v>
      </c>
      <c r="R166" s="650">
        <v>2476200</v>
      </c>
      <c r="S166" s="89">
        <v>1225436.07</v>
      </c>
      <c r="T166" s="89">
        <f t="shared" si="88"/>
        <v>1054118.3400000001</v>
      </c>
      <c r="U166" s="89">
        <v>536577.17000000004</v>
      </c>
      <c r="V166" s="89">
        <f t="shared" si="85"/>
        <v>105411.83400000002</v>
      </c>
      <c r="W166" s="347">
        <v>103305.18</v>
      </c>
      <c r="X166" s="256">
        <v>5.7599999999999998E-2</v>
      </c>
      <c r="Y166" s="256">
        <v>0.42570000000000002</v>
      </c>
      <c r="Z166" s="648">
        <v>0.24529999999999999</v>
      </c>
      <c r="AA166" s="89">
        <f t="shared" si="74"/>
        <v>4153200</v>
      </c>
      <c r="AB166" s="89">
        <f t="shared" si="75"/>
        <v>1225436.07</v>
      </c>
      <c r="AC166" s="257">
        <f t="shared" si="76"/>
        <v>0.24529999999999999</v>
      </c>
      <c r="AD166" s="90">
        <f t="shared" si="77"/>
        <v>1018779.96</v>
      </c>
      <c r="AE166" s="89">
        <f t="shared" si="78"/>
        <v>634571.51</v>
      </c>
      <c r="AF166" s="89">
        <f t="shared" si="79"/>
        <v>180059.25</v>
      </c>
      <c r="AG166" s="270">
        <f t="shared" si="80"/>
        <v>14.752914258884715</v>
      </c>
      <c r="AH166" s="271">
        <f t="shared" si="81"/>
        <v>37.372437714617007</v>
      </c>
      <c r="AI166" s="240">
        <f t="shared" si="82"/>
        <v>52.125351973501722</v>
      </c>
      <c r="AJ166" s="316">
        <v>68.390946780809998</v>
      </c>
      <c r="AK166" s="672">
        <f t="shared" si="86"/>
        <v>-16.265594807308275</v>
      </c>
      <c r="AL166" t="str">
        <f t="shared" si="83"/>
        <v/>
      </c>
      <c r="AM166" t="str">
        <f t="shared" si="89"/>
        <v/>
      </c>
    </row>
    <row r="167" spans="1:39" x14ac:dyDescent="0.2">
      <c r="A167" s="6">
        <v>156</v>
      </c>
      <c r="B167" s="199">
        <v>60496</v>
      </c>
      <c r="C167" s="680" t="s">
        <v>219</v>
      </c>
      <c r="D167" s="173" t="s">
        <v>136</v>
      </c>
      <c r="E167" s="173" t="s">
        <v>136</v>
      </c>
      <c r="F167" s="174" t="s">
        <v>113</v>
      </c>
      <c r="G167" s="179" t="s">
        <v>4</v>
      </c>
      <c r="H167" s="179" t="s">
        <v>294</v>
      </c>
      <c r="I167" s="180" t="s">
        <v>10</v>
      </c>
      <c r="J167" s="181" t="s">
        <v>136</v>
      </c>
      <c r="K167" s="200" t="b">
        <v>0</v>
      </c>
      <c r="L167" s="650">
        <v>1607250</v>
      </c>
      <c r="M167" s="89">
        <v>1319557.43</v>
      </c>
      <c r="N167" s="89">
        <f t="shared" si="87"/>
        <v>109935.90000000001</v>
      </c>
      <c r="O167" s="89">
        <v>86976.54</v>
      </c>
      <c r="P167" s="89">
        <f t="shared" si="84"/>
        <v>10993.590000000002</v>
      </c>
      <c r="Q167" s="651">
        <v>61969.86</v>
      </c>
      <c r="R167" s="650">
        <v>1581000</v>
      </c>
      <c r="S167" s="89">
        <v>185462.13</v>
      </c>
      <c r="T167" s="89">
        <f t="shared" si="88"/>
        <v>513508.8</v>
      </c>
      <c r="U167" s="89">
        <v>177626.7</v>
      </c>
      <c r="V167" s="89">
        <f t="shared" si="85"/>
        <v>51350.880000000005</v>
      </c>
      <c r="W167" s="347">
        <v>41471.089999999997</v>
      </c>
      <c r="X167" s="256">
        <v>6.8400000000000002E-2</v>
      </c>
      <c r="Y167" s="256">
        <v>0.32479999999999998</v>
      </c>
      <c r="Z167" s="648">
        <v>0.1983</v>
      </c>
      <c r="AA167" s="89">
        <f t="shared" si="74"/>
        <v>3188250</v>
      </c>
      <c r="AB167" s="89">
        <f t="shared" si="75"/>
        <v>1505019.56</v>
      </c>
      <c r="AC167" s="257">
        <f t="shared" si="76"/>
        <v>0.1983</v>
      </c>
      <c r="AD167" s="90">
        <f t="shared" si="77"/>
        <v>632229.97499999998</v>
      </c>
      <c r="AE167" s="89">
        <f t="shared" si="78"/>
        <v>264603.24</v>
      </c>
      <c r="AF167" s="89">
        <f t="shared" si="79"/>
        <v>103440.95</v>
      </c>
      <c r="AG167" s="270">
        <f t="shared" si="80"/>
        <v>23.602596408688154</v>
      </c>
      <c r="AH167" s="271">
        <f t="shared" si="81"/>
        <v>25.111423102012839</v>
      </c>
      <c r="AI167" s="240">
        <f t="shared" si="82"/>
        <v>48.714019510700993</v>
      </c>
      <c r="AJ167" s="316">
        <v>65.065405049848266</v>
      </c>
      <c r="AK167" s="672">
        <f t="shared" si="86"/>
        <v>-16.351385539147273</v>
      </c>
      <c r="AL167">
        <f t="shared" si="83"/>
        <v>155</v>
      </c>
      <c r="AM167">
        <f t="shared" si="89"/>
        <v>155</v>
      </c>
    </row>
    <row r="168" spans="1:39" x14ac:dyDescent="0.2">
      <c r="A168" s="6">
        <v>157</v>
      </c>
      <c r="B168" s="199">
        <v>60929</v>
      </c>
      <c r="C168" s="680" t="s">
        <v>220</v>
      </c>
      <c r="D168" s="173" t="s">
        <v>136</v>
      </c>
      <c r="E168" s="173" t="s">
        <v>136</v>
      </c>
      <c r="F168" s="174" t="s">
        <v>113</v>
      </c>
      <c r="G168" s="179" t="s">
        <v>4</v>
      </c>
      <c r="H168" s="179" t="s">
        <v>294</v>
      </c>
      <c r="I168" s="180" t="s">
        <v>10</v>
      </c>
      <c r="J168" s="181" t="s">
        <v>136</v>
      </c>
      <c r="K168" s="200" t="b">
        <v>0</v>
      </c>
      <c r="L168" s="650">
        <v>1387050</v>
      </c>
      <c r="M168" s="89">
        <v>0</v>
      </c>
      <c r="N168" s="89">
        <f t="shared" si="87"/>
        <v>68242.86</v>
      </c>
      <c r="O168" s="89">
        <v>63101.16</v>
      </c>
      <c r="P168" s="89">
        <f t="shared" si="84"/>
        <v>6824.2860000000001</v>
      </c>
      <c r="Q168" s="651">
        <v>43704</v>
      </c>
      <c r="R168" s="650">
        <v>1920750</v>
      </c>
      <c r="S168" s="89">
        <v>263027.63</v>
      </c>
      <c r="T168" s="89">
        <f t="shared" si="88"/>
        <v>845130</v>
      </c>
      <c r="U168" s="89">
        <v>263027.63</v>
      </c>
      <c r="V168" s="89">
        <f t="shared" si="85"/>
        <v>84513</v>
      </c>
      <c r="W168" s="347">
        <v>50299.74</v>
      </c>
      <c r="X168" s="256">
        <v>4.9200000000000001E-2</v>
      </c>
      <c r="Y168" s="256">
        <v>0.44</v>
      </c>
      <c r="Z168" s="648">
        <v>0.23480000000000001</v>
      </c>
      <c r="AA168" s="89">
        <f t="shared" si="74"/>
        <v>3307800</v>
      </c>
      <c r="AB168" s="89">
        <f t="shared" si="75"/>
        <v>263027.63</v>
      </c>
      <c r="AC168" s="257">
        <f t="shared" si="76"/>
        <v>0.23480000000000001</v>
      </c>
      <c r="AD168" s="90">
        <f t="shared" si="77"/>
        <v>776671.44000000006</v>
      </c>
      <c r="AE168" s="89">
        <f t="shared" si="78"/>
        <v>326128.79000000004</v>
      </c>
      <c r="AF168" s="89">
        <f t="shared" si="79"/>
        <v>94003.739999999991</v>
      </c>
      <c r="AG168" s="270">
        <f t="shared" si="80"/>
        <v>3.9758696112219605</v>
      </c>
      <c r="AH168" s="271">
        <f t="shared" si="81"/>
        <v>25.194343955791656</v>
      </c>
      <c r="AI168" s="240">
        <f t="shared" si="82"/>
        <v>29.170213567013615</v>
      </c>
      <c r="AJ168" s="316">
        <v>63.331543636125332</v>
      </c>
      <c r="AK168" s="672">
        <f t="shared" si="86"/>
        <v>-34.161330069111713</v>
      </c>
      <c r="AL168" t="str">
        <f t="shared" si="83"/>
        <v/>
      </c>
      <c r="AM168" t="str">
        <f t="shared" si="89"/>
        <v/>
      </c>
    </row>
    <row r="169" spans="1:39" x14ac:dyDescent="0.2">
      <c r="A169" s="6">
        <v>158</v>
      </c>
      <c r="B169" s="199">
        <v>60498</v>
      </c>
      <c r="C169" s="680" t="s">
        <v>221</v>
      </c>
      <c r="D169" s="173" t="s">
        <v>136</v>
      </c>
      <c r="E169" s="173" t="s">
        <v>136</v>
      </c>
      <c r="F169" s="174" t="s">
        <v>113</v>
      </c>
      <c r="G169" s="179" t="s">
        <v>4</v>
      </c>
      <c r="H169" s="179" t="s">
        <v>294</v>
      </c>
      <c r="I169" s="180" t="s">
        <v>10</v>
      </c>
      <c r="J169" s="181" t="s">
        <v>136</v>
      </c>
      <c r="K169" s="200" t="b">
        <v>0</v>
      </c>
      <c r="L169" s="650">
        <v>2037750</v>
      </c>
      <c r="M169" s="89">
        <v>773387.84</v>
      </c>
      <c r="N169" s="89">
        <f t="shared" si="87"/>
        <v>113706.45000000001</v>
      </c>
      <c r="O169" s="89">
        <v>92909.25</v>
      </c>
      <c r="P169" s="89">
        <f t="shared" si="84"/>
        <v>11370.645000000002</v>
      </c>
      <c r="Q169" s="651">
        <v>74652.39</v>
      </c>
      <c r="R169" s="650">
        <v>2113500</v>
      </c>
      <c r="S169" s="89">
        <v>536693.23</v>
      </c>
      <c r="T169" s="89">
        <f t="shared" si="88"/>
        <v>919795.19999999995</v>
      </c>
      <c r="U169" s="89">
        <v>3384.18</v>
      </c>
      <c r="V169" s="89">
        <f t="shared" si="85"/>
        <v>91979.520000000004</v>
      </c>
      <c r="W169" s="347">
        <v>616.44000000000005</v>
      </c>
      <c r="X169" s="256">
        <v>5.5800000000000002E-2</v>
      </c>
      <c r="Y169" s="256">
        <v>0.43519999999999998</v>
      </c>
      <c r="Z169" s="648">
        <v>0.26540000000000002</v>
      </c>
      <c r="AA169" s="89">
        <f t="shared" si="74"/>
        <v>4151250</v>
      </c>
      <c r="AB169" s="89">
        <f t="shared" si="75"/>
        <v>1310081.0699999998</v>
      </c>
      <c r="AC169" s="257">
        <f t="shared" si="76"/>
        <v>0.26540000000000002</v>
      </c>
      <c r="AD169" s="90">
        <f t="shared" si="77"/>
        <v>1101741.75</v>
      </c>
      <c r="AE169" s="89">
        <f t="shared" si="78"/>
        <v>96293.43</v>
      </c>
      <c r="AF169" s="89">
        <f t="shared" si="79"/>
        <v>75268.83</v>
      </c>
      <c r="AG169" s="270">
        <f t="shared" si="80"/>
        <v>15.779356458897919</v>
      </c>
      <c r="AH169" s="271">
        <f t="shared" si="81"/>
        <v>5.2440654082501634</v>
      </c>
      <c r="AI169" s="240">
        <f t="shared" si="82"/>
        <v>21.02342186714808</v>
      </c>
      <c r="AJ169" s="316">
        <v>46.05254442219988</v>
      </c>
      <c r="AK169" s="672">
        <f t="shared" si="86"/>
        <v>-25.029122555051799</v>
      </c>
      <c r="AL169">
        <f t="shared" si="83"/>
        <v>157</v>
      </c>
      <c r="AM169">
        <f t="shared" si="89"/>
        <v>157</v>
      </c>
    </row>
    <row r="170" spans="1:39" x14ac:dyDescent="0.2">
      <c r="A170" s="6">
        <v>159</v>
      </c>
      <c r="B170" s="199">
        <v>60930</v>
      </c>
      <c r="C170" s="680" t="s">
        <v>222</v>
      </c>
      <c r="D170" s="173" t="s">
        <v>136</v>
      </c>
      <c r="E170" s="173" t="s">
        <v>136</v>
      </c>
      <c r="F170" s="174" t="s">
        <v>113</v>
      </c>
      <c r="G170" s="179" t="s">
        <v>4</v>
      </c>
      <c r="H170" s="179" t="s">
        <v>294</v>
      </c>
      <c r="I170" s="180" t="s">
        <v>10</v>
      </c>
      <c r="J170" s="181" t="s">
        <v>136</v>
      </c>
      <c r="K170" s="200" t="b">
        <v>0</v>
      </c>
      <c r="L170" s="650">
        <v>2180250</v>
      </c>
      <c r="M170" s="89">
        <v>2072239.75</v>
      </c>
      <c r="N170" s="89">
        <f t="shared" si="87"/>
        <v>107486.325</v>
      </c>
      <c r="O170" s="89">
        <v>88333.83</v>
      </c>
      <c r="P170" s="89">
        <f t="shared" si="84"/>
        <v>10748.6325</v>
      </c>
      <c r="Q170" s="651">
        <v>67906.8</v>
      </c>
      <c r="R170" s="650">
        <v>1467750</v>
      </c>
      <c r="S170" s="89">
        <v>954765.99</v>
      </c>
      <c r="T170" s="89">
        <f t="shared" si="88"/>
        <v>477165.52500000002</v>
      </c>
      <c r="U170" s="89">
        <v>312206.58</v>
      </c>
      <c r="V170" s="89">
        <f t="shared" si="85"/>
        <v>47716.552500000005</v>
      </c>
      <c r="W170" s="347">
        <v>64757.760000000002</v>
      </c>
      <c r="X170" s="256">
        <v>4.9299999999999997E-2</v>
      </c>
      <c r="Y170" s="256">
        <v>0.3251</v>
      </c>
      <c r="Z170" s="648">
        <v>0.17680000000000001</v>
      </c>
      <c r="AA170" s="89">
        <f t="shared" si="74"/>
        <v>3648000</v>
      </c>
      <c r="AB170" s="89">
        <f t="shared" si="75"/>
        <v>3027005.74</v>
      </c>
      <c r="AC170" s="257">
        <f t="shared" si="76"/>
        <v>0.17680000000000001</v>
      </c>
      <c r="AD170" s="90">
        <f t="shared" si="77"/>
        <v>644966.40000000002</v>
      </c>
      <c r="AE170" s="89">
        <f t="shared" si="78"/>
        <v>400540.41000000003</v>
      </c>
      <c r="AF170" s="89">
        <f t="shared" si="79"/>
        <v>132664.56</v>
      </c>
      <c r="AG170" s="270">
        <f t="shared" si="80"/>
        <v>40</v>
      </c>
      <c r="AH170" s="271">
        <f t="shared" si="81"/>
        <v>37.261514088175758</v>
      </c>
      <c r="AI170" s="240">
        <f t="shared" si="82"/>
        <v>77.261514088175758</v>
      </c>
      <c r="AJ170" s="316">
        <v>40.103777078742453</v>
      </c>
      <c r="AK170" s="672">
        <f t="shared" si="86"/>
        <v>37.157737009433305</v>
      </c>
      <c r="AL170" t="str">
        <f t="shared" si="83"/>
        <v/>
      </c>
      <c r="AM170" t="str">
        <f t="shared" si="89"/>
        <v/>
      </c>
    </row>
    <row r="171" spans="1:39" x14ac:dyDescent="0.2">
      <c r="A171" s="6">
        <v>160</v>
      </c>
      <c r="B171" s="199">
        <v>60931</v>
      </c>
      <c r="C171" s="680" t="s">
        <v>223</v>
      </c>
      <c r="D171" s="173" t="s">
        <v>136</v>
      </c>
      <c r="E171" s="173" t="s">
        <v>136</v>
      </c>
      <c r="F171" s="174" t="s">
        <v>113</v>
      </c>
      <c r="G171" s="179" t="s">
        <v>4</v>
      </c>
      <c r="H171" s="179" t="s">
        <v>294</v>
      </c>
      <c r="I171" s="180" t="s">
        <v>10</v>
      </c>
      <c r="J171" s="181" t="s">
        <v>136</v>
      </c>
      <c r="K171" s="200" t="b">
        <v>0</v>
      </c>
      <c r="L171" s="650">
        <v>1934625</v>
      </c>
      <c r="M171" s="89">
        <v>0</v>
      </c>
      <c r="N171" s="89">
        <f t="shared" si="87"/>
        <v>139486.46249999999</v>
      </c>
      <c r="O171" s="89">
        <v>107332.11</v>
      </c>
      <c r="P171" s="89">
        <f t="shared" si="84"/>
        <v>13948.64625</v>
      </c>
      <c r="Q171" s="651">
        <v>88193.07</v>
      </c>
      <c r="R171" s="650">
        <v>1849875</v>
      </c>
      <c r="S171" s="89">
        <v>746182.76</v>
      </c>
      <c r="T171" s="89">
        <f t="shared" si="88"/>
        <v>824859.26250000007</v>
      </c>
      <c r="U171" s="89">
        <v>577807.1</v>
      </c>
      <c r="V171" s="89">
        <f t="shared" si="85"/>
        <v>82485.926250000019</v>
      </c>
      <c r="W171" s="347">
        <v>125543.18</v>
      </c>
      <c r="X171" s="256">
        <v>7.2099999999999997E-2</v>
      </c>
      <c r="Y171" s="256">
        <v>0.44590000000000002</v>
      </c>
      <c r="Z171" s="648">
        <v>0.25209999999999999</v>
      </c>
      <c r="AA171" s="89">
        <f t="shared" ref="AA171:AA189" si="90">IF(jakaKS=1,L171+R171,IF(jakaKS=2,L171,IF(jakaKS=3,R171,0)))</f>
        <v>3784500</v>
      </c>
      <c r="AB171" s="89">
        <f t="shared" ref="AB171:AB189" si="91">IF(jakaKS=1,M171+S171,IF(jakaKS=2,M171,IF(jakaKS=3,S171,0)))+IF(uspora="A",IF(jakaKS=1,Q171+W171,IF(jakaKS=2,Q171,IF(jakaKS=3,W171,0))),0)</f>
        <v>746182.76</v>
      </c>
      <c r="AC171" s="257">
        <f t="shared" ref="AC171:AC189" si="92">IF(jakaKS=1,Z171,IF(jakaKS=2,X171,IF(jakaKS=3,Y171,0)))</f>
        <v>0.25209999999999999</v>
      </c>
      <c r="AD171" s="90">
        <f t="shared" ref="AD171:AD189" si="93">IF(jakaKS=1,AA171*Z171,IF(jakaKS=2,N171,IF(jakaKS=3,T171,0)))</f>
        <v>954072.45</v>
      </c>
      <c r="AE171" s="89">
        <f t="shared" ref="AE171:AE189" si="94">IF(jakaKS=1,O171+U171,IF(jakaKS=2,O171,IF(jakaKS=3,U171,0)))+IF(uspora="A",IF(jakaKS=1,Q171+W171,IF(jakaKS=2,Q171,IF(jakaKS=3,W171,0))),0)</f>
        <v>685139.21</v>
      </c>
      <c r="AF171" s="89">
        <f t="shared" ref="AF171:AF189" si="95">IF(jakaKS=1,Q171+W171,IF(jakaKS=2,Q171,IF(jakaKS=3,W171,0)))</f>
        <v>213736.25</v>
      </c>
      <c r="AG171" s="270">
        <f t="shared" si="80"/>
        <v>9.8584061302681985</v>
      </c>
      <c r="AH171" s="271">
        <f t="shared" si="81"/>
        <v>43.087244160545666</v>
      </c>
      <c r="AI171" s="240">
        <f t="shared" si="82"/>
        <v>52.945650290813866</v>
      </c>
      <c r="AJ171" s="316">
        <v>95.415787414043535</v>
      </c>
      <c r="AK171" s="672">
        <f t="shared" si="86"/>
        <v>-42.470137123229669</v>
      </c>
      <c r="AL171" t="str">
        <f t="shared" ref="AL171:AL186" si="96">IF($M170=AL$11,$A170,"")</f>
        <v/>
      </c>
      <c r="AM171" t="str">
        <f t="shared" si="89"/>
        <v/>
      </c>
    </row>
    <row r="172" spans="1:39" x14ac:dyDescent="0.2">
      <c r="A172" s="6">
        <v>161</v>
      </c>
      <c r="B172" s="199">
        <v>60932</v>
      </c>
      <c r="C172" s="680" t="s">
        <v>224</v>
      </c>
      <c r="D172" s="173" t="s">
        <v>136</v>
      </c>
      <c r="E172" s="173" t="s">
        <v>136</v>
      </c>
      <c r="F172" s="174" t="s">
        <v>113</v>
      </c>
      <c r="G172" s="179" t="s">
        <v>4</v>
      </c>
      <c r="H172" s="179" t="s">
        <v>294</v>
      </c>
      <c r="I172" s="180" t="s">
        <v>10</v>
      </c>
      <c r="J172" s="181" t="s">
        <v>136</v>
      </c>
      <c r="K172" s="200" t="b">
        <v>0</v>
      </c>
      <c r="L172" s="650">
        <v>1471500</v>
      </c>
      <c r="M172" s="89">
        <v>0</v>
      </c>
      <c r="N172" s="89">
        <f t="shared" si="87"/>
        <v>139939.65</v>
      </c>
      <c r="O172" s="89">
        <v>207242.73</v>
      </c>
      <c r="P172" s="89">
        <f t="shared" si="84"/>
        <v>13993.965</v>
      </c>
      <c r="Q172" s="651">
        <v>146905.56</v>
      </c>
      <c r="R172" s="650">
        <v>1100475</v>
      </c>
      <c r="S172" s="89">
        <v>219468.53</v>
      </c>
      <c r="T172" s="89">
        <f t="shared" si="88"/>
        <v>354242.90250000003</v>
      </c>
      <c r="U172" s="89">
        <v>209040.38</v>
      </c>
      <c r="V172" s="89">
        <f t="shared" si="85"/>
        <v>35424.290250000005</v>
      </c>
      <c r="W172" s="347">
        <v>85109.71</v>
      </c>
      <c r="X172" s="256">
        <v>9.5100000000000004E-2</v>
      </c>
      <c r="Y172" s="256">
        <v>0.32190000000000002</v>
      </c>
      <c r="Z172" s="648">
        <v>0.18210000000000001</v>
      </c>
      <c r="AA172" s="89">
        <f t="shared" si="90"/>
        <v>2571975</v>
      </c>
      <c r="AB172" s="89">
        <f t="shared" si="91"/>
        <v>219468.53</v>
      </c>
      <c r="AC172" s="257">
        <f t="shared" si="92"/>
        <v>0.18210000000000001</v>
      </c>
      <c r="AD172" s="90">
        <f t="shared" si="93"/>
        <v>468356.64750000002</v>
      </c>
      <c r="AE172" s="89">
        <f t="shared" si="94"/>
        <v>416283.11</v>
      </c>
      <c r="AF172" s="89">
        <f t="shared" si="95"/>
        <v>232015.27000000002</v>
      </c>
      <c r="AG172" s="270">
        <f t="shared" si="80"/>
        <v>4.2665369997764362</v>
      </c>
      <c r="AH172" s="271">
        <f t="shared" si="81"/>
        <v>53.328989207951828</v>
      </c>
      <c r="AI172" s="240">
        <f t="shared" si="82"/>
        <v>57.595526207728263</v>
      </c>
      <c r="AJ172" s="316">
        <v>49.108547930923166</v>
      </c>
      <c r="AK172" s="672">
        <f t="shared" si="86"/>
        <v>8.4869782768050968</v>
      </c>
      <c r="AL172">
        <f t="shared" si="96"/>
        <v>160</v>
      </c>
      <c r="AM172">
        <f t="shared" si="89"/>
        <v>160</v>
      </c>
    </row>
    <row r="173" spans="1:39" x14ac:dyDescent="0.2">
      <c r="A173" s="6">
        <v>162</v>
      </c>
      <c r="B173" s="199">
        <v>60505</v>
      </c>
      <c r="C173" s="680" t="s">
        <v>225</v>
      </c>
      <c r="D173" s="173" t="s">
        <v>136</v>
      </c>
      <c r="E173" s="173" t="s">
        <v>136</v>
      </c>
      <c r="F173" s="174" t="s">
        <v>113</v>
      </c>
      <c r="G173" s="179" t="s">
        <v>4</v>
      </c>
      <c r="H173" s="179" t="s">
        <v>294</v>
      </c>
      <c r="I173" s="180" t="s">
        <v>11</v>
      </c>
      <c r="J173" s="181" t="s">
        <v>136</v>
      </c>
      <c r="K173" s="200" t="b">
        <v>0</v>
      </c>
      <c r="L173" s="650">
        <v>2427000</v>
      </c>
      <c r="M173" s="89">
        <v>0</v>
      </c>
      <c r="N173" s="89">
        <f t="shared" si="87"/>
        <v>595585.80000000005</v>
      </c>
      <c r="O173" s="89">
        <v>742113.18</v>
      </c>
      <c r="P173" s="89">
        <f t="shared" si="84"/>
        <v>59558.580000000009</v>
      </c>
      <c r="Q173" s="651">
        <v>533834.46</v>
      </c>
      <c r="R173" s="650">
        <v>1118250</v>
      </c>
      <c r="S173" s="89">
        <v>545824.79</v>
      </c>
      <c r="T173" s="89">
        <f t="shared" si="88"/>
        <v>380875.95</v>
      </c>
      <c r="U173" s="89">
        <v>497179.88</v>
      </c>
      <c r="V173" s="89">
        <f t="shared" si="85"/>
        <v>38087.595000000001</v>
      </c>
      <c r="W173" s="347">
        <v>178418</v>
      </c>
      <c r="X173" s="256">
        <v>0.24540000000000001</v>
      </c>
      <c r="Y173" s="256">
        <v>0.34060000000000001</v>
      </c>
      <c r="Z173" s="648">
        <v>0.27689999999999998</v>
      </c>
      <c r="AA173" s="89">
        <f t="shared" si="90"/>
        <v>3545250</v>
      </c>
      <c r="AB173" s="89">
        <f t="shared" si="91"/>
        <v>545824.79</v>
      </c>
      <c r="AC173" s="257">
        <f t="shared" si="92"/>
        <v>0.27689999999999998</v>
      </c>
      <c r="AD173" s="90">
        <f t="shared" si="93"/>
        <v>981679.72499999998</v>
      </c>
      <c r="AE173" s="89">
        <f t="shared" si="94"/>
        <v>1239293.06</v>
      </c>
      <c r="AF173" s="89">
        <f t="shared" si="95"/>
        <v>712252.46</v>
      </c>
      <c r="AG173" s="270">
        <f t="shared" si="80"/>
        <v>7.6979732035822588</v>
      </c>
      <c r="AH173" s="271">
        <f t="shared" si="81"/>
        <v>60</v>
      </c>
      <c r="AI173" s="240">
        <f t="shared" si="82"/>
        <v>67.697973203582265</v>
      </c>
      <c r="AJ173" s="316">
        <v>46.669115799088694</v>
      </c>
      <c r="AK173" s="672">
        <f t="shared" si="86"/>
        <v>21.028857404493571</v>
      </c>
      <c r="AL173">
        <f t="shared" si="96"/>
        <v>161</v>
      </c>
      <c r="AM173">
        <f t="shared" si="89"/>
        <v>161</v>
      </c>
    </row>
    <row r="174" spans="1:39" x14ac:dyDescent="0.2">
      <c r="A174" s="6">
        <v>163</v>
      </c>
      <c r="B174" s="199">
        <v>60508</v>
      </c>
      <c r="C174" s="680" t="s">
        <v>226</v>
      </c>
      <c r="D174" s="173" t="s">
        <v>136</v>
      </c>
      <c r="E174" s="173" t="s">
        <v>136</v>
      </c>
      <c r="F174" s="174" t="s">
        <v>113</v>
      </c>
      <c r="G174" s="179" t="s">
        <v>4</v>
      </c>
      <c r="H174" s="179" t="s">
        <v>294</v>
      </c>
      <c r="I174" s="180" t="s">
        <v>46</v>
      </c>
      <c r="J174" s="181" t="s">
        <v>136</v>
      </c>
      <c r="K174" s="200" t="b">
        <v>0</v>
      </c>
      <c r="L174" s="650">
        <v>1556250</v>
      </c>
      <c r="M174" s="89">
        <v>1388250.6</v>
      </c>
      <c r="N174" s="89">
        <f t="shared" si="87"/>
        <v>92908.125</v>
      </c>
      <c r="O174" s="89">
        <v>62576.55</v>
      </c>
      <c r="P174" s="89">
        <f t="shared" si="84"/>
        <v>9290.8125</v>
      </c>
      <c r="Q174" s="651">
        <v>49749.120000000003</v>
      </c>
      <c r="R174" s="650">
        <v>2344125</v>
      </c>
      <c r="S174" s="89">
        <v>1597432.39</v>
      </c>
      <c r="T174" s="89">
        <f t="shared" si="88"/>
        <v>991330.46250000002</v>
      </c>
      <c r="U174" s="89">
        <v>1151642.6399999999</v>
      </c>
      <c r="V174" s="89">
        <f t="shared" si="85"/>
        <v>99133.046250000014</v>
      </c>
      <c r="W174" s="347">
        <v>218154.49</v>
      </c>
      <c r="X174" s="256">
        <v>5.9700000000000003E-2</v>
      </c>
      <c r="Y174" s="256">
        <v>0.4229</v>
      </c>
      <c r="Z174" s="648">
        <v>0.2802</v>
      </c>
      <c r="AA174" s="89">
        <f t="shared" si="90"/>
        <v>3900375</v>
      </c>
      <c r="AB174" s="89">
        <f t="shared" si="91"/>
        <v>2985682.99</v>
      </c>
      <c r="AC174" s="257">
        <f t="shared" si="92"/>
        <v>0.2802</v>
      </c>
      <c r="AD174" s="90">
        <f t="shared" si="93"/>
        <v>1092885.075</v>
      </c>
      <c r="AE174" s="89">
        <f t="shared" si="94"/>
        <v>1214219.19</v>
      </c>
      <c r="AF174" s="89">
        <f t="shared" si="95"/>
        <v>267903.61</v>
      </c>
      <c r="AG174" s="270">
        <f t="shared" si="80"/>
        <v>38.274306829471527</v>
      </c>
      <c r="AH174" s="271">
        <f t="shared" si="81"/>
        <v>60</v>
      </c>
      <c r="AI174" s="240">
        <f t="shared" si="82"/>
        <v>98.274306829471527</v>
      </c>
      <c r="AJ174" s="316">
        <v>23.35409756954537</v>
      </c>
      <c r="AK174" s="672">
        <f t="shared" si="86"/>
        <v>74.920209259926153</v>
      </c>
      <c r="AL174">
        <f t="shared" si="96"/>
        <v>162</v>
      </c>
      <c r="AM174">
        <f t="shared" si="89"/>
        <v>162</v>
      </c>
    </row>
    <row r="175" spans="1:39" x14ac:dyDescent="0.2">
      <c r="A175" s="6">
        <v>164</v>
      </c>
      <c r="B175" s="199">
        <v>60510</v>
      </c>
      <c r="C175" s="680" t="s">
        <v>227</v>
      </c>
      <c r="D175" s="173" t="s">
        <v>136</v>
      </c>
      <c r="E175" s="173" t="s">
        <v>136</v>
      </c>
      <c r="F175" s="174" t="s">
        <v>113</v>
      </c>
      <c r="G175" s="179" t="s">
        <v>4</v>
      </c>
      <c r="H175" s="179" t="s">
        <v>294</v>
      </c>
      <c r="I175" s="180" t="s">
        <v>49</v>
      </c>
      <c r="J175" s="181" t="s">
        <v>136</v>
      </c>
      <c r="K175" s="200" t="b">
        <v>0</v>
      </c>
      <c r="L175" s="650">
        <v>1315875</v>
      </c>
      <c r="M175" s="89">
        <v>1222793.9099999999</v>
      </c>
      <c r="N175" s="89">
        <f t="shared" si="87"/>
        <v>494111.0625</v>
      </c>
      <c r="O175" s="89">
        <v>261956.61</v>
      </c>
      <c r="P175" s="89">
        <f t="shared" si="84"/>
        <v>49411.106250000004</v>
      </c>
      <c r="Q175" s="651">
        <v>199082.61</v>
      </c>
      <c r="R175" s="650">
        <v>670500</v>
      </c>
      <c r="S175" s="89">
        <v>449833.46</v>
      </c>
      <c r="T175" s="89">
        <f t="shared" si="88"/>
        <v>42107.399999999994</v>
      </c>
      <c r="U175" s="89">
        <v>0</v>
      </c>
      <c r="V175" s="89">
        <f t="shared" si="85"/>
        <v>4210.74</v>
      </c>
      <c r="W175" s="347">
        <v>0</v>
      </c>
      <c r="X175" s="256">
        <v>0.3755</v>
      </c>
      <c r="Y175" s="256">
        <v>6.2799999999999995E-2</v>
      </c>
      <c r="Z175" s="648">
        <v>0.24060000000000001</v>
      </c>
      <c r="AA175" s="89">
        <f t="shared" si="90"/>
        <v>1986375</v>
      </c>
      <c r="AB175" s="89">
        <f t="shared" si="91"/>
        <v>1672627.3699999999</v>
      </c>
      <c r="AC175" s="257">
        <f t="shared" si="92"/>
        <v>0.24060000000000001</v>
      </c>
      <c r="AD175" s="90">
        <f t="shared" si="93"/>
        <v>477921.82500000001</v>
      </c>
      <c r="AE175" s="89">
        <f t="shared" si="94"/>
        <v>261956.61</v>
      </c>
      <c r="AF175" s="89">
        <f t="shared" si="95"/>
        <v>199082.61</v>
      </c>
      <c r="AG175" s="270">
        <f t="shared" si="80"/>
        <v>40</v>
      </c>
      <c r="AH175" s="271">
        <f t="shared" si="81"/>
        <v>32.88696137699926</v>
      </c>
      <c r="AI175" s="240">
        <f t="shared" si="82"/>
        <v>72.886961376999267</v>
      </c>
      <c r="AJ175" s="316">
        <v>70.823836468983401</v>
      </c>
      <c r="AK175" s="672">
        <f t="shared" si="86"/>
        <v>2.0631249080158653</v>
      </c>
      <c r="AL175" t="str">
        <f t="shared" si="96"/>
        <v/>
      </c>
      <c r="AM175" t="str">
        <f t="shared" si="89"/>
        <v/>
      </c>
    </row>
    <row r="176" spans="1:39" x14ac:dyDescent="0.2">
      <c r="A176" s="6">
        <v>165</v>
      </c>
      <c r="B176" s="199">
        <v>60467</v>
      </c>
      <c r="C176" s="680" t="s">
        <v>228</v>
      </c>
      <c r="D176" s="173" t="s">
        <v>136</v>
      </c>
      <c r="E176" s="173" t="s">
        <v>136</v>
      </c>
      <c r="F176" s="174" t="s">
        <v>113</v>
      </c>
      <c r="G176" s="179" t="s">
        <v>4</v>
      </c>
      <c r="H176" s="179" t="s">
        <v>294</v>
      </c>
      <c r="I176" s="182" t="s">
        <v>9</v>
      </c>
      <c r="J176" s="181" t="s">
        <v>136</v>
      </c>
      <c r="K176" s="200" t="b">
        <v>0</v>
      </c>
      <c r="L176" s="650">
        <v>1593000</v>
      </c>
      <c r="M176" s="89">
        <v>0</v>
      </c>
      <c r="N176" s="89">
        <f t="shared" si="87"/>
        <v>72322.200000000012</v>
      </c>
      <c r="O176" s="89">
        <v>65095.74</v>
      </c>
      <c r="P176" s="89">
        <f t="shared" si="84"/>
        <v>7232.2200000000012</v>
      </c>
      <c r="Q176" s="651">
        <v>47307.15</v>
      </c>
      <c r="R176" s="650">
        <v>1572750</v>
      </c>
      <c r="S176" s="89">
        <v>0</v>
      </c>
      <c r="T176" s="89">
        <f t="shared" si="88"/>
        <v>622337.17500000005</v>
      </c>
      <c r="U176" s="89">
        <v>0</v>
      </c>
      <c r="V176" s="89">
        <f t="shared" si="85"/>
        <v>62233.717500000006</v>
      </c>
      <c r="W176" s="347">
        <v>0</v>
      </c>
      <c r="X176" s="256">
        <v>4.5400000000000003E-2</v>
      </c>
      <c r="Y176" s="256">
        <v>0.3957</v>
      </c>
      <c r="Z176" s="648">
        <v>0.21809999999999999</v>
      </c>
      <c r="AA176" s="89">
        <f t="shared" si="90"/>
        <v>3165750</v>
      </c>
      <c r="AB176" s="89">
        <f t="shared" si="91"/>
        <v>0</v>
      </c>
      <c r="AC176" s="257">
        <f t="shared" si="92"/>
        <v>0.21809999999999999</v>
      </c>
      <c r="AD176" s="90">
        <f t="shared" si="93"/>
        <v>690450.07499999995</v>
      </c>
      <c r="AE176" s="89">
        <f t="shared" si="94"/>
        <v>65095.74</v>
      </c>
      <c r="AF176" s="89">
        <f t="shared" si="95"/>
        <v>47307.15</v>
      </c>
      <c r="AG176" s="270">
        <f t="shared" si="80"/>
        <v>0</v>
      </c>
      <c r="AH176" s="271">
        <f t="shared" si="81"/>
        <v>5.656809292112829</v>
      </c>
      <c r="AI176" s="240">
        <f t="shared" si="82"/>
        <v>5.656809292112829</v>
      </c>
      <c r="AJ176" s="316">
        <v>58.838913579849113</v>
      </c>
      <c r="AK176" s="672">
        <f t="shared" si="86"/>
        <v>-53.18210428773628</v>
      </c>
      <c r="AL176" t="str">
        <f t="shared" si="96"/>
        <v/>
      </c>
      <c r="AM176" t="str">
        <f t="shared" si="89"/>
        <v/>
      </c>
    </row>
    <row r="177" spans="1:48" x14ac:dyDescent="0.2">
      <c r="A177" s="6">
        <v>166</v>
      </c>
      <c r="B177" s="199">
        <v>60511</v>
      </c>
      <c r="C177" s="680" t="s">
        <v>229</v>
      </c>
      <c r="D177" s="173" t="s">
        <v>136</v>
      </c>
      <c r="E177" s="173" t="s">
        <v>136</v>
      </c>
      <c r="F177" s="174" t="s">
        <v>113</v>
      </c>
      <c r="G177" s="179" t="s">
        <v>4</v>
      </c>
      <c r="H177" s="179" t="s">
        <v>294</v>
      </c>
      <c r="I177" s="180" t="s">
        <v>9</v>
      </c>
      <c r="J177" s="181" t="s">
        <v>136</v>
      </c>
      <c r="K177" s="200" t="b">
        <v>0</v>
      </c>
      <c r="L177" s="650">
        <v>1920000</v>
      </c>
      <c r="M177" s="89">
        <v>0</v>
      </c>
      <c r="N177" s="89">
        <f t="shared" si="87"/>
        <v>177216</v>
      </c>
      <c r="O177" s="89">
        <v>137455.74</v>
      </c>
      <c r="P177" s="89">
        <f t="shared" si="84"/>
        <v>17721.600000000002</v>
      </c>
      <c r="Q177" s="651">
        <v>106880.13</v>
      </c>
      <c r="R177" s="650">
        <v>1110000</v>
      </c>
      <c r="S177" s="89">
        <v>0</v>
      </c>
      <c r="T177" s="89">
        <f t="shared" si="88"/>
        <v>267843</v>
      </c>
      <c r="U177" s="89">
        <v>0</v>
      </c>
      <c r="V177" s="89">
        <f t="shared" si="85"/>
        <v>26784.300000000003</v>
      </c>
      <c r="W177" s="347">
        <v>0</v>
      </c>
      <c r="X177" s="256">
        <v>9.2299999999999993E-2</v>
      </c>
      <c r="Y177" s="256">
        <v>0.24129999999999999</v>
      </c>
      <c r="Z177" s="648">
        <v>0.14929999999999999</v>
      </c>
      <c r="AA177" s="89">
        <f t="shared" si="90"/>
        <v>3030000</v>
      </c>
      <c r="AB177" s="89">
        <f t="shared" si="91"/>
        <v>0</v>
      </c>
      <c r="AC177" s="257">
        <f t="shared" si="92"/>
        <v>0.14929999999999999</v>
      </c>
      <c r="AD177" s="90">
        <f t="shared" si="93"/>
        <v>452378.99999999994</v>
      </c>
      <c r="AE177" s="89">
        <f t="shared" si="94"/>
        <v>137455.74</v>
      </c>
      <c r="AF177" s="89">
        <f t="shared" si="95"/>
        <v>106880.13</v>
      </c>
      <c r="AG177" s="270">
        <f t="shared" si="80"/>
        <v>0</v>
      </c>
      <c r="AH177" s="271">
        <f t="shared" si="81"/>
        <v>18.231050512954845</v>
      </c>
      <c r="AI177" s="240">
        <f t="shared" si="82"/>
        <v>18.231050512954845</v>
      </c>
      <c r="AJ177" s="316">
        <v>68.969132995529066</v>
      </c>
      <c r="AK177" s="672">
        <f t="shared" si="86"/>
        <v>-50.738082482574221</v>
      </c>
      <c r="AL177">
        <f t="shared" si="96"/>
        <v>165</v>
      </c>
      <c r="AM177">
        <f t="shared" si="89"/>
        <v>165</v>
      </c>
    </row>
    <row r="178" spans="1:48" x14ac:dyDescent="0.2">
      <c r="A178" s="6">
        <v>167</v>
      </c>
      <c r="B178" s="199">
        <v>60512</v>
      </c>
      <c r="C178" s="680" t="s">
        <v>230</v>
      </c>
      <c r="D178" s="173" t="s">
        <v>136</v>
      </c>
      <c r="E178" s="173" t="s">
        <v>136</v>
      </c>
      <c r="F178" s="174" t="s">
        <v>113</v>
      </c>
      <c r="G178" s="179" t="s">
        <v>4</v>
      </c>
      <c r="H178" s="179" t="s">
        <v>294</v>
      </c>
      <c r="I178" s="180" t="s">
        <v>9</v>
      </c>
      <c r="J178" s="181" t="s">
        <v>136</v>
      </c>
      <c r="K178" s="200" t="b">
        <v>0</v>
      </c>
      <c r="L178" s="650">
        <v>1577625</v>
      </c>
      <c r="M178" s="89">
        <v>0</v>
      </c>
      <c r="N178" s="89">
        <f t="shared" si="87"/>
        <v>58056.6</v>
      </c>
      <c r="O178" s="89">
        <v>63463.59</v>
      </c>
      <c r="P178" s="89">
        <f t="shared" si="84"/>
        <v>5805.66</v>
      </c>
      <c r="Q178" s="651">
        <v>61217.279999999999</v>
      </c>
      <c r="R178" s="650">
        <v>1768500</v>
      </c>
      <c r="S178" s="89">
        <v>10494.32</v>
      </c>
      <c r="T178" s="89">
        <f t="shared" si="88"/>
        <v>537800.85</v>
      </c>
      <c r="U178" s="89">
        <v>81.58</v>
      </c>
      <c r="V178" s="89">
        <f t="shared" si="85"/>
        <v>53780.084999999999</v>
      </c>
      <c r="W178" s="347">
        <v>21.59</v>
      </c>
      <c r="X178" s="256">
        <v>3.6799999999999999E-2</v>
      </c>
      <c r="Y178" s="256">
        <v>0.30409999999999998</v>
      </c>
      <c r="Z178" s="648">
        <v>0.1696</v>
      </c>
      <c r="AA178" s="89">
        <f t="shared" si="90"/>
        <v>3346125</v>
      </c>
      <c r="AB178" s="89">
        <f t="shared" si="91"/>
        <v>10494.32</v>
      </c>
      <c r="AC178" s="257">
        <f t="shared" si="92"/>
        <v>0.1696</v>
      </c>
      <c r="AD178" s="90">
        <f t="shared" si="93"/>
        <v>567502.80000000005</v>
      </c>
      <c r="AE178" s="89">
        <f t="shared" si="94"/>
        <v>63545.17</v>
      </c>
      <c r="AF178" s="89">
        <f t="shared" si="95"/>
        <v>61238.869999999995</v>
      </c>
      <c r="AG178" s="270">
        <f t="shared" si="80"/>
        <v>0.156813029997385</v>
      </c>
      <c r="AH178" s="271">
        <f t="shared" si="81"/>
        <v>6.718398922437034</v>
      </c>
      <c r="AI178" s="240">
        <f t="shared" si="82"/>
        <v>6.8752119524344186</v>
      </c>
      <c r="AJ178" s="316">
        <v>90.478548243340526</v>
      </c>
      <c r="AK178" s="672">
        <f t="shared" si="86"/>
        <v>-83.603336290906114</v>
      </c>
      <c r="AL178">
        <f t="shared" si="96"/>
        <v>166</v>
      </c>
      <c r="AM178">
        <f t="shared" si="89"/>
        <v>166</v>
      </c>
    </row>
    <row r="179" spans="1:48" x14ac:dyDescent="0.2">
      <c r="A179" s="6">
        <v>168</v>
      </c>
      <c r="B179" s="199">
        <v>60476</v>
      </c>
      <c r="C179" s="680" t="s">
        <v>231</v>
      </c>
      <c r="D179" s="173" t="s">
        <v>136</v>
      </c>
      <c r="E179" s="173" t="s">
        <v>136</v>
      </c>
      <c r="F179" s="174" t="s">
        <v>113</v>
      </c>
      <c r="G179" s="179" t="s">
        <v>4</v>
      </c>
      <c r="H179" s="179" t="s">
        <v>294</v>
      </c>
      <c r="I179" s="182" t="s">
        <v>8</v>
      </c>
      <c r="J179" s="181" t="s">
        <v>136</v>
      </c>
      <c r="K179" s="200" t="b">
        <v>0</v>
      </c>
      <c r="L179" s="650">
        <v>1689987.9975000001</v>
      </c>
      <c r="M179" s="89">
        <v>0</v>
      </c>
      <c r="N179" s="89">
        <f t="shared" si="87"/>
        <v>72669.483892499993</v>
      </c>
      <c r="O179" s="89">
        <v>80160.12</v>
      </c>
      <c r="P179" s="89">
        <f t="shared" si="84"/>
        <v>7266.9483892499993</v>
      </c>
      <c r="Q179" s="651">
        <v>74951.55</v>
      </c>
      <c r="R179" s="650">
        <v>465000</v>
      </c>
      <c r="S179" s="89">
        <v>0</v>
      </c>
      <c r="T179" s="89">
        <f t="shared" si="88"/>
        <v>81142.5</v>
      </c>
      <c r="U179" s="89">
        <v>0</v>
      </c>
      <c r="V179" s="89">
        <f t="shared" si="85"/>
        <v>8114.25</v>
      </c>
      <c r="W179" s="347">
        <v>0</v>
      </c>
      <c r="X179" s="256">
        <v>4.2999999999999997E-2</v>
      </c>
      <c r="Y179" s="256">
        <v>0.17449999999999999</v>
      </c>
      <c r="Z179" s="648">
        <v>6.8400000000000002E-2</v>
      </c>
      <c r="AA179" s="89">
        <f t="shared" si="90"/>
        <v>2154987.9975000001</v>
      </c>
      <c r="AB179" s="89">
        <f t="shared" si="91"/>
        <v>0</v>
      </c>
      <c r="AC179" s="257">
        <f t="shared" si="92"/>
        <v>6.8400000000000002E-2</v>
      </c>
      <c r="AD179" s="90">
        <f t="shared" si="93"/>
        <v>147401.17902900002</v>
      </c>
      <c r="AE179" s="89">
        <f t="shared" si="94"/>
        <v>80160.12</v>
      </c>
      <c r="AF179" s="89">
        <f t="shared" si="95"/>
        <v>74951.55</v>
      </c>
      <c r="AG179" s="270">
        <f t="shared" si="80"/>
        <v>0</v>
      </c>
      <c r="AH179" s="271">
        <f t="shared" si="81"/>
        <v>32.629367225439537</v>
      </c>
      <c r="AI179" s="240">
        <f t="shared" si="82"/>
        <v>32.629367225439537</v>
      </c>
      <c r="AJ179" s="316">
        <v>80.770259022438665</v>
      </c>
      <c r="AK179" s="672">
        <f t="shared" si="86"/>
        <v>-48.140891796999128</v>
      </c>
      <c r="AL179">
        <f t="shared" si="96"/>
        <v>167</v>
      </c>
      <c r="AM179">
        <f t="shared" si="89"/>
        <v>167</v>
      </c>
    </row>
    <row r="180" spans="1:48" x14ac:dyDescent="0.2">
      <c r="A180" s="6">
        <v>169</v>
      </c>
      <c r="B180" s="199">
        <v>60477</v>
      </c>
      <c r="C180" s="680" t="s">
        <v>232</v>
      </c>
      <c r="D180" s="173" t="s">
        <v>136</v>
      </c>
      <c r="E180" s="173" t="s">
        <v>136</v>
      </c>
      <c r="F180" s="174" t="s">
        <v>113</v>
      </c>
      <c r="G180" s="179" t="s">
        <v>4</v>
      </c>
      <c r="H180" s="179" t="s">
        <v>294</v>
      </c>
      <c r="I180" s="180" t="s">
        <v>8</v>
      </c>
      <c r="J180" s="181" t="s">
        <v>136</v>
      </c>
      <c r="K180" s="200" t="b">
        <v>0</v>
      </c>
      <c r="L180" s="650">
        <v>2986500</v>
      </c>
      <c r="M180" s="89">
        <v>2847749.85</v>
      </c>
      <c r="N180" s="89">
        <f t="shared" si="87"/>
        <v>115278.90000000001</v>
      </c>
      <c r="O180" s="89">
        <v>139900.85999999999</v>
      </c>
      <c r="P180" s="89">
        <f t="shared" si="84"/>
        <v>11527.890000000001</v>
      </c>
      <c r="Q180" s="651">
        <v>123291.54</v>
      </c>
      <c r="R180" s="650">
        <v>979500</v>
      </c>
      <c r="S180" s="89">
        <v>14530.84</v>
      </c>
      <c r="T180" s="89">
        <f t="shared" si="88"/>
        <v>85314.45</v>
      </c>
      <c r="U180" s="89">
        <v>14530.84</v>
      </c>
      <c r="V180" s="89">
        <f t="shared" si="85"/>
        <v>8531.4449999999997</v>
      </c>
      <c r="W180" s="347">
        <v>3588.64</v>
      </c>
      <c r="X180" s="256">
        <v>3.8600000000000002E-2</v>
      </c>
      <c r="Y180" s="256">
        <v>8.7099999999999997E-2</v>
      </c>
      <c r="Z180" s="648">
        <v>5.04E-2</v>
      </c>
      <c r="AA180" s="89">
        <f t="shared" si="90"/>
        <v>3966000</v>
      </c>
      <c r="AB180" s="89">
        <f t="shared" si="91"/>
        <v>2862280.69</v>
      </c>
      <c r="AC180" s="257">
        <f t="shared" si="92"/>
        <v>5.04E-2</v>
      </c>
      <c r="AD180" s="90">
        <f t="shared" si="93"/>
        <v>199886.4</v>
      </c>
      <c r="AE180" s="89">
        <f t="shared" si="94"/>
        <v>154431.69999999998</v>
      </c>
      <c r="AF180" s="89">
        <f t="shared" si="95"/>
        <v>126880.18</v>
      </c>
      <c r="AG180" s="270">
        <f t="shared" si="80"/>
        <v>36.085233106404438</v>
      </c>
      <c r="AH180" s="271">
        <f t="shared" si="81"/>
        <v>46.355840117186553</v>
      </c>
      <c r="AI180" s="240">
        <f t="shared" si="82"/>
        <v>82.44107322359099</v>
      </c>
      <c r="AJ180" s="316">
        <v>6.5336181968050555</v>
      </c>
      <c r="AK180" s="672">
        <f t="shared" si="86"/>
        <v>75.907455026785939</v>
      </c>
      <c r="AL180">
        <f t="shared" si="96"/>
        <v>168</v>
      </c>
      <c r="AM180">
        <f t="shared" si="89"/>
        <v>168</v>
      </c>
    </row>
    <row r="181" spans="1:48" x14ac:dyDescent="0.2">
      <c r="A181" s="6">
        <v>170</v>
      </c>
      <c r="B181" s="199">
        <v>60480</v>
      </c>
      <c r="C181" s="680" t="s">
        <v>233</v>
      </c>
      <c r="D181" s="173" t="s">
        <v>136</v>
      </c>
      <c r="E181" s="173" t="s">
        <v>136</v>
      </c>
      <c r="F181" s="174" t="s">
        <v>113</v>
      </c>
      <c r="G181" s="179" t="s">
        <v>4</v>
      </c>
      <c r="H181" s="179" t="s">
        <v>294</v>
      </c>
      <c r="I181" s="180" t="s">
        <v>8</v>
      </c>
      <c r="J181" s="181" t="s">
        <v>136</v>
      </c>
      <c r="K181" s="200" t="b">
        <v>0</v>
      </c>
      <c r="L181" s="650">
        <v>1666125</v>
      </c>
      <c r="M181" s="89">
        <v>0</v>
      </c>
      <c r="N181" s="89">
        <f t="shared" si="87"/>
        <v>250251.97500000001</v>
      </c>
      <c r="O181" s="89">
        <v>232448.13</v>
      </c>
      <c r="P181" s="89">
        <f t="shared" si="84"/>
        <v>25025.197500000002</v>
      </c>
      <c r="Q181" s="651">
        <v>178402.95</v>
      </c>
      <c r="R181" s="650">
        <v>240000</v>
      </c>
      <c r="S181" s="89">
        <v>1645.6</v>
      </c>
      <c r="T181" s="89">
        <f t="shared" si="88"/>
        <v>19416</v>
      </c>
      <c r="U181" s="89">
        <v>1645.6</v>
      </c>
      <c r="V181" s="89">
        <f t="shared" si="85"/>
        <v>1941.6000000000001</v>
      </c>
      <c r="W181" s="347">
        <v>285.08</v>
      </c>
      <c r="X181" s="256">
        <v>0.1502</v>
      </c>
      <c r="Y181" s="256">
        <v>8.09E-2</v>
      </c>
      <c r="Z181" s="648">
        <v>0.13189999999999999</v>
      </c>
      <c r="AA181" s="89">
        <f t="shared" si="90"/>
        <v>1906125</v>
      </c>
      <c r="AB181" s="89">
        <f t="shared" si="91"/>
        <v>1645.6</v>
      </c>
      <c r="AC181" s="257">
        <f t="shared" si="92"/>
        <v>0.13189999999999999</v>
      </c>
      <c r="AD181" s="90">
        <f t="shared" si="93"/>
        <v>251417.88749999998</v>
      </c>
      <c r="AE181" s="89">
        <f t="shared" si="94"/>
        <v>234093.73</v>
      </c>
      <c r="AF181" s="89">
        <f t="shared" si="95"/>
        <v>178688.03</v>
      </c>
      <c r="AG181" s="270">
        <f t="shared" si="80"/>
        <v>4.3166109253065771E-2</v>
      </c>
      <c r="AH181" s="271">
        <f t="shared" si="81"/>
        <v>55.865650370640395</v>
      </c>
      <c r="AI181" s="240">
        <f t="shared" si="82"/>
        <v>55.90881647989346</v>
      </c>
      <c r="AJ181" s="316">
        <v>20.978494468343712</v>
      </c>
      <c r="AK181" s="672">
        <f t="shared" si="86"/>
        <v>34.930322011549748</v>
      </c>
      <c r="AL181" t="str">
        <f t="shared" si="96"/>
        <v/>
      </c>
      <c r="AM181" t="str">
        <f t="shared" si="89"/>
        <v/>
      </c>
    </row>
    <row r="182" spans="1:48" x14ac:dyDescent="0.2">
      <c r="A182" s="6">
        <v>171</v>
      </c>
      <c r="B182" s="199">
        <v>61067</v>
      </c>
      <c r="C182" s="680" t="s">
        <v>234</v>
      </c>
      <c r="D182" s="173" t="s">
        <v>136</v>
      </c>
      <c r="E182" s="173" t="s">
        <v>136</v>
      </c>
      <c r="F182" s="174" t="s">
        <v>113</v>
      </c>
      <c r="G182" s="179" t="s">
        <v>4</v>
      </c>
      <c r="H182" s="179" t="s">
        <v>294</v>
      </c>
      <c r="I182" s="180" t="s">
        <v>8</v>
      </c>
      <c r="J182" s="181" t="s">
        <v>136</v>
      </c>
      <c r="K182" s="200" t="b">
        <v>0</v>
      </c>
      <c r="L182" s="650">
        <v>1837500</v>
      </c>
      <c r="M182" s="89">
        <v>0</v>
      </c>
      <c r="N182" s="89">
        <f t="shared" si="87"/>
        <v>96285</v>
      </c>
      <c r="O182" s="89">
        <v>86691.24</v>
      </c>
      <c r="P182" s="89">
        <f t="shared" si="84"/>
        <v>9628.5</v>
      </c>
      <c r="Q182" s="651">
        <v>59307.12</v>
      </c>
      <c r="R182" s="650">
        <v>1803750</v>
      </c>
      <c r="S182" s="89">
        <v>96587.5</v>
      </c>
      <c r="T182" s="89">
        <f t="shared" si="88"/>
        <v>706348.5</v>
      </c>
      <c r="U182" s="89">
        <v>88995.48</v>
      </c>
      <c r="V182" s="89">
        <f t="shared" si="85"/>
        <v>70634.850000000006</v>
      </c>
      <c r="W182" s="347">
        <v>17104.25</v>
      </c>
      <c r="X182" s="256">
        <v>5.2400000000000002E-2</v>
      </c>
      <c r="Y182" s="256">
        <v>0.3916</v>
      </c>
      <c r="Z182" s="648">
        <v>0.21659999999999999</v>
      </c>
      <c r="AA182" s="89">
        <f t="shared" si="90"/>
        <v>3641250</v>
      </c>
      <c r="AB182" s="89">
        <f t="shared" si="91"/>
        <v>96587.5</v>
      </c>
      <c r="AC182" s="257">
        <f t="shared" si="92"/>
        <v>0.21659999999999999</v>
      </c>
      <c r="AD182" s="90">
        <f t="shared" si="93"/>
        <v>788694.75</v>
      </c>
      <c r="AE182" s="89">
        <f t="shared" si="94"/>
        <v>175686.72</v>
      </c>
      <c r="AF182" s="89">
        <f t="shared" si="95"/>
        <v>76411.37</v>
      </c>
      <c r="AG182" s="270">
        <f t="shared" si="80"/>
        <v>1.3262959148644011</v>
      </c>
      <c r="AH182" s="271">
        <f t="shared" si="81"/>
        <v>13.365377669877985</v>
      </c>
      <c r="AI182" s="240">
        <f t="shared" si="82"/>
        <v>14.691673584742386</v>
      </c>
      <c r="AJ182" s="316">
        <v>9.9953229557598959</v>
      </c>
      <c r="AK182" s="672">
        <f t="shared" si="86"/>
        <v>4.6963506289824899</v>
      </c>
      <c r="AL182">
        <f t="shared" si="96"/>
        <v>170</v>
      </c>
      <c r="AM182">
        <f t="shared" si="89"/>
        <v>170</v>
      </c>
    </row>
    <row r="183" spans="1:48" x14ac:dyDescent="0.2">
      <c r="A183" s="6">
        <v>172</v>
      </c>
      <c r="B183" s="199">
        <v>60506</v>
      </c>
      <c r="C183" s="680" t="s">
        <v>235</v>
      </c>
      <c r="D183" s="173" t="s">
        <v>136</v>
      </c>
      <c r="E183" s="173" t="s">
        <v>136</v>
      </c>
      <c r="F183" s="174" t="s">
        <v>113</v>
      </c>
      <c r="G183" s="179" t="s">
        <v>4</v>
      </c>
      <c r="H183" s="179" t="s">
        <v>294</v>
      </c>
      <c r="I183" s="182" t="s">
        <v>12</v>
      </c>
      <c r="J183" s="181" t="s">
        <v>136</v>
      </c>
      <c r="K183" s="200" t="b">
        <v>0</v>
      </c>
      <c r="L183" s="650">
        <v>2395200</v>
      </c>
      <c r="M183" s="89">
        <v>2158324.06</v>
      </c>
      <c r="N183" s="89">
        <f t="shared" si="87"/>
        <v>81676.319999999992</v>
      </c>
      <c r="O183" s="89">
        <v>147319.82999999999</v>
      </c>
      <c r="P183" s="89">
        <f t="shared" si="84"/>
        <v>8167.6319999999996</v>
      </c>
      <c r="Q183" s="651">
        <v>121522.68</v>
      </c>
      <c r="R183" s="650">
        <v>2937000</v>
      </c>
      <c r="S183" s="89">
        <v>157540.95000000001</v>
      </c>
      <c r="T183" s="89">
        <f t="shared" si="88"/>
        <v>1285231.2</v>
      </c>
      <c r="U183" s="89">
        <v>37081.300000000003</v>
      </c>
      <c r="V183" s="89">
        <f t="shared" si="85"/>
        <v>128523.12</v>
      </c>
      <c r="W183" s="347">
        <v>6345.25</v>
      </c>
      <c r="X183" s="256">
        <v>3.4099999999999998E-2</v>
      </c>
      <c r="Y183" s="256">
        <v>0.43759999999999999</v>
      </c>
      <c r="Z183" s="648">
        <v>0.2571</v>
      </c>
      <c r="AA183" s="89">
        <f t="shared" si="90"/>
        <v>5332200</v>
      </c>
      <c r="AB183" s="89">
        <f t="shared" si="91"/>
        <v>2315865.0100000002</v>
      </c>
      <c r="AC183" s="257">
        <f t="shared" si="92"/>
        <v>0.2571</v>
      </c>
      <c r="AD183" s="90">
        <f t="shared" si="93"/>
        <v>1370908.6199999999</v>
      </c>
      <c r="AE183" s="89">
        <f t="shared" si="94"/>
        <v>184401.13</v>
      </c>
      <c r="AF183" s="89">
        <f t="shared" si="95"/>
        <v>127867.93</v>
      </c>
      <c r="AG183" s="270">
        <f t="shared" si="80"/>
        <v>21.715849086680919</v>
      </c>
      <c r="AH183" s="271">
        <f t="shared" si="81"/>
        <v>8.070609257676125</v>
      </c>
      <c r="AI183" s="240">
        <f t="shared" si="82"/>
        <v>29.786458344357044</v>
      </c>
      <c r="AJ183" s="316">
        <v>16.798102748728496</v>
      </c>
      <c r="AK183" s="672">
        <f t="shared" si="86"/>
        <v>12.988355595628548</v>
      </c>
      <c r="AL183">
        <f t="shared" si="96"/>
        <v>171</v>
      </c>
      <c r="AM183">
        <f t="shared" si="89"/>
        <v>171</v>
      </c>
    </row>
    <row r="184" spans="1:48" x14ac:dyDescent="0.2">
      <c r="A184" s="6">
        <v>173</v>
      </c>
      <c r="B184" s="199">
        <v>60507</v>
      </c>
      <c r="C184" s="680" t="s">
        <v>236</v>
      </c>
      <c r="D184" s="173" t="s">
        <v>136</v>
      </c>
      <c r="E184" s="173" t="s">
        <v>136</v>
      </c>
      <c r="F184" s="174" t="s">
        <v>113</v>
      </c>
      <c r="G184" s="179" t="s">
        <v>4</v>
      </c>
      <c r="H184" s="179" t="s">
        <v>294</v>
      </c>
      <c r="I184" s="182" t="s">
        <v>12</v>
      </c>
      <c r="J184" s="181" t="s">
        <v>136</v>
      </c>
      <c r="K184" s="200" t="b">
        <v>0</v>
      </c>
      <c r="L184" s="650">
        <v>2191500</v>
      </c>
      <c r="M184" s="89">
        <v>0</v>
      </c>
      <c r="N184" s="89">
        <f t="shared" si="87"/>
        <v>713114.10000000009</v>
      </c>
      <c r="O184" s="89">
        <v>375261.84</v>
      </c>
      <c r="P184" s="89">
        <f t="shared" si="84"/>
        <v>71311.410000000018</v>
      </c>
      <c r="Q184" s="651">
        <v>257404.23</v>
      </c>
      <c r="R184" s="650">
        <v>1593000</v>
      </c>
      <c r="S184" s="89">
        <v>36410.86</v>
      </c>
      <c r="T184" s="89">
        <f t="shared" si="88"/>
        <v>566311.5</v>
      </c>
      <c r="U184" s="89">
        <v>36410.86</v>
      </c>
      <c r="V184" s="89">
        <f t="shared" si="85"/>
        <v>56631.15</v>
      </c>
      <c r="W184" s="347">
        <v>14658.82</v>
      </c>
      <c r="X184" s="256">
        <v>0.32540000000000002</v>
      </c>
      <c r="Y184" s="256">
        <v>0.35549999999999998</v>
      </c>
      <c r="Z184" s="648">
        <v>0.34060000000000001</v>
      </c>
      <c r="AA184" s="89">
        <f t="shared" si="90"/>
        <v>3784500</v>
      </c>
      <c r="AB184" s="89">
        <f t="shared" si="91"/>
        <v>36410.86</v>
      </c>
      <c r="AC184" s="257">
        <f t="shared" si="92"/>
        <v>0.34060000000000001</v>
      </c>
      <c r="AD184" s="90">
        <f t="shared" si="93"/>
        <v>1289000.7</v>
      </c>
      <c r="AE184" s="89">
        <f t="shared" si="94"/>
        <v>411672.7</v>
      </c>
      <c r="AF184" s="89">
        <f t="shared" si="95"/>
        <v>272063.05</v>
      </c>
      <c r="AG184" s="270">
        <f t="shared" si="80"/>
        <v>0.48105245078610126</v>
      </c>
      <c r="AH184" s="271">
        <f t="shared" si="81"/>
        <v>19.162411626308661</v>
      </c>
      <c r="AI184" s="240">
        <f t="shared" si="82"/>
        <v>19.643464077094762</v>
      </c>
      <c r="AJ184" s="316">
        <v>79.216049776604862</v>
      </c>
      <c r="AK184" s="672">
        <f t="shared" si="86"/>
        <v>-59.5725856995101</v>
      </c>
      <c r="AL184" t="str">
        <f t="shared" si="96"/>
        <v/>
      </c>
      <c r="AM184" t="str">
        <f t="shared" si="89"/>
        <v/>
      </c>
    </row>
    <row r="185" spans="1:48" x14ac:dyDescent="0.2">
      <c r="A185" s="6">
        <v>174</v>
      </c>
      <c r="B185" s="199">
        <v>60515</v>
      </c>
      <c r="C185" s="680" t="s">
        <v>237</v>
      </c>
      <c r="D185" s="173" t="s">
        <v>136</v>
      </c>
      <c r="E185" s="173" t="s">
        <v>136</v>
      </c>
      <c r="F185" s="174" t="s">
        <v>113</v>
      </c>
      <c r="G185" s="179" t="s">
        <v>4</v>
      </c>
      <c r="H185" s="179" t="s">
        <v>294</v>
      </c>
      <c r="I185" s="182" t="s">
        <v>47</v>
      </c>
      <c r="J185" s="181" t="s">
        <v>136</v>
      </c>
      <c r="K185" s="200" t="b">
        <v>0</v>
      </c>
      <c r="L185" s="650">
        <v>144000</v>
      </c>
      <c r="M185" s="89">
        <v>0</v>
      </c>
      <c r="N185" s="89">
        <f t="shared" si="87"/>
        <v>0.14399999999999999</v>
      </c>
      <c r="O185" s="89">
        <v>0</v>
      </c>
      <c r="P185" s="89">
        <f t="shared" si="84"/>
        <v>1.44E-2</v>
      </c>
      <c r="Q185" s="651">
        <v>0</v>
      </c>
      <c r="R185" s="650">
        <v>235500</v>
      </c>
      <c r="S185" s="89">
        <v>0</v>
      </c>
      <c r="T185" s="89">
        <f t="shared" si="88"/>
        <v>21289.199999999997</v>
      </c>
      <c r="U185" s="89">
        <v>0</v>
      </c>
      <c r="V185" s="89">
        <f t="shared" si="85"/>
        <v>2128.9199999999996</v>
      </c>
      <c r="W185" s="347">
        <v>0</v>
      </c>
      <c r="X185" s="256">
        <v>9.9999999999999995E-7</v>
      </c>
      <c r="Y185" s="256">
        <v>9.0399999999999994E-2</v>
      </c>
      <c r="Z185" s="648">
        <v>4.4999999999999998E-2</v>
      </c>
      <c r="AA185" s="89">
        <f t="shared" si="90"/>
        <v>379500</v>
      </c>
      <c r="AB185" s="89">
        <f t="shared" si="91"/>
        <v>0</v>
      </c>
      <c r="AC185" s="257">
        <f t="shared" si="92"/>
        <v>4.4999999999999998E-2</v>
      </c>
      <c r="AD185" s="90">
        <f t="shared" si="93"/>
        <v>17077.5</v>
      </c>
      <c r="AE185" s="89">
        <f t="shared" si="94"/>
        <v>0</v>
      </c>
      <c r="AF185" s="89">
        <f t="shared" si="95"/>
        <v>0</v>
      </c>
      <c r="AG185" s="270">
        <f t="shared" si="80"/>
        <v>0</v>
      </c>
      <c r="AH185" s="271">
        <f t="shared" si="81"/>
        <v>0</v>
      </c>
      <c r="AI185" s="240">
        <f t="shared" si="82"/>
        <v>0</v>
      </c>
      <c r="AJ185" s="316">
        <v>60.063795905621099</v>
      </c>
      <c r="AK185" s="672">
        <f t="shared" si="86"/>
        <v>-60.063795905621099</v>
      </c>
      <c r="AL185">
        <f t="shared" si="96"/>
        <v>173</v>
      </c>
      <c r="AM185">
        <f t="shared" si="89"/>
        <v>173</v>
      </c>
    </row>
    <row r="186" spans="1:48" x14ac:dyDescent="0.2">
      <c r="A186" s="6">
        <v>175</v>
      </c>
      <c r="B186" s="199"/>
      <c r="C186" s="680"/>
      <c r="D186" s="173"/>
      <c r="E186" s="173"/>
      <c r="F186" s="174"/>
      <c r="G186" s="179"/>
      <c r="H186" s="179"/>
      <c r="I186" s="182"/>
      <c r="J186" s="181"/>
      <c r="K186" s="200"/>
      <c r="L186" s="650"/>
      <c r="M186" s="89"/>
      <c r="N186" s="89">
        <f t="shared" si="87"/>
        <v>0</v>
      </c>
      <c r="O186" s="89"/>
      <c r="P186" s="89">
        <f t="shared" si="84"/>
        <v>0</v>
      </c>
      <c r="Q186" s="651"/>
      <c r="R186" s="650"/>
      <c r="S186" s="89"/>
      <c r="T186" s="89">
        <f t="shared" si="88"/>
        <v>0</v>
      </c>
      <c r="U186" s="89"/>
      <c r="V186" s="89">
        <f t="shared" si="85"/>
        <v>0</v>
      </c>
      <c r="W186" s="347"/>
      <c r="X186" s="256"/>
      <c r="Y186" s="256"/>
      <c r="Z186" s="648"/>
      <c r="AA186" s="89">
        <f t="shared" si="90"/>
        <v>0</v>
      </c>
      <c r="AB186" s="89">
        <f t="shared" si="91"/>
        <v>0</v>
      </c>
      <c r="AC186" s="257">
        <f t="shared" si="92"/>
        <v>0</v>
      </c>
      <c r="AD186" s="90">
        <f t="shared" si="93"/>
        <v>0</v>
      </c>
      <c r="AE186" s="89">
        <f t="shared" si="94"/>
        <v>0</v>
      </c>
      <c r="AF186" s="89">
        <f t="shared" si="95"/>
        <v>0</v>
      </c>
      <c r="AG186" s="270" t="e">
        <f t="shared" si="80"/>
        <v>#DIV/0!</v>
      </c>
      <c r="AH186" s="271" t="e">
        <f t="shared" si="81"/>
        <v>#DIV/0!</v>
      </c>
      <c r="AI186" s="240" t="e">
        <f t="shared" si="82"/>
        <v>#DIV/0!</v>
      </c>
      <c r="AJ186" s="316">
        <v>17.674514364785672</v>
      </c>
      <c r="AK186" s="672" t="e">
        <f t="shared" si="86"/>
        <v>#DIV/0!</v>
      </c>
      <c r="AL186">
        <f t="shared" si="96"/>
        <v>174</v>
      </c>
      <c r="AM186">
        <f t="shared" si="89"/>
        <v>174</v>
      </c>
    </row>
    <row r="187" spans="1:48" x14ac:dyDescent="0.2">
      <c r="A187" s="6">
        <v>176</v>
      </c>
      <c r="B187" s="199"/>
      <c r="C187" s="680"/>
      <c r="D187" s="173"/>
      <c r="E187" s="173"/>
      <c r="F187" s="174"/>
      <c r="G187" s="179"/>
      <c r="H187" s="179"/>
      <c r="I187" s="182"/>
      <c r="J187" s="181"/>
      <c r="K187" s="200"/>
      <c r="L187" s="650"/>
      <c r="M187" s="89"/>
      <c r="N187" s="89">
        <f t="shared" si="87"/>
        <v>0</v>
      </c>
      <c r="O187" s="89"/>
      <c r="P187" s="89">
        <f t="shared" si="84"/>
        <v>0</v>
      </c>
      <c r="Q187" s="651"/>
      <c r="R187" s="650"/>
      <c r="S187" s="89"/>
      <c r="T187" s="89">
        <f t="shared" si="88"/>
        <v>0</v>
      </c>
      <c r="U187" s="89"/>
      <c r="V187" s="89">
        <f t="shared" si="85"/>
        <v>0</v>
      </c>
      <c r="W187" s="347"/>
      <c r="X187" s="256"/>
      <c r="Y187" s="256"/>
      <c r="Z187" s="648"/>
      <c r="AA187" s="89">
        <f t="shared" si="90"/>
        <v>0</v>
      </c>
      <c r="AB187" s="89">
        <f t="shared" si="91"/>
        <v>0</v>
      </c>
      <c r="AC187" s="257">
        <f t="shared" si="92"/>
        <v>0</v>
      </c>
      <c r="AD187" s="90">
        <f t="shared" si="93"/>
        <v>0</v>
      </c>
      <c r="AE187" s="89">
        <f t="shared" si="94"/>
        <v>0</v>
      </c>
      <c r="AF187" s="89">
        <f t="shared" si="95"/>
        <v>0</v>
      </c>
      <c r="AG187" s="270" t="e">
        <f t="shared" si="80"/>
        <v>#DIV/0!</v>
      </c>
      <c r="AH187" s="271" t="e">
        <f t="shared" si="81"/>
        <v>#DIV/0!</v>
      </c>
      <c r="AI187" s="240" t="e">
        <f t="shared" si="82"/>
        <v>#DIV/0!</v>
      </c>
      <c r="AJ187" s="316">
        <v>30.957260221188221</v>
      </c>
      <c r="AK187" s="672" t="e">
        <f t="shared" si="86"/>
        <v>#DIV/0!</v>
      </c>
    </row>
    <row r="188" spans="1:48" x14ac:dyDescent="0.2">
      <c r="A188" s="6">
        <v>177</v>
      </c>
      <c r="B188" s="199"/>
      <c r="C188" s="680"/>
      <c r="D188" s="173"/>
      <c r="E188" s="173"/>
      <c r="F188" s="174"/>
      <c r="G188" s="179"/>
      <c r="H188" s="179"/>
      <c r="I188" s="182"/>
      <c r="J188" s="181"/>
      <c r="K188" s="200"/>
      <c r="L188" s="650"/>
      <c r="M188" s="89"/>
      <c r="N188" s="89">
        <f t="shared" si="87"/>
        <v>0</v>
      </c>
      <c r="O188" s="89"/>
      <c r="P188" s="89">
        <f t="shared" si="84"/>
        <v>0</v>
      </c>
      <c r="Q188" s="651"/>
      <c r="R188" s="650"/>
      <c r="S188" s="89"/>
      <c r="T188" s="89">
        <f t="shared" si="88"/>
        <v>0</v>
      </c>
      <c r="U188" s="89"/>
      <c r="V188" s="89">
        <f t="shared" si="85"/>
        <v>0</v>
      </c>
      <c r="W188" s="347"/>
      <c r="X188" s="256"/>
      <c r="Y188" s="256"/>
      <c r="Z188" s="648"/>
      <c r="AA188" s="89">
        <f t="shared" si="90"/>
        <v>0</v>
      </c>
      <c r="AB188" s="89">
        <f t="shared" si="91"/>
        <v>0</v>
      </c>
      <c r="AC188" s="257">
        <f t="shared" si="92"/>
        <v>0</v>
      </c>
      <c r="AD188" s="90">
        <f t="shared" si="93"/>
        <v>0</v>
      </c>
      <c r="AE188" s="89">
        <f t="shared" si="94"/>
        <v>0</v>
      </c>
      <c r="AF188" s="89">
        <f t="shared" si="95"/>
        <v>0</v>
      </c>
      <c r="AG188" s="270" t="e">
        <f t="shared" si="80"/>
        <v>#DIV/0!</v>
      </c>
      <c r="AH188" s="271" t="e">
        <f t="shared" si="81"/>
        <v>#DIV/0!</v>
      </c>
      <c r="AI188" s="240" t="e">
        <f t="shared" si="82"/>
        <v>#DIV/0!</v>
      </c>
      <c r="AJ188" s="316">
        <v>39.996487357459543</v>
      </c>
      <c r="AK188" s="672" t="e">
        <f t="shared" si="86"/>
        <v>#DIV/0!</v>
      </c>
    </row>
    <row r="189" spans="1:48" ht="12" thickBot="1" x14ac:dyDescent="0.25">
      <c r="A189" s="6">
        <v>178</v>
      </c>
      <c r="B189" s="199"/>
      <c r="C189" s="682"/>
      <c r="D189" s="173"/>
      <c r="E189" s="173"/>
      <c r="F189" s="174"/>
      <c r="G189" s="179"/>
      <c r="H189" s="179"/>
      <c r="I189" s="180"/>
      <c r="J189" s="181"/>
      <c r="K189" s="200"/>
      <c r="L189" s="650"/>
      <c r="M189" s="652"/>
      <c r="N189" s="89">
        <f t="shared" si="87"/>
        <v>0</v>
      </c>
      <c r="O189" s="652"/>
      <c r="P189" s="89">
        <f t="shared" si="84"/>
        <v>0</v>
      </c>
      <c r="Q189" s="653"/>
      <c r="R189" s="650"/>
      <c r="S189" s="89"/>
      <c r="T189" s="89">
        <f t="shared" si="88"/>
        <v>0</v>
      </c>
      <c r="U189" s="89"/>
      <c r="V189" s="89">
        <f t="shared" si="85"/>
        <v>0</v>
      </c>
      <c r="W189" s="348"/>
      <c r="X189" s="362"/>
      <c r="Y189" s="362"/>
      <c r="Z189" s="649"/>
      <c r="AA189" s="89">
        <f t="shared" si="90"/>
        <v>0</v>
      </c>
      <c r="AB189" s="89">
        <f t="shared" si="91"/>
        <v>0</v>
      </c>
      <c r="AC189" s="257">
        <f t="shared" si="92"/>
        <v>0</v>
      </c>
      <c r="AD189" s="90">
        <f t="shared" si="93"/>
        <v>0</v>
      </c>
      <c r="AE189" s="89">
        <f t="shared" si="94"/>
        <v>0</v>
      </c>
      <c r="AF189" s="89">
        <f t="shared" si="95"/>
        <v>0</v>
      </c>
      <c r="AG189" s="270" t="e">
        <f t="shared" si="80"/>
        <v>#DIV/0!</v>
      </c>
      <c r="AH189" s="272" t="e">
        <f t="shared" si="81"/>
        <v>#DIV/0!</v>
      </c>
      <c r="AI189" s="240" t="e">
        <f t="shared" si="82"/>
        <v>#DIV/0!</v>
      </c>
      <c r="AJ189" s="316">
        <v>0</v>
      </c>
      <c r="AK189" s="672" t="e">
        <f t="shared" si="86"/>
        <v>#DIV/0!</v>
      </c>
    </row>
    <row r="190" spans="1:48" ht="12" thickTop="1" x14ac:dyDescent="0.2">
      <c r="A190" s="195">
        <v>179</v>
      </c>
      <c r="B190" s="192" t="s">
        <v>85</v>
      </c>
      <c r="C190" s="85" t="s">
        <v>33</v>
      </c>
      <c r="D190" s="815"/>
      <c r="E190" s="815"/>
      <c r="F190" s="815"/>
      <c r="G190" s="815"/>
      <c r="H190" s="815"/>
      <c r="I190" s="815"/>
      <c r="J190" s="815"/>
      <c r="K190" s="816"/>
      <c r="L190" s="654">
        <f t="shared" ref="L190:W199" si="97">SUMIF($I$12:$I$189,$C190,L$12:L$189)</f>
        <v>3427500</v>
      </c>
      <c r="M190" s="655">
        <f t="shared" si="97"/>
        <v>1719232.85</v>
      </c>
      <c r="N190" s="655">
        <f t="shared" si="97"/>
        <v>325360.46685305779</v>
      </c>
      <c r="O190" s="655">
        <f t="shared" si="97"/>
        <v>91671.48</v>
      </c>
      <c r="P190" s="655">
        <f t="shared" si="97"/>
        <v>32536.046685305781</v>
      </c>
      <c r="Q190" s="655">
        <f t="shared" si="97"/>
        <v>81508.320000000007</v>
      </c>
      <c r="R190" s="655">
        <f t="shared" si="97"/>
        <v>1866750</v>
      </c>
      <c r="S190" s="655">
        <f t="shared" si="97"/>
        <v>152295.51999999999</v>
      </c>
      <c r="T190" s="655">
        <f t="shared" si="97"/>
        <v>690071.32173580513</v>
      </c>
      <c r="U190" s="655">
        <f t="shared" si="97"/>
        <v>56855.42</v>
      </c>
      <c r="V190" s="655">
        <f t="shared" si="97"/>
        <v>69007.132173580525</v>
      </c>
      <c r="W190" s="656">
        <f t="shared" si="97"/>
        <v>9457.19</v>
      </c>
      <c r="X190" s="296">
        <f>N190/L190</f>
        <v>9.4926467353189728E-2</v>
      </c>
      <c r="Y190" s="295">
        <f>T190/R190</f>
        <v>0.36966456233336287</v>
      </c>
      <c r="Z190" s="297">
        <f>(T190+N190)/(R190+L190)</f>
        <v>0.19179898731432457</v>
      </c>
      <c r="AA190" s="86">
        <f t="shared" ref="AA190:AB213" si="98">SUMIF($I$12:$I$189,$C190,AA$12:AA$189)</f>
        <v>5294250</v>
      </c>
      <c r="AB190" s="86">
        <f t="shared" si="98"/>
        <v>1871528.37</v>
      </c>
      <c r="AC190" s="294">
        <f>AD190/AA190</f>
        <v>0.18332159889195335</v>
      </c>
      <c r="AD190" s="86">
        <f t="shared" ref="AD190:AF213" si="99">SUMIF($I$12:$I$189,$C190,AD$12:AD$189)</f>
        <v>970550.37493372394</v>
      </c>
      <c r="AE190" s="86">
        <f t="shared" si="99"/>
        <v>148526.9</v>
      </c>
      <c r="AF190" s="86">
        <f t="shared" si="99"/>
        <v>90965.510000000009</v>
      </c>
      <c r="AG190" s="224">
        <f t="shared" si="80"/>
        <v>17.67510383907069</v>
      </c>
      <c r="AH190" s="224">
        <f t="shared" si="81"/>
        <v>9.1820210781007088</v>
      </c>
      <c r="AI190" s="241">
        <f t="shared" si="82"/>
        <v>26.857124917171397</v>
      </c>
      <c r="AJ190" s="317">
        <v>40.872458574016434</v>
      </c>
      <c r="AK190" s="322">
        <f t="shared" si="86"/>
        <v>-14.015333656845037</v>
      </c>
      <c r="AN190" s="19"/>
      <c r="AO190" s="19"/>
      <c r="AP190" s="19"/>
      <c r="AQ190" s="19"/>
      <c r="AR190" s="19"/>
      <c r="AS190" s="19"/>
      <c r="AT190" s="19"/>
      <c r="AU190" s="19"/>
      <c r="AV190" s="19"/>
    </row>
    <row r="191" spans="1:48" s="19" customFormat="1" x14ac:dyDescent="0.2">
      <c r="A191" s="196">
        <v>180</v>
      </c>
      <c r="B191" s="193" t="s">
        <v>86</v>
      </c>
      <c r="C191" s="84" t="s">
        <v>34</v>
      </c>
      <c r="D191" s="817"/>
      <c r="E191" s="817"/>
      <c r="F191" s="817"/>
      <c r="G191" s="817"/>
      <c r="H191" s="817"/>
      <c r="I191" s="817"/>
      <c r="J191" s="817"/>
      <c r="K191" s="818"/>
      <c r="L191" s="657">
        <f t="shared" si="97"/>
        <v>11367109.5</v>
      </c>
      <c r="M191" s="658">
        <f t="shared" si="97"/>
        <v>0</v>
      </c>
      <c r="N191" s="658">
        <f t="shared" si="97"/>
        <v>2691873.6637500003</v>
      </c>
      <c r="O191" s="658">
        <f t="shared" si="97"/>
        <v>549516.6</v>
      </c>
      <c r="P191" s="658">
        <f t="shared" si="97"/>
        <v>269187.36637500004</v>
      </c>
      <c r="Q191" s="658">
        <f t="shared" si="97"/>
        <v>438825.32999999996</v>
      </c>
      <c r="R191" s="658">
        <f t="shared" si="97"/>
        <v>2865300</v>
      </c>
      <c r="S191" s="658">
        <f t="shared" si="97"/>
        <v>11476.5</v>
      </c>
      <c r="T191" s="658">
        <f t="shared" si="97"/>
        <v>1054885.26</v>
      </c>
      <c r="U191" s="658">
        <f t="shared" si="97"/>
        <v>11476.5</v>
      </c>
      <c r="V191" s="658">
        <f t="shared" si="97"/>
        <v>105488.526</v>
      </c>
      <c r="W191" s="659">
        <f t="shared" si="97"/>
        <v>2718.3</v>
      </c>
      <c r="X191" s="296">
        <f t="shared" ref="X191:X213" si="100">N191/L191</f>
        <v>0.23681250398353251</v>
      </c>
      <c r="Y191" s="295">
        <f t="shared" ref="Y191:Y213" si="101">T191/R191</f>
        <v>0.3681587477751021</v>
      </c>
      <c r="Z191" s="297">
        <f t="shared" ref="Z191:Z213" si="102">(T191+N191)/(R191+L191)</f>
        <v>0.26325541882068526</v>
      </c>
      <c r="AA191" s="87">
        <f t="shared" si="98"/>
        <v>14232409.5</v>
      </c>
      <c r="AB191" s="87">
        <f t="shared" si="98"/>
        <v>11476.5</v>
      </c>
      <c r="AC191" s="295">
        <f t="shared" ref="AC191:AC213" si="103">AD191/AA191</f>
        <v>0.24935439633745782</v>
      </c>
      <c r="AD191" s="87">
        <f t="shared" si="99"/>
        <v>3548913.8792999997</v>
      </c>
      <c r="AE191" s="87">
        <f t="shared" si="99"/>
        <v>560993.1</v>
      </c>
      <c r="AF191" s="87">
        <f t="shared" si="99"/>
        <v>441543.63</v>
      </c>
      <c r="AG191" s="225">
        <f t="shared" si="80"/>
        <v>4.0318190676006047E-2</v>
      </c>
      <c r="AH191" s="225">
        <f t="shared" si="81"/>
        <v>9.484475291533176</v>
      </c>
      <c r="AI191" s="242">
        <f t="shared" si="82"/>
        <v>9.5247934822091818</v>
      </c>
      <c r="AJ191" s="318">
        <v>41.825582049319728</v>
      </c>
      <c r="AK191" s="322">
        <f t="shared" si="86"/>
        <v>-32.300788567110544</v>
      </c>
    </row>
    <row r="192" spans="1:48" s="19" customFormat="1" x14ac:dyDescent="0.2">
      <c r="A192" s="196">
        <v>181</v>
      </c>
      <c r="B192" s="193" t="s">
        <v>87</v>
      </c>
      <c r="C192" s="84" t="s">
        <v>35</v>
      </c>
      <c r="D192" s="817"/>
      <c r="E192" s="817"/>
      <c r="F192" s="817"/>
      <c r="G192" s="817"/>
      <c r="H192" s="817"/>
      <c r="I192" s="817"/>
      <c r="J192" s="817"/>
      <c r="K192" s="818"/>
      <c r="L192" s="657">
        <f t="shared" si="97"/>
        <v>3308700</v>
      </c>
      <c r="M192" s="658">
        <f t="shared" si="97"/>
        <v>1963640.74</v>
      </c>
      <c r="N192" s="658">
        <f t="shared" si="97"/>
        <v>829399.85790706007</v>
      </c>
      <c r="O192" s="658">
        <f t="shared" si="97"/>
        <v>478809.72000000003</v>
      </c>
      <c r="P192" s="658">
        <f t="shared" si="97"/>
        <v>82939.985790706007</v>
      </c>
      <c r="Q192" s="658">
        <f t="shared" si="97"/>
        <v>382910.94</v>
      </c>
      <c r="R192" s="658">
        <f t="shared" si="97"/>
        <v>2209800</v>
      </c>
      <c r="S192" s="658">
        <f t="shared" si="97"/>
        <v>1111845.6100000001</v>
      </c>
      <c r="T192" s="658">
        <f t="shared" si="97"/>
        <v>787339.87574659265</v>
      </c>
      <c r="U192" s="658">
        <f t="shared" si="97"/>
        <v>785035.62</v>
      </c>
      <c r="V192" s="658">
        <f t="shared" si="97"/>
        <v>78733.987574659259</v>
      </c>
      <c r="W192" s="659">
        <f t="shared" si="97"/>
        <v>172752.18</v>
      </c>
      <c r="X192" s="296">
        <f t="shared" si="100"/>
        <v>0.25067242660472694</v>
      </c>
      <c r="Y192" s="295">
        <f t="shared" si="101"/>
        <v>0.35629463107366849</v>
      </c>
      <c r="Z192" s="297">
        <f t="shared" si="102"/>
        <v>0.29296724357228465</v>
      </c>
      <c r="AA192" s="87">
        <f t="shared" si="98"/>
        <v>5518500</v>
      </c>
      <c r="AB192" s="87">
        <f t="shared" si="98"/>
        <v>3075486.35</v>
      </c>
      <c r="AC192" s="295">
        <f t="shared" si="103"/>
        <v>0.28411706312362345</v>
      </c>
      <c r="AD192" s="87">
        <f t="shared" si="99"/>
        <v>1567900.012847716</v>
      </c>
      <c r="AE192" s="87">
        <f t="shared" si="99"/>
        <v>1263845.3399999999</v>
      </c>
      <c r="AF192" s="87">
        <f t="shared" si="99"/>
        <v>555663.12</v>
      </c>
      <c r="AG192" s="225">
        <f t="shared" si="80"/>
        <v>27.865238289390234</v>
      </c>
      <c r="AH192" s="225">
        <f t="shared" si="81"/>
        <v>48.364512901732546</v>
      </c>
      <c r="AI192" s="242">
        <f t="shared" si="82"/>
        <v>76.229751191122773</v>
      </c>
      <c r="AJ192" s="318">
        <v>34.288449581472506</v>
      </c>
      <c r="AK192" s="322">
        <f t="shared" si="86"/>
        <v>41.941301609650267</v>
      </c>
    </row>
    <row r="193" spans="1:37" s="19" customFormat="1" x14ac:dyDescent="0.2">
      <c r="A193" s="196">
        <v>182</v>
      </c>
      <c r="B193" s="193" t="s">
        <v>88</v>
      </c>
      <c r="C193" s="84" t="s">
        <v>36</v>
      </c>
      <c r="D193" s="817"/>
      <c r="E193" s="817"/>
      <c r="F193" s="817"/>
      <c r="G193" s="817"/>
      <c r="H193" s="817"/>
      <c r="I193" s="817"/>
      <c r="J193" s="817"/>
      <c r="K193" s="818"/>
      <c r="L193" s="657">
        <f t="shared" si="97"/>
        <v>1827750</v>
      </c>
      <c r="M193" s="658">
        <f t="shared" si="97"/>
        <v>0</v>
      </c>
      <c r="N193" s="658">
        <f t="shared" si="97"/>
        <v>438941.5435703508</v>
      </c>
      <c r="O193" s="658">
        <f t="shared" si="97"/>
        <v>235955.43</v>
      </c>
      <c r="P193" s="658">
        <f t="shared" si="97"/>
        <v>43894.154357035077</v>
      </c>
      <c r="Q193" s="658">
        <f t="shared" si="97"/>
        <v>206116.83000000002</v>
      </c>
      <c r="R193" s="658">
        <f t="shared" si="97"/>
        <v>540750</v>
      </c>
      <c r="S193" s="658">
        <f t="shared" si="97"/>
        <v>0</v>
      </c>
      <c r="T193" s="658">
        <f t="shared" si="97"/>
        <v>44660.789455635269</v>
      </c>
      <c r="U193" s="658">
        <f t="shared" si="97"/>
        <v>0</v>
      </c>
      <c r="V193" s="658">
        <f t="shared" si="97"/>
        <v>4466.0789455635268</v>
      </c>
      <c r="W193" s="659">
        <f t="shared" si="97"/>
        <v>0</v>
      </c>
      <c r="X193" s="296">
        <f t="shared" si="100"/>
        <v>0.24015403833694476</v>
      </c>
      <c r="Y193" s="295">
        <f t="shared" si="101"/>
        <v>8.2590456690957506E-2</v>
      </c>
      <c r="Z193" s="297">
        <f t="shared" si="102"/>
        <v>0.20418084569389322</v>
      </c>
      <c r="AA193" s="87">
        <f t="shared" si="98"/>
        <v>2368500</v>
      </c>
      <c r="AB193" s="87">
        <f t="shared" si="98"/>
        <v>0</v>
      </c>
      <c r="AC193" s="295">
        <f t="shared" si="103"/>
        <v>0.17325511522452644</v>
      </c>
      <c r="AD193" s="87">
        <f t="shared" si="99"/>
        <v>410354.74040929088</v>
      </c>
      <c r="AE193" s="87">
        <f t="shared" si="99"/>
        <v>235955.43</v>
      </c>
      <c r="AF193" s="87">
        <f t="shared" si="99"/>
        <v>206116.83000000002</v>
      </c>
      <c r="AG193" s="225">
        <f t="shared" si="80"/>
        <v>0</v>
      </c>
      <c r="AH193" s="225">
        <f t="shared" si="81"/>
        <v>34.50021263524183</v>
      </c>
      <c r="AI193" s="242">
        <f t="shared" si="82"/>
        <v>34.50021263524183</v>
      </c>
      <c r="AJ193" s="318">
        <v>47.994911906684308</v>
      </c>
      <c r="AK193" s="322">
        <f t="shared" si="86"/>
        <v>-13.494699271442478</v>
      </c>
    </row>
    <row r="194" spans="1:37" s="19" customFormat="1" x14ac:dyDescent="0.2">
      <c r="A194" s="196">
        <v>183</v>
      </c>
      <c r="B194" s="193" t="s">
        <v>89</v>
      </c>
      <c r="C194" s="84" t="s">
        <v>7</v>
      </c>
      <c r="D194" s="817"/>
      <c r="E194" s="817"/>
      <c r="F194" s="817"/>
      <c r="G194" s="817"/>
      <c r="H194" s="817"/>
      <c r="I194" s="817"/>
      <c r="J194" s="817"/>
      <c r="K194" s="818"/>
      <c r="L194" s="657">
        <f t="shared" si="97"/>
        <v>54456598.769999996</v>
      </c>
      <c r="M194" s="658">
        <f t="shared" si="97"/>
        <v>36719994.469999999</v>
      </c>
      <c r="N194" s="658">
        <f t="shared" si="97"/>
        <v>9685029.5788332913</v>
      </c>
      <c r="O194" s="658">
        <f t="shared" si="97"/>
        <v>789710.13</v>
      </c>
      <c r="P194" s="658">
        <f t="shared" si="97"/>
        <v>968502.95788332925</v>
      </c>
      <c r="Q194" s="658">
        <f t="shared" si="97"/>
        <v>871614.18</v>
      </c>
      <c r="R194" s="658">
        <f t="shared" si="97"/>
        <v>7736460.1425000001</v>
      </c>
      <c r="S194" s="658">
        <f t="shared" si="97"/>
        <v>2083724.43</v>
      </c>
      <c r="T194" s="658">
        <f t="shared" si="97"/>
        <v>1897754.4836425427</v>
      </c>
      <c r="U194" s="658">
        <f t="shared" si="97"/>
        <v>1268699.04</v>
      </c>
      <c r="V194" s="658">
        <f t="shared" si="97"/>
        <v>189775.44836425432</v>
      </c>
      <c r="W194" s="659">
        <f t="shared" si="97"/>
        <v>245451.33</v>
      </c>
      <c r="X194" s="296">
        <f t="shared" si="100"/>
        <v>0.17784859498365788</v>
      </c>
      <c r="Y194" s="295">
        <f t="shared" si="101"/>
        <v>0.24530010478788461</v>
      </c>
      <c r="Z194" s="297">
        <f t="shared" si="102"/>
        <v>0.18623917628447514</v>
      </c>
      <c r="AA194" s="87">
        <f t="shared" si="98"/>
        <v>62193058.912499994</v>
      </c>
      <c r="AB194" s="87">
        <f t="shared" si="98"/>
        <v>38803718.900000006</v>
      </c>
      <c r="AC194" s="295">
        <f t="shared" si="103"/>
        <v>0.18357701078473518</v>
      </c>
      <c r="AD194" s="87">
        <f t="shared" si="99"/>
        <v>11417215.846715681</v>
      </c>
      <c r="AE194" s="87">
        <f t="shared" si="99"/>
        <v>2058409.1700000004</v>
      </c>
      <c r="AF194" s="87">
        <f t="shared" si="99"/>
        <v>1117065.51</v>
      </c>
      <c r="AG194" s="225">
        <f t="shared" si="80"/>
        <v>31.19618135730655</v>
      </c>
      <c r="AH194" s="225">
        <f t="shared" si="81"/>
        <v>10.817396452702416</v>
      </c>
      <c r="AI194" s="242">
        <f t="shared" si="82"/>
        <v>42.013577810008968</v>
      </c>
      <c r="AJ194" s="318">
        <v>23.830327615383673</v>
      </c>
      <c r="AK194" s="322">
        <f t="shared" si="86"/>
        <v>18.183250194625295</v>
      </c>
    </row>
    <row r="195" spans="1:37" s="19" customFormat="1" x14ac:dyDescent="0.2">
      <c r="A195" s="196">
        <v>184</v>
      </c>
      <c r="B195" s="193" t="s">
        <v>90</v>
      </c>
      <c r="C195" s="84" t="s">
        <v>37</v>
      </c>
      <c r="D195" s="817"/>
      <c r="E195" s="817"/>
      <c r="F195" s="817"/>
      <c r="G195" s="817"/>
      <c r="H195" s="817"/>
      <c r="I195" s="817"/>
      <c r="J195" s="817"/>
      <c r="K195" s="818"/>
      <c r="L195" s="657">
        <f t="shared" si="97"/>
        <v>1635457.5</v>
      </c>
      <c r="M195" s="658">
        <f t="shared" si="97"/>
        <v>0</v>
      </c>
      <c r="N195" s="658">
        <f t="shared" si="97"/>
        <v>352109.24028683227</v>
      </c>
      <c r="O195" s="658">
        <f t="shared" si="97"/>
        <v>142662.51</v>
      </c>
      <c r="P195" s="658">
        <f t="shared" si="97"/>
        <v>35210.924028683228</v>
      </c>
      <c r="Q195" s="658">
        <f t="shared" si="97"/>
        <v>117598.14</v>
      </c>
      <c r="R195" s="658">
        <f t="shared" si="97"/>
        <v>942375</v>
      </c>
      <c r="S195" s="658">
        <f t="shared" si="97"/>
        <v>24975.68</v>
      </c>
      <c r="T195" s="658">
        <f t="shared" si="97"/>
        <v>27018.471979530514</v>
      </c>
      <c r="U195" s="658">
        <f t="shared" si="97"/>
        <v>23563.61</v>
      </c>
      <c r="V195" s="658">
        <f t="shared" si="97"/>
        <v>2701.8471979530514</v>
      </c>
      <c r="W195" s="659">
        <f t="shared" si="97"/>
        <v>2408.4</v>
      </c>
      <c r="X195" s="296">
        <f t="shared" si="100"/>
        <v>0.21529708982766735</v>
      </c>
      <c r="Y195" s="295">
        <f t="shared" si="101"/>
        <v>2.8670616240382557E-2</v>
      </c>
      <c r="Z195" s="297">
        <f t="shared" si="102"/>
        <v>0.14707228350420859</v>
      </c>
      <c r="AA195" s="87">
        <f t="shared" si="98"/>
        <v>2577832.5</v>
      </c>
      <c r="AB195" s="87">
        <f t="shared" si="98"/>
        <v>24975.68</v>
      </c>
      <c r="AC195" s="295">
        <f t="shared" si="103"/>
        <v>0.16478052443444011</v>
      </c>
      <c r="AD195" s="87">
        <f t="shared" si="99"/>
        <v>424776.59125414386</v>
      </c>
      <c r="AE195" s="87">
        <f t="shared" si="99"/>
        <v>166226.12</v>
      </c>
      <c r="AF195" s="87">
        <f t="shared" si="99"/>
        <v>120006.54</v>
      </c>
      <c r="AG195" s="225">
        <f t="shared" si="80"/>
        <v>0.4844317852304213</v>
      </c>
      <c r="AH195" s="225">
        <f t="shared" si="81"/>
        <v>23.479559385683789</v>
      </c>
      <c r="AI195" s="242">
        <f t="shared" si="82"/>
        <v>23.963991170914209</v>
      </c>
      <c r="AJ195" s="318">
        <v>27.418666663989637</v>
      </c>
      <c r="AK195" s="322">
        <f t="shared" si="86"/>
        <v>-3.4546754930754275</v>
      </c>
    </row>
    <row r="196" spans="1:37" s="19" customFormat="1" x14ac:dyDescent="0.2">
      <c r="A196" s="196">
        <v>185</v>
      </c>
      <c r="B196" s="193" t="s">
        <v>91</v>
      </c>
      <c r="C196" s="84" t="s">
        <v>38</v>
      </c>
      <c r="D196" s="817"/>
      <c r="E196" s="817"/>
      <c r="F196" s="817"/>
      <c r="G196" s="817"/>
      <c r="H196" s="817"/>
      <c r="I196" s="817"/>
      <c r="J196" s="817"/>
      <c r="K196" s="818"/>
      <c r="L196" s="657">
        <f t="shared" si="97"/>
        <v>5029125</v>
      </c>
      <c r="M196" s="658">
        <f t="shared" si="97"/>
        <v>0</v>
      </c>
      <c r="N196" s="658">
        <f t="shared" si="97"/>
        <v>1625164.8246027329</v>
      </c>
      <c r="O196" s="658">
        <f t="shared" si="97"/>
        <v>828923.22</v>
      </c>
      <c r="P196" s="658">
        <f t="shared" si="97"/>
        <v>162516.48246027331</v>
      </c>
      <c r="Q196" s="658">
        <f t="shared" si="97"/>
        <v>664772.31000000006</v>
      </c>
      <c r="R196" s="658">
        <f t="shared" si="97"/>
        <v>2432850</v>
      </c>
      <c r="S196" s="658">
        <f t="shared" si="97"/>
        <v>53204.88</v>
      </c>
      <c r="T196" s="658">
        <f t="shared" si="97"/>
        <v>642757.15358562954</v>
      </c>
      <c r="U196" s="658">
        <f t="shared" si="97"/>
        <v>49595.44</v>
      </c>
      <c r="V196" s="658">
        <f t="shared" si="97"/>
        <v>64275.715358562957</v>
      </c>
      <c r="W196" s="659">
        <f t="shared" si="97"/>
        <v>8795.01</v>
      </c>
      <c r="X196" s="296">
        <f t="shared" si="100"/>
        <v>0.32315061260213912</v>
      </c>
      <c r="Y196" s="295">
        <f t="shared" si="101"/>
        <v>0.26419925338003969</v>
      </c>
      <c r="Z196" s="297">
        <f t="shared" si="102"/>
        <v>0.30393052485278527</v>
      </c>
      <c r="AA196" s="87">
        <f t="shared" si="98"/>
        <v>7461975</v>
      </c>
      <c r="AB196" s="87">
        <f t="shared" si="98"/>
        <v>53204.88</v>
      </c>
      <c r="AC196" s="295">
        <f t="shared" si="103"/>
        <v>0.25870377272564821</v>
      </c>
      <c r="AD196" s="87">
        <f t="shared" si="99"/>
        <v>1930441.0844844687</v>
      </c>
      <c r="AE196" s="87">
        <f t="shared" si="99"/>
        <v>878518.65999999992</v>
      </c>
      <c r="AF196" s="87">
        <f t="shared" si="99"/>
        <v>673567.32000000007</v>
      </c>
      <c r="AG196" s="225">
        <f t="shared" si="80"/>
        <v>0.35650668891278781</v>
      </c>
      <c r="AH196" s="225">
        <f t="shared" si="81"/>
        <v>27.305220565214341</v>
      </c>
      <c r="AI196" s="242">
        <f t="shared" si="82"/>
        <v>27.661727254127129</v>
      </c>
      <c r="AJ196" s="318">
        <v>49.055768502924813</v>
      </c>
      <c r="AK196" s="322">
        <f t="shared" si="86"/>
        <v>-21.394041248797684</v>
      </c>
    </row>
    <row r="197" spans="1:37" s="19" customFormat="1" x14ac:dyDescent="0.2">
      <c r="A197" s="196">
        <v>186</v>
      </c>
      <c r="B197" s="193" t="s">
        <v>92</v>
      </c>
      <c r="C197" s="84" t="s">
        <v>8</v>
      </c>
      <c r="D197" s="817"/>
      <c r="E197" s="817"/>
      <c r="F197" s="817"/>
      <c r="G197" s="817"/>
      <c r="H197" s="817"/>
      <c r="I197" s="817"/>
      <c r="J197" s="817"/>
      <c r="K197" s="818"/>
      <c r="L197" s="657">
        <f t="shared" si="97"/>
        <v>81839487.997500002</v>
      </c>
      <c r="M197" s="658">
        <f t="shared" si="97"/>
        <v>23493401.710000001</v>
      </c>
      <c r="N197" s="658">
        <f t="shared" si="97"/>
        <v>8621144.9066678956</v>
      </c>
      <c r="O197" s="658">
        <f t="shared" si="97"/>
        <v>3636791.22</v>
      </c>
      <c r="P197" s="658">
        <f t="shared" si="97"/>
        <v>862114.49066678958</v>
      </c>
      <c r="Q197" s="658">
        <f t="shared" si="97"/>
        <v>2967795.52</v>
      </c>
      <c r="R197" s="658">
        <f t="shared" si="97"/>
        <v>32158200</v>
      </c>
      <c r="S197" s="658">
        <f t="shared" si="97"/>
        <v>18467314.050000001</v>
      </c>
      <c r="T197" s="658">
        <f t="shared" si="97"/>
        <v>13912892.392319752</v>
      </c>
      <c r="U197" s="658">
        <f t="shared" si="97"/>
        <v>11224529.93</v>
      </c>
      <c r="V197" s="658">
        <f t="shared" si="97"/>
        <v>1391289.2392319755</v>
      </c>
      <c r="W197" s="659">
        <f t="shared" si="97"/>
        <v>1372981.0000000002</v>
      </c>
      <c r="X197" s="296">
        <f t="shared" si="100"/>
        <v>0.10534211683889384</v>
      </c>
      <c r="Y197" s="295">
        <f t="shared" si="101"/>
        <v>0.43263902806499593</v>
      </c>
      <c r="Z197" s="297">
        <f t="shared" si="102"/>
        <v>0.19767100276175625</v>
      </c>
      <c r="AA197" s="87">
        <f t="shared" si="98"/>
        <v>113997687.9975</v>
      </c>
      <c r="AB197" s="87">
        <f t="shared" si="98"/>
        <v>41960715.759999998</v>
      </c>
      <c r="AC197" s="295">
        <f t="shared" si="103"/>
        <v>0.19715412270483404</v>
      </c>
      <c r="AD197" s="87">
        <f t="shared" si="99"/>
        <v>22475114.167526502</v>
      </c>
      <c r="AE197" s="87">
        <f t="shared" si="99"/>
        <v>14861321.149999999</v>
      </c>
      <c r="AF197" s="87">
        <f t="shared" si="99"/>
        <v>4340776.5200000005</v>
      </c>
      <c r="AG197" s="225">
        <f t="shared" si="80"/>
        <v>18.404195952167122</v>
      </c>
      <c r="AH197" s="225">
        <f t="shared" si="81"/>
        <v>39.674070723447343</v>
      </c>
      <c r="AI197" s="242">
        <f t="shared" si="82"/>
        <v>58.078266675614465</v>
      </c>
      <c r="AJ197" s="318">
        <v>57.229141902833554</v>
      </c>
      <c r="AK197" s="322">
        <f t="shared" si="86"/>
        <v>0.84912477278091103</v>
      </c>
    </row>
    <row r="198" spans="1:37" s="19" customFormat="1" x14ac:dyDescent="0.2">
      <c r="A198" s="196">
        <v>187</v>
      </c>
      <c r="B198" s="193" t="s">
        <v>93</v>
      </c>
      <c r="C198" s="84" t="s">
        <v>39</v>
      </c>
      <c r="D198" s="817"/>
      <c r="E198" s="817"/>
      <c r="F198" s="817"/>
      <c r="G198" s="817"/>
      <c r="H198" s="817"/>
      <c r="I198" s="817"/>
      <c r="J198" s="817"/>
      <c r="K198" s="818"/>
      <c r="L198" s="657">
        <f t="shared" si="97"/>
        <v>2282265.9675000003</v>
      </c>
      <c r="M198" s="658">
        <f t="shared" si="97"/>
        <v>772243.95</v>
      </c>
      <c r="N198" s="658">
        <f t="shared" si="97"/>
        <v>662390.29917155323</v>
      </c>
      <c r="O198" s="658">
        <f t="shared" si="97"/>
        <v>346534.29000000004</v>
      </c>
      <c r="P198" s="658">
        <f t="shared" si="97"/>
        <v>66239.029917155334</v>
      </c>
      <c r="Q198" s="658">
        <f t="shared" si="97"/>
        <v>239075.27999999997</v>
      </c>
      <c r="R198" s="658">
        <f t="shared" si="97"/>
        <v>1575843.2925</v>
      </c>
      <c r="S198" s="658">
        <f t="shared" si="97"/>
        <v>133221.35999999999</v>
      </c>
      <c r="T198" s="658">
        <f t="shared" si="97"/>
        <v>375551.46039067023</v>
      </c>
      <c r="U198" s="658">
        <f t="shared" si="97"/>
        <v>17523.68</v>
      </c>
      <c r="V198" s="658">
        <f t="shared" si="97"/>
        <v>37555.146039067025</v>
      </c>
      <c r="W198" s="659">
        <f t="shared" si="97"/>
        <v>4155.63</v>
      </c>
      <c r="X198" s="296">
        <f t="shared" si="100"/>
        <v>0.29023361369978151</v>
      </c>
      <c r="Y198" s="295">
        <f t="shared" si="101"/>
        <v>0.23831777066796775</v>
      </c>
      <c r="Z198" s="297">
        <f t="shared" si="102"/>
        <v>0.26902860691981112</v>
      </c>
      <c r="AA198" s="87">
        <f t="shared" si="98"/>
        <v>3858109.26</v>
      </c>
      <c r="AB198" s="87">
        <f t="shared" si="98"/>
        <v>905465.31</v>
      </c>
      <c r="AC198" s="295">
        <f t="shared" si="103"/>
        <v>0.27118539508371098</v>
      </c>
      <c r="AD198" s="87">
        <f t="shared" si="99"/>
        <v>1046262.8839492237</v>
      </c>
      <c r="AE198" s="87">
        <f t="shared" si="99"/>
        <v>364057.97</v>
      </c>
      <c r="AF198" s="87">
        <f t="shared" si="99"/>
        <v>243230.90999999997</v>
      </c>
      <c r="AG198" s="225">
        <f t="shared" si="80"/>
        <v>11.734573193502563</v>
      </c>
      <c r="AH198" s="225">
        <f t="shared" si="81"/>
        <v>20.877619320251149</v>
      </c>
      <c r="AI198" s="242">
        <f t="shared" si="82"/>
        <v>32.612192513753712</v>
      </c>
      <c r="AJ198" s="318">
        <v>55.752395158140011</v>
      </c>
      <c r="AK198" s="322">
        <f t="shared" si="86"/>
        <v>-23.140202644386299</v>
      </c>
    </row>
    <row r="199" spans="1:37" s="19" customFormat="1" x14ac:dyDescent="0.2">
      <c r="A199" s="196">
        <v>188</v>
      </c>
      <c r="B199" s="193" t="s">
        <v>94</v>
      </c>
      <c r="C199" s="84" t="s">
        <v>40</v>
      </c>
      <c r="D199" s="817"/>
      <c r="E199" s="817"/>
      <c r="F199" s="817"/>
      <c r="G199" s="817"/>
      <c r="H199" s="817"/>
      <c r="I199" s="817"/>
      <c r="J199" s="817"/>
      <c r="K199" s="818"/>
      <c r="L199" s="657">
        <f t="shared" si="97"/>
        <v>1666500</v>
      </c>
      <c r="M199" s="658">
        <f t="shared" si="97"/>
        <v>0</v>
      </c>
      <c r="N199" s="658">
        <f t="shared" si="97"/>
        <v>492284.38476197835</v>
      </c>
      <c r="O199" s="658">
        <f t="shared" si="97"/>
        <v>176105.52</v>
      </c>
      <c r="P199" s="658">
        <f t="shared" si="97"/>
        <v>49228.438476197836</v>
      </c>
      <c r="Q199" s="658">
        <f t="shared" si="97"/>
        <v>157455.72</v>
      </c>
      <c r="R199" s="658">
        <f t="shared" si="97"/>
        <v>481500</v>
      </c>
      <c r="S199" s="658">
        <f t="shared" si="97"/>
        <v>1804.59</v>
      </c>
      <c r="T199" s="658">
        <f t="shared" si="97"/>
        <v>26652.07109379043</v>
      </c>
      <c r="U199" s="658">
        <f t="shared" si="97"/>
        <v>1804.59</v>
      </c>
      <c r="V199" s="658">
        <f t="shared" si="97"/>
        <v>2665.2071093790432</v>
      </c>
      <c r="W199" s="659">
        <f t="shared" si="97"/>
        <v>468.33</v>
      </c>
      <c r="X199" s="296">
        <f t="shared" si="100"/>
        <v>0.29540017087427445</v>
      </c>
      <c r="Y199" s="295">
        <f t="shared" si="101"/>
        <v>5.535217257277348E-2</v>
      </c>
      <c r="Z199" s="297">
        <f t="shared" si="102"/>
        <v>0.24159052879691284</v>
      </c>
      <c r="AA199" s="87">
        <f t="shared" si="98"/>
        <v>2148000</v>
      </c>
      <c r="AB199" s="87">
        <f t="shared" si="98"/>
        <v>1804.59</v>
      </c>
      <c r="AC199" s="295">
        <f t="shared" si="103"/>
        <v>0.24458492601616141</v>
      </c>
      <c r="AD199" s="87">
        <f t="shared" si="99"/>
        <v>525368.42108271469</v>
      </c>
      <c r="AE199" s="87">
        <f t="shared" si="99"/>
        <v>177910.11</v>
      </c>
      <c r="AF199" s="87">
        <f t="shared" si="99"/>
        <v>157924.04999999999</v>
      </c>
      <c r="AG199" s="225">
        <f t="shared" si="80"/>
        <v>4.2006284916201113E-2</v>
      </c>
      <c r="AH199" s="225">
        <f t="shared" si="81"/>
        <v>20.318325524783255</v>
      </c>
      <c r="AI199" s="242">
        <f t="shared" si="82"/>
        <v>20.360331809699456</v>
      </c>
      <c r="AJ199" s="318">
        <v>33.056339685378347</v>
      </c>
      <c r="AK199" s="322">
        <f t="shared" si="86"/>
        <v>-12.696007875678891</v>
      </c>
    </row>
    <row r="200" spans="1:37" s="19" customFormat="1" x14ac:dyDescent="0.2">
      <c r="A200" s="196">
        <v>189</v>
      </c>
      <c r="B200" s="193" t="s">
        <v>95</v>
      </c>
      <c r="C200" s="84" t="s">
        <v>9</v>
      </c>
      <c r="D200" s="817"/>
      <c r="E200" s="817"/>
      <c r="F200" s="817"/>
      <c r="G200" s="817"/>
      <c r="H200" s="817"/>
      <c r="I200" s="817"/>
      <c r="J200" s="817"/>
      <c r="K200" s="818"/>
      <c r="L200" s="657">
        <f t="shared" ref="L200:W213" si="104">SUMIF($I$12:$I$189,$C200,L$12:L$189)</f>
        <v>238446902.25</v>
      </c>
      <c r="M200" s="658">
        <f t="shared" si="104"/>
        <v>16108356.59</v>
      </c>
      <c r="N200" s="658">
        <f t="shared" si="104"/>
        <v>46096568.771710858</v>
      </c>
      <c r="O200" s="658">
        <f t="shared" si="104"/>
        <v>40710504.56000001</v>
      </c>
      <c r="P200" s="658">
        <f t="shared" si="104"/>
        <v>4609656.8771710834</v>
      </c>
      <c r="Q200" s="658">
        <f t="shared" si="104"/>
        <v>10331798.490000004</v>
      </c>
      <c r="R200" s="658">
        <f t="shared" si="104"/>
        <v>62839848</v>
      </c>
      <c r="S200" s="658">
        <f t="shared" si="104"/>
        <v>9165590.629999999</v>
      </c>
      <c r="T200" s="658">
        <f t="shared" si="104"/>
        <v>24099557.221384592</v>
      </c>
      <c r="U200" s="658">
        <f t="shared" si="104"/>
        <v>7435031.3200000003</v>
      </c>
      <c r="V200" s="658">
        <f t="shared" si="104"/>
        <v>2409955.7221384589</v>
      </c>
      <c r="W200" s="659">
        <f t="shared" si="104"/>
        <v>1504286.81</v>
      </c>
      <c r="X200" s="296">
        <f t="shared" si="100"/>
        <v>0.19332005715629236</v>
      </c>
      <c r="Y200" s="295">
        <f t="shared" si="101"/>
        <v>0.38350756706770828</v>
      </c>
      <c r="Z200" s="297">
        <f t="shared" si="102"/>
        <v>0.23298776310225564</v>
      </c>
      <c r="AA200" s="87">
        <f t="shared" si="98"/>
        <v>301286750.25</v>
      </c>
      <c r="AB200" s="87">
        <f t="shared" si="98"/>
        <v>25273947.220000003</v>
      </c>
      <c r="AC200" s="295">
        <f t="shared" si="103"/>
        <v>0.22947439316728299</v>
      </c>
      <c r="AD200" s="87">
        <f t="shared" si="99"/>
        <v>69137594.182961494</v>
      </c>
      <c r="AE200" s="87">
        <f t="shared" si="99"/>
        <v>48145535.88000001</v>
      </c>
      <c r="AF200" s="87">
        <f t="shared" si="99"/>
        <v>11836085.300000001</v>
      </c>
      <c r="AG200" s="225">
        <f t="shared" si="80"/>
        <v>4.1943343341564692</v>
      </c>
      <c r="AH200" s="225">
        <f t="shared" si="81"/>
        <v>41.782364384208059</v>
      </c>
      <c r="AI200" s="242">
        <f t="shared" si="82"/>
        <v>45.976698718364531</v>
      </c>
      <c r="AJ200" s="318">
        <v>25.716692224751789</v>
      </c>
      <c r="AK200" s="322">
        <f t="shared" si="86"/>
        <v>20.260006493612742</v>
      </c>
    </row>
    <row r="201" spans="1:37" s="19" customFormat="1" x14ac:dyDescent="0.2">
      <c r="A201" s="196">
        <v>190</v>
      </c>
      <c r="B201" s="193" t="s">
        <v>96</v>
      </c>
      <c r="C201" s="84" t="s">
        <v>41</v>
      </c>
      <c r="D201" s="817"/>
      <c r="E201" s="817"/>
      <c r="F201" s="817"/>
      <c r="G201" s="817"/>
      <c r="H201" s="817"/>
      <c r="I201" s="817"/>
      <c r="J201" s="817"/>
      <c r="K201" s="818"/>
      <c r="L201" s="657">
        <f t="shared" si="104"/>
        <v>3819750</v>
      </c>
      <c r="M201" s="658">
        <f t="shared" si="104"/>
        <v>0</v>
      </c>
      <c r="N201" s="658">
        <f t="shared" si="104"/>
        <v>1102805.8773610308</v>
      </c>
      <c r="O201" s="658">
        <f t="shared" si="104"/>
        <v>724695.03</v>
      </c>
      <c r="P201" s="658">
        <f t="shared" si="104"/>
        <v>110280.5877361031</v>
      </c>
      <c r="Q201" s="658">
        <f t="shared" si="104"/>
        <v>557253.81000000006</v>
      </c>
      <c r="R201" s="658">
        <f t="shared" si="104"/>
        <v>2234520</v>
      </c>
      <c r="S201" s="658">
        <f t="shared" si="104"/>
        <v>441808.98</v>
      </c>
      <c r="T201" s="658">
        <f t="shared" si="104"/>
        <v>552848.30431323056</v>
      </c>
      <c r="U201" s="658">
        <f t="shared" si="104"/>
        <v>393115.54000000004</v>
      </c>
      <c r="V201" s="658">
        <f t="shared" si="104"/>
        <v>55284.830431323055</v>
      </c>
      <c r="W201" s="659">
        <f t="shared" si="104"/>
        <v>69196.56</v>
      </c>
      <c r="X201" s="296">
        <f t="shared" si="100"/>
        <v>0.28871153278644696</v>
      </c>
      <c r="Y201" s="295">
        <f t="shared" si="101"/>
        <v>0.24741255585684199</v>
      </c>
      <c r="Z201" s="297">
        <f t="shared" si="102"/>
        <v>0.27346883797291188</v>
      </c>
      <c r="AA201" s="87">
        <f t="shared" si="98"/>
        <v>6054270</v>
      </c>
      <c r="AB201" s="87">
        <f t="shared" si="98"/>
        <v>441808.98</v>
      </c>
      <c r="AC201" s="295">
        <f t="shared" si="103"/>
        <v>0.27558410169717651</v>
      </c>
      <c r="AD201" s="87">
        <f t="shared" si="99"/>
        <v>1668460.5593821649</v>
      </c>
      <c r="AE201" s="87">
        <f t="shared" si="99"/>
        <v>1117810.57</v>
      </c>
      <c r="AF201" s="87">
        <f t="shared" si="99"/>
        <v>626450.37</v>
      </c>
      <c r="AG201" s="225">
        <f t="shared" ref="AG201:AG213" si="105">IF((AB201/(AA201*$O$6)*vahaE)&gt;vahaE,vahaE,AB201/(AA201*$O$6)*vahaE)</f>
        <v>3.6487386588308746</v>
      </c>
      <c r="AH201" s="225">
        <f t="shared" ref="AH201:AH213" si="106">IF((AE201/AD201*vahaD)&gt;vahaD,vahaD,AE201/AD201*vahaD)</f>
        <v>40.197914072859888</v>
      </c>
      <c r="AI201" s="242">
        <f t="shared" ref="AI201:AI213" si="107">IF((AB201/(AA201*$O$6)*vahaE)&gt;vahaE,vahaE,AB201/(AA201*$O$6)*vahaE)+IF((AE201/AD201*vahaD)&gt;vahaD,vahaD,AE201/AD201*vahaD)</f>
        <v>43.84665273169076</v>
      </c>
      <c r="AJ201" s="318">
        <v>44.19603778836855</v>
      </c>
      <c r="AK201" s="322">
        <f t="shared" si="86"/>
        <v>-0.34938505667778941</v>
      </c>
    </row>
    <row r="202" spans="1:37" s="19" customFormat="1" x14ac:dyDescent="0.2">
      <c r="A202" s="196">
        <v>191</v>
      </c>
      <c r="B202" s="193" t="s">
        <v>97</v>
      </c>
      <c r="C202" s="84" t="s">
        <v>42</v>
      </c>
      <c r="D202" s="817"/>
      <c r="E202" s="817"/>
      <c r="F202" s="817"/>
      <c r="G202" s="817"/>
      <c r="H202" s="817"/>
      <c r="I202" s="817"/>
      <c r="J202" s="817"/>
      <c r="K202" s="818"/>
      <c r="L202" s="657">
        <f t="shared" si="104"/>
        <v>1296750</v>
      </c>
      <c r="M202" s="658">
        <f t="shared" si="104"/>
        <v>770235.01</v>
      </c>
      <c r="N202" s="658">
        <f t="shared" si="104"/>
        <v>225936.375</v>
      </c>
      <c r="O202" s="658">
        <f t="shared" si="104"/>
        <v>124687.17</v>
      </c>
      <c r="P202" s="658">
        <f t="shared" si="104"/>
        <v>22593.637500000001</v>
      </c>
      <c r="Q202" s="658">
        <f t="shared" si="104"/>
        <v>120830.13</v>
      </c>
      <c r="R202" s="658">
        <f t="shared" si="104"/>
        <v>545250</v>
      </c>
      <c r="S202" s="658">
        <f t="shared" si="104"/>
        <v>273633.87</v>
      </c>
      <c r="T202" s="658">
        <f t="shared" si="104"/>
        <v>84650.175000000003</v>
      </c>
      <c r="U202" s="658">
        <f t="shared" si="104"/>
        <v>7002.619999999999</v>
      </c>
      <c r="V202" s="658">
        <f t="shared" si="104"/>
        <v>8465.0174999999999</v>
      </c>
      <c r="W202" s="659">
        <f t="shared" si="104"/>
        <v>1741.88</v>
      </c>
      <c r="X202" s="296">
        <f t="shared" si="100"/>
        <v>0.1742327935222672</v>
      </c>
      <c r="Y202" s="295">
        <f t="shared" si="101"/>
        <v>0.15525020632737277</v>
      </c>
      <c r="Z202" s="297">
        <f t="shared" si="102"/>
        <v>0.1686137622149837</v>
      </c>
      <c r="AA202" s="87">
        <f t="shared" si="98"/>
        <v>1842000</v>
      </c>
      <c r="AB202" s="87">
        <f t="shared" si="98"/>
        <v>1043868.88</v>
      </c>
      <c r="AC202" s="295">
        <f t="shared" si="103"/>
        <v>0.16961722312703584</v>
      </c>
      <c r="AD202" s="87">
        <f t="shared" si="99"/>
        <v>312434.92499999999</v>
      </c>
      <c r="AE202" s="87">
        <f t="shared" si="99"/>
        <v>131689.78999999998</v>
      </c>
      <c r="AF202" s="87">
        <f t="shared" si="99"/>
        <v>122572.01000000001</v>
      </c>
      <c r="AG202" s="225">
        <f t="shared" si="105"/>
        <v>28.335203040173727</v>
      </c>
      <c r="AH202" s="225">
        <f t="shared" si="106"/>
        <v>25.289706008379181</v>
      </c>
      <c r="AI202" s="242">
        <f t="shared" si="107"/>
        <v>53.624909048552908</v>
      </c>
      <c r="AJ202" s="318">
        <v>62.472534262437946</v>
      </c>
      <c r="AK202" s="322">
        <f t="shared" ref="AK202:AK213" si="108">AI202-AJ202</f>
        <v>-8.8476252138850384</v>
      </c>
    </row>
    <row r="203" spans="1:37" s="19" customFormat="1" x14ac:dyDescent="0.2">
      <c r="A203" s="196">
        <v>192</v>
      </c>
      <c r="B203" s="193" t="s">
        <v>98</v>
      </c>
      <c r="C203" s="84" t="s">
        <v>43</v>
      </c>
      <c r="D203" s="817"/>
      <c r="E203" s="817"/>
      <c r="F203" s="817"/>
      <c r="G203" s="817"/>
      <c r="H203" s="817"/>
      <c r="I203" s="817"/>
      <c r="J203" s="817"/>
      <c r="K203" s="818"/>
      <c r="L203" s="657">
        <f t="shared" si="104"/>
        <v>6129623.25</v>
      </c>
      <c r="M203" s="658">
        <f t="shared" si="104"/>
        <v>3024679.34</v>
      </c>
      <c r="N203" s="658">
        <f t="shared" si="104"/>
        <v>615137.1613696391</v>
      </c>
      <c r="O203" s="658">
        <f t="shared" si="104"/>
        <v>200307.33000000002</v>
      </c>
      <c r="P203" s="658">
        <f t="shared" si="104"/>
        <v>61513.716136963907</v>
      </c>
      <c r="Q203" s="658">
        <f t="shared" si="104"/>
        <v>184836.06</v>
      </c>
      <c r="R203" s="658">
        <f t="shared" si="104"/>
        <v>3701250</v>
      </c>
      <c r="S203" s="658">
        <f t="shared" si="104"/>
        <v>402955.29000000004</v>
      </c>
      <c r="T203" s="658">
        <f t="shared" si="104"/>
        <v>1209727.4994732339</v>
      </c>
      <c r="U203" s="658">
        <f t="shared" si="104"/>
        <v>42658.479999999996</v>
      </c>
      <c r="V203" s="658">
        <f t="shared" si="104"/>
        <v>120972.74994732339</v>
      </c>
      <c r="W203" s="659">
        <f t="shared" si="104"/>
        <v>8729.18</v>
      </c>
      <c r="X203" s="296">
        <f t="shared" si="100"/>
        <v>0.10035480751115317</v>
      </c>
      <c r="Y203" s="295">
        <f t="shared" si="101"/>
        <v>0.32684295831765864</v>
      </c>
      <c r="Z203" s="297">
        <f t="shared" si="102"/>
        <v>0.18562589654412168</v>
      </c>
      <c r="AA203" s="87">
        <f t="shared" si="98"/>
        <v>9830873.25</v>
      </c>
      <c r="AB203" s="87">
        <f t="shared" si="98"/>
        <v>3427634.63</v>
      </c>
      <c r="AC203" s="295">
        <f t="shared" si="103"/>
        <v>0.1807165252249778</v>
      </c>
      <c r="AD203" s="87">
        <f t="shared" si="99"/>
        <v>1776601.2536671844</v>
      </c>
      <c r="AE203" s="87">
        <f t="shared" si="99"/>
        <v>242965.81</v>
      </c>
      <c r="AF203" s="87">
        <f t="shared" si="99"/>
        <v>193565.24000000002</v>
      </c>
      <c r="AG203" s="225">
        <f t="shared" si="105"/>
        <v>17.433012016506265</v>
      </c>
      <c r="AH203" s="225">
        <f t="shared" si="106"/>
        <v>8.2055264623442206</v>
      </c>
      <c r="AI203" s="242">
        <f t="shared" si="107"/>
        <v>25.638538478850485</v>
      </c>
      <c r="AJ203" s="318">
        <v>60.959252750647053</v>
      </c>
      <c r="AK203" s="322">
        <f t="shared" si="108"/>
        <v>-35.320714271796568</v>
      </c>
    </row>
    <row r="204" spans="1:37" s="19" customFormat="1" x14ac:dyDescent="0.2">
      <c r="A204" s="196">
        <v>193</v>
      </c>
      <c r="B204" s="193" t="s">
        <v>99</v>
      </c>
      <c r="C204" s="84" t="s">
        <v>10</v>
      </c>
      <c r="D204" s="817"/>
      <c r="E204" s="817"/>
      <c r="F204" s="817"/>
      <c r="G204" s="817"/>
      <c r="H204" s="817"/>
      <c r="I204" s="817"/>
      <c r="J204" s="817"/>
      <c r="K204" s="818"/>
      <c r="L204" s="657">
        <f t="shared" si="104"/>
        <v>102377482.5</v>
      </c>
      <c r="M204" s="658">
        <f t="shared" si="104"/>
        <v>37888523.25</v>
      </c>
      <c r="N204" s="658">
        <f t="shared" si="104"/>
        <v>15138068.285920093</v>
      </c>
      <c r="O204" s="658">
        <f t="shared" si="104"/>
        <v>34321251.249999993</v>
      </c>
      <c r="P204" s="658">
        <f t="shared" si="104"/>
        <v>1513806.8285920101</v>
      </c>
      <c r="Q204" s="658">
        <f t="shared" si="104"/>
        <v>7403317.2299999995</v>
      </c>
      <c r="R204" s="658">
        <f t="shared" si="104"/>
        <v>40847834.774999999</v>
      </c>
      <c r="S204" s="658">
        <f t="shared" si="104"/>
        <v>13974095.610000001</v>
      </c>
      <c r="T204" s="658">
        <f t="shared" si="104"/>
        <v>14922087.494154474</v>
      </c>
      <c r="U204" s="658">
        <f t="shared" si="104"/>
        <v>6960938.1999999993</v>
      </c>
      <c r="V204" s="658">
        <f t="shared" si="104"/>
        <v>1492208.7494154472</v>
      </c>
      <c r="W204" s="659">
        <f t="shared" si="104"/>
        <v>1450412.7000000002</v>
      </c>
      <c r="X204" s="296">
        <f t="shared" si="100"/>
        <v>0.14786521328965177</v>
      </c>
      <c r="Y204" s="295">
        <f t="shared" si="101"/>
        <v>0.36530914248818896</v>
      </c>
      <c r="Z204" s="297">
        <f t="shared" si="102"/>
        <v>0.20988018286150845</v>
      </c>
      <c r="AA204" s="87">
        <f t="shared" si="98"/>
        <v>143225317.27500001</v>
      </c>
      <c r="AB204" s="87">
        <f t="shared" si="98"/>
        <v>51862618.860000014</v>
      </c>
      <c r="AC204" s="295">
        <f t="shared" si="103"/>
        <v>0.20673391836304342</v>
      </c>
      <c r="AD204" s="87">
        <f t="shared" si="99"/>
        <v>29609531.049050845</v>
      </c>
      <c r="AE204" s="87">
        <f t="shared" si="99"/>
        <v>41282189.449999996</v>
      </c>
      <c r="AF204" s="87">
        <f t="shared" si="99"/>
        <v>8853729.9299999997</v>
      </c>
      <c r="AG204" s="225">
        <f t="shared" si="105"/>
        <v>18.1052553580388</v>
      </c>
      <c r="AH204" s="225">
        <f t="shared" si="106"/>
        <v>60</v>
      </c>
      <c r="AI204" s="242">
        <f t="shared" si="107"/>
        <v>78.105255358038804</v>
      </c>
      <c r="AJ204" s="318">
        <v>89.215743896139145</v>
      </c>
      <c r="AK204" s="322">
        <f t="shared" si="108"/>
        <v>-11.110488538100341</v>
      </c>
    </row>
    <row r="205" spans="1:37" s="19" customFormat="1" x14ac:dyDescent="0.2">
      <c r="A205" s="196">
        <v>194</v>
      </c>
      <c r="B205" s="193" t="s">
        <v>100</v>
      </c>
      <c r="C205" s="84" t="s">
        <v>44</v>
      </c>
      <c r="D205" s="817"/>
      <c r="E205" s="817"/>
      <c r="F205" s="817"/>
      <c r="G205" s="817"/>
      <c r="H205" s="817"/>
      <c r="I205" s="817"/>
      <c r="J205" s="817"/>
      <c r="K205" s="818"/>
      <c r="L205" s="657">
        <f t="shared" si="104"/>
        <v>3144675</v>
      </c>
      <c r="M205" s="658">
        <f t="shared" si="104"/>
        <v>1026001.9</v>
      </c>
      <c r="N205" s="658">
        <f t="shared" si="104"/>
        <v>993990.3657148662</v>
      </c>
      <c r="O205" s="658">
        <f t="shared" si="104"/>
        <v>335460.69</v>
      </c>
      <c r="P205" s="658">
        <f t="shared" si="104"/>
        <v>99399.03657148662</v>
      </c>
      <c r="Q205" s="658">
        <f t="shared" si="104"/>
        <v>270578.33999999997</v>
      </c>
      <c r="R205" s="658">
        <f t="shared" si="104"/>
        <v>1123500</v>
      </c>
      <c r="S205" s="658">
        <f t="shared" si="104"/>
        <v>61856.159999999996</v>
      </c>
      <c r="T205" s="658">
        <f t="shared" si="104"/>
        <v>331081.01946964615</v>
      </c>
      <c r="U205" s="658">
        <f t="shared" si="104"/>
        <v>29369.16</v>
      </c>
      <c r="V205" s="658">
        <f t="shared" si="104"/>
        <v>33108.10194696462</v>
      </c>
      <c r="W205" s="659">
        <f t="shared" si="104"/>
        <v>6734.99</v>
      </c>
      <c r="X205" s="296">
        <f t="shared" si="100"/>
        <v>0.31608683431987922</v>
      </c>
      <c r="Y205" s="295">
        <f t="shared" si="101"/>
        <v>0.29468715573622267</v>
      </c>
      <c r="Z205" s="297">
        <f t="shared" si="102"/>
        <v>0.31045385561381911</v>
      </c>
      <c r="AA205" s="87">
        <f t="shared" si="98"/>
        <v>4268175</v>
      </c>
      <c r="AB205" s="87">
        <f t="shared" si="98"/>
        <v>1087858.06</v>
      </c>
      <c r="AC205" s="295">
        <f t="shared" si="103"/>
        <v>0.29174705531509787</v>
      </c>
      <c r="AD205" s="87">
        <f t="shared" si="99"/>
        <v>1245227.487819518</v>
      </c>
      <c r="AE205" s="87">
        <f t="shared" si="99"/>
        <v>364829.85</v>
      </c>
      <c r="AF205" s="87">
        <f t="shared" si="99"/>
        <v>277313.32999999996</v>
      </c>
      <c r="AG205" s="225">
        <f t="shared" si="105"/>
        <v>12.74383149706842</v>
      </c>
      <c r="AH205" s="225">
        <f t="shared" si="106"/>
        <v>17.578949400105664</v>
      </c>
      <c r="AI205" s="242">
        <f t="shared" si="107"/>
        <v>30.322780897174084</v>
      </c>
      <c r="AJ205" s="318">
        <v>28.240377444250893</v>
      </c>
      <c r="AK205" s="322">
        <f t="shared" si="108"/>
        <v>2.0824034529231916</v>
      </c>
    </row>
    <row r="206" spans="1:37" s="19" customFormat="1" x14ac:dyDescent="0.2">
      <c r="A206" s="196">
        <v>195</v>
      </c>
      <c r="B206" s="193" t="s">
        <v>101</v>
      </c>
      <c r="C206" s="84" t="s">
        <v>45</v>
      </c>
      <c r="D206" s="817"/>
      <c r="E206" s="817"/>
      <c r="F206" s="817"/>
      <c r="G206" s="817"/>
      <c r="H206" s="817"/>
      <c r="I206" s="817"/>
      <c r="J206" s="817"/>
      <c r="K206" s="818"/>
      <c r="L206" s="657">
        <f t="shared" si="104"/>
        <v>1706250</v>
      </c>
      <c r="M206" s="658">
        <f t="shared" si="104"/>
        <v>0</v>
      </c>
      <c r="N206" s="658">
        <f t="shared" si="104"/>
        <v>362578.125</v>
      </c>
      <c r="O206" s="658">
        <f t="shared" si="104"/>
        <v>597638.79</v>
      </c>
      <c r="P206" s="658">
        <f t="shared" si="104"/>
        <v>36257.8125</v>
      </c>
      <c r="Q206" s="658">
        <f t="shared" si="104"/>
        <v>82187.820000000007</v>
      </c>
      <c r="R206" s="658">
        <f t="shared" si="104"/>
        <v>163500</v>
      </c>
      <c r="S206" s="658">
        <f t="shared" si="104"/>
        <v>4980.2299999999996</v>
      </c>
      <c r="T206" s="658">
        <f t="shared" si="104"/>
        <v>13374.3</v>
      </c>
      <c r="U206" s="658">
        <f t="shared" si="104"/>
        <v>4425.43</v>
      </c>
      <c r="V206" s="658">
        <f t="shared" si="104"/>
        <v>1337.43</v>
      </c>
      <c r="W206" s="659">
        <f t="shared" si="104"/>
        <v>838.79</v>
      </c>
      <c r="X206" s="296">
        <f t="shared" si="100"/>
        <v>0.21249999999999999</v>
      </c>
      <c r="Y206" s="295">
        <f t="shared" si="101"/>
        <v>8.1799999999999998E-2</v>
      </c>
      <c r="Z206" s="297">
        <f t="shared" si="102"/>
        <v>0.20107095868431607</v>
      </c>
      <c r="AA206" s="87">
        <f t="shared" si="98"/>
        <v>1869750</v>
      </c>
      <c r="AB206" s="87">
        <f t="shared" si="98"/>
        <v>4980.2299999999996</v>
      </c>
      <c r="AC206" s="295">
        <f t="shared" si="103"/>
        <v>0.19500000000000001</v>
      </c>
      <c r="AD206" s="87">
        <f t="shared" si="99"/>
        <v>364601.25</v>
      </c>
      <c r="AE206" s="87">
        <f t="shared" si="99"/>
        <v>602064.22000000009</v>
      </c>
      <c r="AF206" s="87">
        <f t="shared" si="99"/>
        <v>83026.61</v>
      </c>
      <c r="AG206" s="225">
        <f t="shared" si="105"/>
        <v>0.13317903463029815</v>
      </c>
      <c r="AH206" s="225">
        <f t="shared" si="106"/>
        <v>60</v>
      </c>
      <c r="AI206" s="242">
        <f t="shared" si="107"/>
        <v>60.133179034630295</v>
      </c>
      <c r="AJ206" s="318">
        <v>60.379915190869738</v>
      </c>
      <c r="AK206" s="322">
        <f t="shared" si="108"/>
        <v>-0.24673615623944301</v>
      </c>
    </row>
    <row r="207" spans="1:37" s="19" customFormat="1" x14ac:dyDescent="0.2">
      <c r="A207" s="196">
        <v>196</v>
      </c>
      <c r="B207" s="193" t="s">
        <v>102</v>
      </c>
      <c r="C207" s="84" t="s">
        <v>11</v>
      </c>
      <c r="D207" s="817"/>
      <c r="E207" s="817"/>
      <c r="F207" s="817"/>
      <c r="G207" s="817"/>
      <c r="H207" s="817"/>
      <c r="I207" s="817"/>
      <c r="J207" s="817"/>
      <c r="K207" s="818"/>
      <c r="L207" s="657">
        <f t="shared" si="104"/>
        <v>10144875</v>
      </c>
      <c r="M207" s="658">
        <f t="shared" si="104"/>
        <v>0</v>
      </c>
      <c r="N207" s="658">
        <f t="shared" si="104"/>
        <v>2583142.7635561312</v>
      </c>
      <c r="O207" s="658">
        <f t="shared" si="104"/>
        <v>1427240.9700000002</v>
      </c>
      <c r="P207" s="658">
        <f t="shared" si="104"/>
        <v>258314.27635561317</v>
      </c>
      <c r="Q207" s="658">
        <f t="shared" si="104"/>
        <v>1147825.44</v>
      </c>
      <c r="R207" s="658">
        <f t="shared" si="104"/>
        <v>3615900</v>
      </c>
      <c r="S207" s="658">
        <f t="shared" si="104"/>
        <v>586810.64</v>
      </c>
      <c r="T207" s="658">
        <f t="shared" si="104"/>
        <v>844382.42580684915</v>
      </c>
      <c r="U207" s="658">
        <f t="shared" si="104"/>
        <v>537808.54</v>
      </c>
      <c r="V207" s="658">
        <f t="shared" si="104"/>
        <v>84438.242580684921</v>
      </c>
      <c r="W207" s="659">
        <f t="shared" si="104"/>
        <v>189798.93</v>
      </c>
      <c r="X207" s="296">
        <f t="shared" si="100"/>
        <v>0.25462539100345061</v>
      </c>
      <c r="Y207" s="295">
        <f t="shared" si="101"/>
        <v>0.2335192969404157</v>
      </c>
      <c r="Z207" s="297">
        <f t="shared" si="102"/>
        <v>0.24907937157340196</v>
      </c>
      <c r="AA207" s="87">
        <f t="shared" si="98"/>
        <v>13760775</v>
      </c>
      <c r="AB207" s="87">
        <f t="shared" si="98"/>
        <v>586810.64</v>
      </c>
      <c r="AC207" s="295">
        <f t="shared" si="103"/>
        <v>0.25093231732471616</v>
      </c>
      <c r="AD207" s="87">
        <f t="shared" si="99"/>
        <v>3453023.1589340209</v>
      </c>
      <c r="AE207" s="87">
        <f t="shared" si="99"/>
        <v>1965049.51</v>
      </c>
      <c r="AF207" s="87">
        <f t="shared" si="99"/>
        <v>1337624.3700000001</v>
      </c>
      <c r="AG207" s="225">
        <f t="shared" si="105"/>
        <v>2.1321860142324836</v>
      </c>
      <c r="AH207" s="225">
        <f t="shared" si="106"/>
        <v>34.144853704484767</v>
      </c>
      <c r="AI207" s="242">
        <f t="shared" si="107"/>
        <v>36.277039718717248</v>
      </c>
      <c r="AJ207" s="318">
        <v>40.104584613867431</v>
      </c>
      <c r="AK207" s="322">
        <f t="shared" si="108"/>
        <v>-3.8275448951501829</v>
      </c>
    </row>
    <row r="208" spans="1:37" s="19" customFormat="1" x14ac:dyDescent="0.2">
      <c r="A208" s="196">
        <v>197</v>
      </c>
      <c r="B208" s="193" t="s">
        <v>103</v>
      </c>
      <c r="C208" s="84" t="s">
        <v>12</v>
      </c>
      <c r="D208" s="817"/>
      <c r="E208" s="817"/>
      <c r="F208" s="817"/>
      <c r="G208" s="817"/>
      <c r="H208" s="817"/>
      <c r="I208" s="817"/>
      <c r="J208" s="817"/>
      <c r="K208" s="818"/>
      <c r="L208" s="657">
        <f t="shared" si="104"/>
        <v>60673725</v>
      </c>
      <c r="M208" s="658">
        <f t="shared" si="104"/>
        <v>38376311.390000001</v>
      </c>
      <c r="N208" s="658">
        <f t="shared" si="104"/>
        <v>12234402.996897507</v>
      </c>
      <c r="O208" s="658">
        <f t="shared" si="104"/>
        <v>6340178.9700000007</v>
      </c>
      <c r="P208" s="658">
        <f t="shared" si="104"/>
        <v>1223440.2996897509</v>
      </c>
      <c r="Q208" s="658">
        <f t="shared" si="104"/>
        <v>5029423.5599999996</v>
      </c>
      <c r="R208" s="658">
        <f t="shared" si="104"/>
        <v>12234525</v>
      </c>
      <c r="S208" s="658">
        <f t="shared" si="104"/>
        <v>4474748.7300000004</v>
      </c>
      <c r="T208" s="658">
        <f t="shared" si="104"/>
        <v>3697484.8807151997</v>
      </c>
      <c r="U208" s="658">
        <f t="shared" si="104"/>
        <v>785469.76000000013</v>
      </c>
      <c r="V208" s="658">
        <f t="shared" si="104"/>
        <v>369748.48807152</v>
      </c>
      <c r="W208" s="659">
        <f t="shared" si="104"/>
        <v>112668</v>
      </c>
      <c r="X208" s="296">
        <f t="shared" si="100"/>
        <v>0.20164252313332515</v>
      </c>
      <c r="Y208" s="295">
        <f t="shared" si="101"/>
        <v>0.30221728107263662</v>
      </c>
      <c r="Z208" s="297">
        <f t="shared" si="102"/>
        <v>0.2185196857366993</v>
      </c>
      <c r="AA208" s="87">
        <f t="shared" si="98"/>
        <v>72908250</v>
      </c>
      <c r="AB208" s="87">
        <f t="shared" si="98"/>
        <v>42851060.119999997</v>
      </c>
      <c r="AC208" s="295">
        <f t="shared" si="103"/>
        <v>0.21870977362255406</v>
      </c>
      <c r="AD208" s="87">
        <f t="shared" si="99"/>
        <v>15945746.852716576</v>
      </c>
      <c r="AE208" s="87">
        <f t="shared" si="99"/>
        <v>7125648.7299999995</v>
      </c>
      <c r="AF208" s="87">
        <f t="shared" si="99"/>
        <v>5142091.5599999987</v>
      </c>
      <c r="AG208" s="225">
        <f t="shared" si="105"/>
        <v>29.386976178964655</v>
      </c>
      <c r="AH208" s="225">
        <f t="shared" si="106"/>
        <v>26.812097780616835</v>
      </c>
      <c r="AI208" s="242">
        <f t="shared" si="107"/>
        <v>56.19907395958149</v>
      </c>
      <c r="AJ208" s="318">
        <v>53.356079737045135</v>
      </c>
      <c r="AK208" s="322">
        <f t="shared" si="108"/>
        <v>2.8429942225363547</v>
      </c>
    </row>
    <row r="209" spans="1:48" s="19" customFormat="1" x14ac:dyDescent="0.2">
      <c r="A209" s="196">
        <v>198</v>
      </c>
      <c r="B209" s="193" t="s">
        <v>104</v>
      </c>
      <c r="C209" s="84" t="s">
        <v>46</v>
      </c>
      <c r="D209" s="817"/>
      <c r="E209" s="817"/>
      <c r="F209" s="817"/>
      <c r="G209" s="817"/>
      <c r="H209" s="817"/>
      <c r="I209" s="817"/>
      <c r="J209" s="817"/>
      <c r="K209" s="818"/>
      <c r="L209" s="657">
        <f t="shared" si="104"/>
        <v>4629000</v>
      </c>
      <c r="M209" s="658">
        <f t="shared" si="104"/>
        <v>1488907.35</v>
      </c>
      <c r="N209" s="658">
        <f t="shared" si="104"/>
        <v>750947.11383789708</v>
      </c>
      <c r="O209" s="658">
        <f t="shared" si="104"/>
        <v>136758.96000000002</v>
      </c>
      <c r="P209" s="658">
        <f t="shared" si="104"/>
        <v>75094.71138378972</v>
      </c>
      <c r="Q209" s="658">
        <f t="shared" si="104"/>
        <v>133043.49</v>
      </c>
      <c r="R209" s="658">
        <f t="shared" si="104"/>
        <v>3144375</v>
      </c>
      <c r="S209" s="658">
        <f t="shared" si="104"/>
        <v>1685613.76</v>
      </c>
      <c r="T209" s="658">
        <f t="shared" si="104"/>
        <v>1155051.5214802618</v>
      </c>
      <c r="U209" s="658">
        <f t="shared" si="104"/>
        <v>1182841.8499999999</v>
      </c>
      <c r="V209" s="658">
        <f t="shared" si="104"/>
        <v>115505.1521480262</v>
      </c>
      <c r="W209" s="659">
        <f t="shared" si="104"/>
        <v>225744.66999999998</v>
      </c>
      <c r="X209" s="296">
        <f t="shared" si="100"/>
        <v>0.16222663941194579</v>
      </c>
      <c r="Y209" s="295">
        <f t="shared" si="101"/>
        <v>0.36733898516565672</v>
      </c>
      <c r="Z209" s="297">
        <f t="shared" si="102"/>
        <v>0.2451957657154272</v>
      </c>
      <c r="AA209" s="87">
        <f t="shared" si="98"/>
        <v>7773375</v>
      </c>
      <c r="AB209" s="87">
        <f t="shared" si="98"/>
        <v>3174521.1100000003</v>
      </c>
      <c r="AC209" s="295">
        <f t="shared" si="103"/>
        <v>0.24804726287624951</v>
      </c>
      <c r="AD209" s="87">
        <f t="shared" si="99"/>
        <v>1928164.3920606661</v>
      </c>
      <c r="AE209" s="87">
        <f t="shared" si="99"/>
        <v>1319600.81</v>
      </c>
      <c r="AF209" s="87">
        <f t="shared" si="99"/>
        <v>358788.16</v>
      </c>
      <c r="AG209" s="225">
        <f t="shared" si="105"/>
        <v>20.41919442970396</v>
      </c>
      <c r="AH209" s="225">
        <f t="shared" si="106"/>
        <v>41.062913995306722</v>
      </c>
      <c r="AI209" s="242">
        <f t="shared" si="107"/>
        <v>61.482108425010679</v>
      </c>
      <c r="AJ209" s="318">
        <v>64.14623317244903</v>
      </c>
      <c r="AK209" s="322">
        <f t="shared" si="108"/>
        <v>-2.6641247474383505</v>
      </c>
    </row>
    <row r="210" spans="1:48" s="19" customFormat="1" x14ac:dyDescent="0.2">
      <c r="A210" s="196">
        <v>199</v>
      </c>
      <c r="B210" s="193" t="s">
        <v>105</v>
      </c>
      <c r="C210" s="84" t="s">
        <v>47</v>
      </c>
      <c r="D210" s="817"/>
      <c r="E210" s="817"/>
      <c r="F210" s="817"/>
      <c r="G210" s="817"/>
      <c r="H210" s="817"/>
      <c r="I210" s="817"/>
      <c r="J210" s="817"/>
      <c r="K210" s="818"/>
      <c r="L210" s="657">
        <f t="shared" si="104"/>
        <v>9726585</v>
      </c>
      <c r="M210" s="658">
        <f t="shared" si="104"/>
        <v>5417347.54</v>
      </c>
      <c r="N210" s="658">
        <f t="shared" si="104"/>
        <v>1766973.1887073268</v>
      </c>
      <c r="O210" s="658">
        <f t="shared" si="104"/>
        <v>1218632.1299999999</v>
      </c>
      <c r="P210" s="658">
        <f t="shared" si="104"/>
        <v>176697.31887073268</v>
      </c>
      <c r="Q210" s="658">
        <f t="shared" si="104"/>
        <v>906738.93</v>
      </c>
      <c r="R210" s="658">
        <f t="shared" si="104"/>
        <v>5266579.5</v>
      </c>
      <c r="S210" s="658">
        <f t="shared" si="104"/>
        <v>2422208.59</v>
      </c>
      <c r="T210" s="658">
        <f t="shared" si="104"/>
        <v>1810637.2510687585</v>
      </c>
      <c r="U210" s="658">
        <f t="shared" si="104"/>
        <v>962038.37</v>
      </c>
      <c r="V210" s="658">
        <f t="shared" si="104"/>
        <v>181063.72510687588</v>
      </c>
      <c r="W210" s="659">
        <f t="shared" si="104"/>
        <v>219833.59</v>
      </c>
      <c r="X210" s="296">
        <f t="shared" si="100"/>
        <v>0.18166429314166552</v>
      </c>
      <c r="Y210" s="295">
        <f t="shared" si="101"/>
        <v>0.3437975731817508</v>
      </c>
      <c r="Z210" s="297">
        <f t="shared" si="102"/>
        <v>0.23861610000851291</v>
      </c>
      <c r="AA210" s="87">
        <f t="shared" si="98"/>
        <v>14993164.5</v>
      </c>
      <c r="AB210" s="87">
        <f t="shared" si="98"/>
        <v>7839556.1299999999</v>
      </c>
      <c r="AC210" s="295">
        <f t="shared" si="103"/>
        <v>0.23008585410012805</v>
      </c>
      <c r="AD210" s="87">
        <f t="shared" si="99"/>
        <v>3449715.0596462195</v>
      </c>
      <c r="AE210" s="87">
        <f t="shared" si="99"/>
        <v>2180670.5</v>
      </c>
      <c r="AF210" s="87">
        <f t="shared" si="99"/>
        <v>1126572.52</v>
      </c>
      <c r="AG210" s="225">
        <f t="shared" si="105"/>
        <v>26.143767481507986</v>
      </c>
      <c r="AH210" s="225">
        <f t="shared" si="106"/>
        <v>37.927836861232855</v>
      </c>
      <c r="AI210" s="242">
        <f t="shared" si="107"/>
        <v>64.071604342740841</v>
      </c>
      <c r="AJ210" s="318">
        <v>52.834998139517623</v>
      </c>
      <c r="AK210" s="322">
        <f t="shared" si="108"/>
        <v>11.236606203223218</v>
      </c>
    </row>
    <row r="211" spans="1:48" s="19" customFormat="1" x14ac:dyDescent="0.2">
      <c r="A211" s="196">
        <v>200</v>
      </c>
      <c r="B211" s="193" t="s">
        <v>106</v>
      </c>
      <c r="C211" s="84" t="s">
        <v>48</v>
      </c>
      <c r="D211" s="817"/>
      <c r="E211" s="817"/>
      <c r="F211" s="817"/>
      <c r="G211" s="817"/>
      <c r="H211" s="817"/>
      <c r="I211" s="817"/>
      <c r="J211" s="817"/>
      <c r="K211" s="818"/>
      <c r="L211" s="657">
        <f t="shared" si="104"/>
        <v>2224500</v>
      </c>
      <c r="M211" s="658">
        <f t="shared" si="104"/>
        <v>1202489.33</v>
      </c>
      <c r="N211" s="658">
        <f t="shared" si="104"/>
        <v>772455.13596085401</v>
      </c>
      <c r="O211" s="658">
        <f t="shared" si="104"/>
        <v>161082.35999999999</v>
      </c>
      <c r="P211" s="658">
        <f t="shared" si="104"/>
        <v>77245.51359608541</v>
      </c>
      <c r="Q211" s="658">
        <f t="shared" si="104"/>
        <v>149526.35999999999</v>
      </c>
      <c r="R211" s="658">
        <f t="shared" si="104"/>
        <v>319500</v>
      </c>
      <c r="S211" s="658">
        <f t="shared" si="104"/>
        <v>371251.6</v>
      </c>
      <c r="T211" s="658">
        <f t="shared" si="104"/>
        <v>39607.967534811476</v>
      </c>
      <c r="U211" s="658">
        <f t="shared" si="104"/>
        <v>16923.810000000001</v>
      </c>
      <c r="V211" s="658">
        <f t="shared" si="104"/>
        <v>3960.7967534811478</v>
      </c>
      <c r="W211" s="659">
        <f t="shared" si="104"/>
        <v>4673.6499999999996</v>
      </c>
      <c r="X211" s="296">
        <f t="shared" si="100"/>
        <v>0.34724888107927804</v>
      </c>
      <c r="Y211" s="295">
        <f t="shared" si="101"/>
        <v>0.12396859948297802</v>
      </c>
      <c r="Z211" s="297">
        <f t="shared" si="102"/>
        <v>0.31920719477030873</v>
      </c>
      <c r="AA211" s="87">
        <f t="shared" si="98"/>
        <v>2544000</v>
      </c>
      <c r="AB211" s="87">
        <f t="shared" si="98"/>
        <v>1573740.9300000002</v>
      </c>
      <c r="AC211" s="295">
        <f t="shared" si="103"/>
        <v>0.32468997749544032</v>
      </c>
      <c r="AD211" s="87">
        <f t="shared" si="99"/>
        <v>826011.30274840014</v>
      </c>
      <c r="AE211" s="87">
        <f t="shared" si="99"/>
        <v>178006.16999999998</v>
      </c>
      <c r="AF211" s="87">
        <f t="shared" si="99"/>
        <v>154200.00999999998</v>
      </c>
      <c r="AG211" s="225">
        <f t="shared" si="105"/>
        <v>30.930442806603775</v>
      </c>
      <c r="AH211" s="225">
        <f t="shared" si="106"/>
        <v>12.930053335182022</v>
      </c>
      <c r="AI211" s="242">
        <f t="shared" si="107"/>
        <v>43.860496141785795</v>
      </c>
      <c r="AJ211" s="318">
        <v>57.804801914440631</v>
      </c>
      <c r="AK211" s="322">
        <f t="shared" si="108"/>
        <v>-13.944305772654836</v>
      </c>
    </row>
    <row r="212" spans="1:48" s="19" customFormat="1" x14ac:dyDescent="0.2">
      <c r="A212" s="196">
        <v>201</v>
      </c>
      <c r="B212" s="193" t="s">
        <v>107</v>
      </c>
      <c r="C212" s="84" t="s">
        <v>49</v>
      </c>
      <c r="D212" s="817"/>
      <c r="E212" s="817"/>
      <c r="F212" s="817"/>
      <c r="G212" s="817"/>
      <c r="H212" s="817"/>
      <c r="I212" s="817"/>
      <c r="J212" s="817"/>
      <c r="K212" s="818"/>
      <c r="L212" s="657">
        <f t="shared" si="104"/>
        <v>22865625</v>
      </c>
      <c r="M212" s="658">
        <f t="shared" si="104"/>
        <v>15586913.029999999</v>
      </c>
      <c r="N212" s="658">
        <f t="shared" si="104"/>
        <v>4140319.2485445347</v>
      </c>
      <c r="O212" s="658">
        <f t="shared" si="104"/>
        <v>2906826.48</v>
      </c>
      <c r="P212" s="658">
        <f t="shared" si="104"/>
        <v>414031.92485445348</v>
      </c>
      <c r="Q212" s="658">
        <f t="shared" si="104"/>
        <v>2335595.13</v>
      </c>
      <c r="R212" s="658">
        <f t="shared" si="104"/>
        <v>4521375</v>
      </c>
      <c r="S212" s="658">
        <f t="shared" si="104"/>
        <v>992181.85000000009</v>
      </c>
      <c r="T212" s="658">
        <f t="shared" si="104"/>
        <v>756267.36625050451</v>
      </c>
      <c r="U212" s="658">
        <f t="shared" si="104"/>
        <v>147414.64000000001</v>
      </c>
      <c r="V212" s="658">
        <f t="shared" si="104"/>
        <v>75626.736625050456</v>
      </c>
      <c r="W212" s="659">
        <f t="shared" si="104"/>
        <v>26190.75</v>
      </c>
      <c r="X212" s="296">
        <f t="shared" si="100"/>
        <v>0.18107177252073953</v>
      </c>
      <c r="Y212" s="295">
        <f t="shared" si="101"/>
        <v>0.16726490641685426</v>
      </c>
      <c r="Z212" s="297">
        <f t="shared" si="102"/>
        <v>0.1787923691822777</v>
      </c>
      <c r="AA212" s="87">
        <f t="shared" si="98"/>
        <v>27387000</v>
      </c>
      <c r="AB212" s="87">
        <f t="shared" si="98"/>
        <v>16579094.879999999</v>
      </c>
      <c r="AC212" s="295">
        <f t="shared" si="103"/>
        <v>0.17654668246371683</v>
      </c>
      <c r="AD212" s="87">
        <f t="shared" si="99"/>
        <v>4835083.9926338131</v>
      </c>
      <c r="AE212" s="87">
        <f t="shared" si="99"/>
        <v>3054241.1199999996</v>
      </c>
      <c r="AF212" s="87">
        <f t="shared" si="99"/>
        <v>2361785.88</v>
      </c>
      <c r="AG212" s="225">
        <f t="shared" si="105"/>
        <v>30.268183590754735</v>
      </c>
      <c r="AH212" s="225">
        <f t="shared" si="106"/>
        <v>37.900989409736368</v>
      </c>
      <c r="AI212" s="242">
        <f t="shared" si="107"/>
        <v>68.169173000491099</v>
      </c>
      <c r="AJ212" s="318">
        <v>62.811568981051025</v>
      </c>
      <c r="AK212" s="322">
        <f t="shared" si="108"/>
        <v>5.3576040194400747</v>
      </c>
    </row>
    <row r="213" spans="1:48" s="19" customFormat="1" x14ac:dyDescent="0.2">
      <c r="A213" s="196">
        <v>202</v>
      </c>
      <c r="B213" s="194" t="s">
        <v>108</v>
      </c>
      <c r="C213" s="201" t="s">
        <v>0</v>
      </c>
      <c r="D213" s="819"/>
      <c r="E213" s="819"/>
      <c r="F213" s="819"/>
      <c r="G213" s="819"/>
      <c r="H213" s="819"/>
      <c r="I213" s="819"/>
      <c r="J213" s="819"/>
      <c r="K213" s="820"/>
      <c r="L213" s="660">
        <f t="shared" si="104"/>
        <v>1258295128.2741513</v>
      </c>
      <c r="M213" s="661">
        <f t="shared" si="104"/>
        <v>865417863.17999983</v>
      </c>
      <c r="N213" s="661">
        <f t="shared" si="104"/>
        <v>121424294.45195377</v>
      </c>
      <c r="O213" s="661">
        <f t="shared" si="104"/>
        <v>99953695.209999993</v>
      </c>
      <c r="P213" s="661">
        <f t="shared" si="104"/>
        <v>12142429.445195375</v>
      </c>
      <c r="Q213" s="661">
        <f t="shared" si="104"/>
        <v>41804900.769999988</v>
      </c>
      <c r="R213" s="661">
        <f t="shared" si="104"/>
        <v>778141082.98678994</v>
      </c>
      <c r="S213" s="661">
        <f t="shared" si="104"/>
        <v>404304265.80999982</v>
      </c>
      <c r="T213" s="661">
        <f t="shared" si="104"/>
        <v>214652427.10120803</v>
      </c>
      <c r="U213" s="661">
        <f t="shared" si="104"/>
        <v>147822818.54000002</v>
      </c>
      <c r="V213" s="661">
        <f t="shared" si="104"/>
        <v>21465242.710120797</v>
      </c>
      <c r="W213" s="662">
        <f t="shared" si="104"/>
        <v>17730743.510000009</v>
      </c>
      <c r="X213" s="296">
        <f t="shared" si="100"/>
        <v>9.6499057910600469E-2</v>
      </c>
      <c r="Y213" s="295">
        <f t="shared" si="101"/>
        <v>0.27585283927857085</v>
      </c>
      <c r="Z213" s="297">
        <f t="shared" si="102"/>
        <v>0.16503179411893604</v>
      </c>
      <c r="AA213" s="87">
        <f t="shared" si="98"/>
        <v>2036436211.2609413</v>
      </c>
      <c r="AB213" s="87">
        <f t="shared" si="98"/>
        <v>1269722128.99</v>
      </c>
      <c r="AC213" s="368">
        <f t="shared" si="103"/>
        <v>0.1733898562928583</v>
      </c>
      <c r="AD213" s="87">
        <f t="shared" si="99"/>
        <v>353097382.02010745</v>
      </c>
      <c r="AE213" s="87">
        <f t="shared" si="99"/>
        <v>247776513.74999997</v>
      </c>
      <c r="AF213" s="87">
        <f t="shared" si="99"/>
        <v>59535644.280000009</v>
      </c>
      <c r="AG213" s="225">
        <f t="shared" si="105"/>
        <v>31.175101924842529</v>
      </c>
      <c r="AH213" s="225">
        <f t="shared" si="106"/>
        <v>42.103373125982017</v>
      </c>
      <c r="AI213" s="242">
        <f t="shared" si="107"/>
        <v>73.278475050824539</v>
      </c>
      <c r="AJ213" s="319">
        <v>88.037403514679198</v>
      </c>
      <c r="AK213" s="322">
        <f t="shared" si="108"/>
        <v>-14.758928463854659</v>
      </c>
      <c r="AN213"/>
      <c r="AO213"/>
      <c r="AP213"/>
      <c r="AQ213"/>
      <c r="AR213"/>
      <c r="AS213"/>
      <c r="AT213"/>
      <c r="AU213"/>
      <c r="AV213"/>
    </row>
    <row r="214" spans="1:48" x14ac:dyDescent="0.2">
      <c r="X214" s="261"/>
      <c r="Y214" s="261"/>
      <c r="Z214" s="261"/>
      <c r="AA214" s="261"/>
      <c r="AB214" s="261"/>
      <c r="AC214" s="261"/>
      <c r="AD214" s="261"/>
      <c r="AE214" s="261"/>
      <c r="AF214" s="261"/>
      <c r="AG214" s="261"/>
      <c r="AH214" s="261"/>
      <c r="AI214" s="261"/>
    </row>
    <row r="215" spans="1:48" x14ac:dyDescent="0.2">
      <c r="A215" s="177"/>
      <c r="B215" s="278"/>
      <c r="C215" s="280" t="s">
        <v>363</v>
      </c>
      <c r="D215" s="169"/>
      <c r="E215" s="169"/>
      <c r="F215" s="169"/>
      <c r="G215" s="177"/>
      <c r="H215" s="177"/>
      <c r="I215" s="177"/>
      <c r="J215" s="177"/>
      <c r="K215" s="177"/>
      <c r="L215" s="281"/>
      <c r="M215" s="281"/>
      <c r="N215" s="281"/>
      <c r="O215" s="281"/>
      <c r="P215" s="281"/>
      <c r="Q215" s="281"/>
      <c r="R215" s="281"/>
      <c r="S215" s="281"/>
      <c r="T215" s="19"/>
      <c r="U215" s="19"/>
      <c r="V215" s="19"/>
      <c r="W215" s="19"/>
    </row>
    <row r="216" spans="1:48" ht="22.5" x14ac:dyDescent="0.2">
      <c r="A216" s="19"/>
      <c r="B216" s="279" t="s">
        <v>364</v>
      </c>
      <c r="C216" s="278"/>
      <c r="D216" s="169"/>
      <c r="E216" s="169"/>
      <c r="F216" s="169"/>
      <c r="G216" s="177"/>
      <c r="H216" s="177"/>
      <c r="I216" s="177"/>
      <c r="J216" s="177"/>
      <c r="K216" s="177"/>
      <c r="L216" s="16" t="s">
        <v>303</v>
      </c>
      <c r="M216" s="16" t="s">
        <v>304</v>
      </c>
      <c r="N216" s="16" t="s">
        <v>323</v>
      </c>
      <c r="O216" s="16" t="s">
        <v>305</v>
      </c>
      <c r="P216" s="281"/>
      <c r="Q216" s="281"/>
      <c r="R216" s="281"/>
      <c r="S216" s="281"/>
      <c r="T216" s="19"/>
      <c r="U216" s="19"/>
      <c r="V216" s="19"/>
      <c r="W216" s="19"/>
    </row>
    <row r="217" spans="1:48" x14ac:dyDescent="0.2">
      <c r="A217" s="19"/>
      <c r="B217" s="19" t="s">
        <v>5</v>
      </c>
      <c r="C217" s="19"/>
      <c r="D217" s="169"/>
      <c r="E217" s="169"/>
      <c r="F217" s="169"/>
      <c r="G217" s="177"/>
      <c r="H217" s="177"/>
      <c r="I217" s="177"/>
      <c r="J217" s="177"/>
      <c r="K217" s="177"/>
      <c r="L217" s="284">
        <f t="shared" ref="L217:L225" si="109">SUMIFS($AA$12:$AA$189,$H$12:$H$189,$B217,$I$12:$I$189,"Magistrát města Ostrava",$K$12:$K$189,FALSE)</f>
        <v>35881258.5</v>
      </c>
      <c r="M217" s="284">
        <f t="shared" ref="M217:M225" si="110">SUMIFS($AB$12:$AB$189,$H$12:$H$189,$B217,$I$12:$I$189,"Magistrát města Ostrava",$K$12:$K$189,FALSE)</f>
        <v>24962236.18</v>
      </c>
      <c r="N217" s="284">
        <f t="shared" ref="N217:N225" si="111">SUMIFS($AD$12:$AD$189,$H$12:$H$189,$B217,$I$12:$I$189,"Magistrát města Ostrava",$K$12:$K$189,FALSE)</f>
        <v>2758044.3195000002</v>
      </c>
      <c r="O217" s="284">
        <f t="shared" ref="O217:O225" si="112">SUMIFS($AE$12:$AE$189,$H$12:$H$189,$B217,$I$12:$I$189,"Magistrát města Ostrava",$K$12:$K$189,FALSE)</f>
        <v>2976148.17</v>
      </c>
      <c r="P217" s="281"/>
      <c r="Q217" s="281"/>
      <c r="R217" s="281"/>
      <c r="S217" s="281"/>
      <c r="T217" s="19"/>
      <c r="U217" s="19"/>
      <c r="V217" s="19"/>
      <c r="W217" s="19"/>
    </row>
    <row r="218" spans="1:48" x14ac:dyDescent="0.2">
      <c r="A218" s="19"/>
      <c r="B218" s="19" t="s">
        <v>289</v>
      </c>
      <c r="C218" s="19"/>
      <c r="D218" s="169"/>
      <c r="E218" s="169"/>
      <c r="F218" s="169"/>
      <c r="G218" s="177"/>
      <c r="H218" s="177"/>
      <c r="I218" s="177"/>
      <c r="J218" s="177"/>
      <c r="K218" s="177"/>
      <c r="L218" s="284">
        <f t="shared" si="109"/>
        <v>472551209.76094127</v>
      </c>
      <c r="M218" s="284">
        <f t="shared" si="110"/>
        <v>294115638.29999995</v>
      </c>
      <c r="N218" s="284">
        <f t="shared" si="111"/>
        <v>156235688.12915769</v>
      </c>
      <c r="O218" s="284">
        <f t="shared" si="112"/>
        <v>107836530.64999999</v>
      </c>
      <c r="P218" s="281"/>
      <c r="Q218" s="281"/>
      <c r="R218" s="281"/>
      <c r="S218" s="281"/>
      <c r="T218" s="19"/>
      <c r="U218" s="19"/>
      <c r="V218" s="19"/>
      <c r="W218" s="19"/>
    </row>
    <row r="219" spans="1:48" x14ac:dyDescent="0.2">
      <c r="A219" s="19"/>
      <c r="B219" s="19" t="s">
        <v>444</v>
      </c>
      <c r="C219" s="19"/>
      <c r="D219" s="169"/>
      <c r="E219" s="169"/>
      <c r="F219" s="169"/>
      <c r="G219" s="177"/>
      <c r="H219" s="177"/>
      <c r="I219" s="177"/>
      <c r="J219" s="177"/>
      <c r="K219" s="177"/>
      <c r="L219" s="284">
        <f t="shared" si="109"/>
        <v>199561329</v>
      </c>
      <c r="M219" s="284">
        <f t="shared" si="110"/>
        <v>132184707.64999999</v>
      </c>
      <c r="N219" s="284">
        <f t="shared" si="111"/>
        <v>34586418.795000002</v>
      </c>
      <c r="O219" s="284">
        <f t="shared" si="112"/>
        <v>21440200.649999999</v>
      </c>
      <c r="P219" s="281"/>
      <c r="Q219" s="281"/>
      <c r="R219" s="281"/>
      <c r="S219" s="281"/>
      <c r="T219" s="19"/>
      <c r="U219" s="19"/>
      <c r="V219" s="19"/>
      <c r="W219" s="19"/>
    </row>
    <row r="220" spans="1:48" x14ac:dyDescent="0.2">
      <c r="A220" s="19"/>
      <c r="B220" s="19" t="s">
        <v>577</v>
      </c>
      <c r="C220" s="19"/>
      <c r="D220" s="169"/>
      <c r="E220" s="169"/>
      <c r="F220" s="169"/>
      <c r="G220" s="177"/>
      <c r="H220" s="177"/>
      <c r="I220" s="177"/>
      <c r="J220" s="177"/>
      <c r="K220" s="177"/>
      <c r="L220" s="284">
        <f t="shared" si="109"/>
        <v>137214998.25</v>
      </c>
      <c r="M220" s="284">
        <f t="shared" si="110"/>
        <v>91829795.070000008</v>
      </c>
      <c r="N220" s="284">
        <f t="shared" si="111"/>
        <v>15804401.104470924</v>
      </c>
      <c r="O220" s="284">
        <f t="shared" si="112"/>
        <v>12715451.050000001</v>
      </c>
      <c r="P220" s="281"/>
      <c r="Q220" s="281"/>
      <c r="R220" s="281"/>
      <c r="S220" s="281"/>
      <c r="T220" s="19"/>
      <c r="U220" s="19"/>
      <c r="V220" s="19"/>
      <c r="W220" s="19"/>
    </row>
    <row r="221" spans="1:48" x14ac:dyDescent="0.2">
      <c r="A221" s="19"/>
      <c r="B221" s="19" t="s">
        <v>582</v>
      </c>
      <c r="C221" s="19"/>
      <c r="D221" s="169"/>
      <c r="E221" s="169"/>
      <c r="F221" s="169"/>
      <c r="G221" s="177"/>
      <c r="H221" s="177"/>
      <c r="I221" s="177"/>
      <c r="J221" s="177"/>
      <c r="K221" s="177"/>
      <c r="L221" s="284">
        <f t="shared" si="109"/>
        <v>121215750</v>
      </c>
      <c r="M221" s="284">
        <f t="shared" si="110"/>
        <v>85405356.25</v>
      </c>
      <c r="N221" s="284">
        <f t="shared" si="111"/>
        <v>16631107.5</v>
      </c>
      <c r="O221" s="284">
        <f t="shared" si="112"/>
        <v>10903427.48</v>
      </c>
      <c r="P221" s="281"/>
      <c r="Q221" s="281"/>
      <c r="R221" s="281"/>
      <c r="S221" s="281"/>
      <c r="T221" s="19"/>
      <c r="U221" s="19"/>
      <c r="V221" s="19"/>
      <c r="W221" s="19"/>
    </row>
    <row r="222" spans="1:48" x14ac:dyDescent="0.2">
      <c r="A222" s="19"/>
      <c r="B222" s="19" t="s">
        <v>290</v>
      </c>
      <c r="C222" s="19"/>
      <c r="D222" s="169"/>
      <c r="E222" s="169"/>
      <c r="F222" s="169"/>
      <c r="G222" s="177"/>
      <c r="H222" s="177"/>
      <c r="I222" s="177"/>
      <c r="J222" s="177"/>
      <c r="K222" s="177"/>
      <c r="L222" s="284">
        <f t="shared" si="109"/>
        <v>521560500</v>
      </c>
      <c r="M222" s="284">
        <f t="shared" si="110"/>
        <v>434208001.56999999</v>
      </c>
      <c r="N222" s="284">
        <f t="shared" si="111"/>
        <v>36509235</v>
      </c>
      <c r="O222" s="284">
        <f t="shared" si="112"/>
        <v>20426243.84</v>
      </c>
      <c r="P222" s="281"/>
      <c r="Q222" s="281"/>
      <c r="R222" s="281"/>
      <c r="S222" s="281"/>
      <c r="T222" s="19"/>
      <c r="U222" s="19"/>
      <c r="V222" s="19"/>
      <c r="W222" s="19"/>
    </row>
    <row r="223" spans="1:48" x14ac:dyDescent="0.2">
      <c r="A223" s="19"/>
      <c r="B223" s="19" t="s">
        <v>575</v>
      </c>
      <c r="C223" s="19"/>
      <c r="D223" s="169"/>
      <c r="E223" s="169"/>
      <c r="F223" s="169"/>
      <c r="G223" s="177"/>
      <c r="H223" s="177"/>
      <c r="I223" s="177"/>
      <c r="J223" s="177"/>
      <c r="K223" s="177"/>
      <c r="L223" s="284">
        <f t="shared" si="109"/>
        <v>548451165.75</v>
      </c>
      <c r="M223" s="284">
        <f t="shared" si="110"/>
        <v>207016393.97000003</v>
      </c>
      <c r="N223" s="284">
        <f t="shared" si="111"/>
        <v>90572487.171978831</v>
      </c>
      <c r="O223" s="284">
        <f t="shared" si="112"/>
        <v>71478511.909999982</v>
      </c>
      <c r="P223" s="281"/>
      <c r="Q223" s="281"/>
      <c r="R223" s="281"/>
      <c r="S223" s="281"/>
      <c r="T223" s="19"/>
      <c r="U223" s="19"/>
      <c r="V223" s="19"/>
      <c r="W223" s="19"/>
    </row>
    <row r="224" spans="1:48" x14ac:dyDescent="0.2">
      <c r="A224" s="19"/>
      <c r="B224" s="19"/>
      <c r="C224" s="19"/>
      <c r="D224" s="169"/>
      <c r="E224" s="169"/>
      <c r="F224" s="169"/>
      <c r="G224" s="177"/>
      <c r="H224" s="177"/>
      <c r="I224" s="177"/>
      <c r="J224" s="177"/>
      <c r="K224" s="177"/>
      <c r="L224" s="284">
        <f t="shared" si="109"/>
        <v>0</v>
      </c>
      <c r="M224" s="284">
        <f t="shared" si="110"/>
        <v>0</v>
      </c>
      <c r="N224" s="284">
        <f t="shared" si="111"/>
        <v>0</v>
      </c>
      <c r="O224" s="284">
        <f t="shared" si="112"/>
        <v>0</v>
      </c>
      <c r="P224" s="281"/>
      <c r="Q224" s="281"/>
      <c r="R224" s="281"/>
      <c r="S224" s="281"/>
      <c r="T224" s="19"/>
      <c r="U224" s="19"/>
      <c r="V224" s="19"/>
      <c r="W224" s="19"/>
    </row>
    <row r="225" spans="1:23" x14ac:dyDescent="0.2">
      <c r="A225" s="19"/>
      <c r="B225" s="19"/>
      <c r="C225" s="19"/>
      <c r="D225" s="169"/>
      <c r="E225" s="169"/>
      <c r="F225" s="169"/>
      <c r="G225" s="177"/>
      <c r="H225" s="177"/>
      <c r="I225" s="177"/>
      <c r="J225" s="177"/>
      <c r="K225" s="177"/>
      <c r="L225" s="284">
        <f t="shared" si="109"/>
        <v>0</v>
      </c>
      <c r="M225" s="284">
        <f t="shared" si="110"/>
        <v>0</v>
      </c>
      <c r="N225" s="284">
        <f t="shared" si="111"/>
        <v>0</v>
      </c>
      <c r="O225" s="284">
        <f t="shared" si="112"/>
        <v>0</v>
      </c>
      <c r="P225" s="281"/>
      <c r="Q225" s="281"/>
      <c r="R225" s="281"/>
      <c r="S225" s="281"/>
      <c r="T225" s="19"/>
      <c r="U225" s="19"/>
      <c r="V225" s="19"/>
      <c r="W225" s="19"/>
    </row>
    <row r="226" spans="1:23" x14ac:dyDescent="0.2">
      <c r="A226" s="19"/>
      <c r="B226" s="19"/>
      <c r="C226" s="19"/>
      <c r="D226" s="169"/>
      <c r="E226" s="169"/>
      <c r="F226" s="169"/>
      <c r="G226" s="177"/>
      <c r="H226" s="177"/>
      <c r="I226" s="177"/>
      <c r="J226" s="177"/>
      <c r="K226" s="177"/>
      <c r="L226" s="281"/>
      <c r="M226" s="281"/>
      <c r="N226" s="281"/>
      <c r="O226" s="281"/>
      <c r="P226" s="281"/>
      <c r="Q226" s="281"/>
      <c r="R226" s="281"/>
      <c r="S226" s="281"/>
      <c r="T226" s="19"/>
      <c r="U226" s="19"/>
      <c r="V226" s="19"/>
      <c r="W226" s="19"/>
    </row>
    <row r="227" spans="1:23" x14ac:dyDescent="0.2">
      <c r="A227" s="19"/>
      <c r="B227" s="19"/>
      <c r="C227" s="19"/>
      <c r="D227" s="169"/>
      <c r="E227" s="169"/>
      <c r="F227" s="169"/>
      <c r="G227" s="177"/>
      <c r="H227" s="177"/>
      <c r="I227" s="177"/>
      <c r="J227" s="177"/>
      <c r="K227" s="177"/>
      <c r="L227" s="281"/>
      <c r="M227" s="281"/>
      <c r="N227" s="281"/>
      <c r="O227" s="281"/>
      <c r="P227" s="281"/>
      <c r="Q227" s="281"/>
      <c r="R227" s="281"/>
      <c r="S227" s="281"/>
      <c r="T227" s="19"/>
      <c r="U227" s="19"/>
      <c r="V227" s="19"/>
      <c r="W227" s="19"/>
    </row>
    <row r="228" spans="1:23" x14ac:dyDescent="0.2">
      <c r="A228" s="19"/>
      <c r="B228" s="279" t="s">
        <v>6</v>
      </c>
      <c r="C228" s="19"/>
      <c r="D228" s="169"/>
      <c r="E228" s="169"/>
      <c r="F228" s="169"/>
      <c r="G228" s="177"/>
      <c r="H228" s="177"/>
      <c r="I228" s="177"/>
      <c r="J228" s="177"/>
      <c r="K228" s="177"/>
      <c r="L228" s="281"/>
      <c r="M228" s="281"/>
      <c r="N228" s="281"/>
      <c r="O228" s="281"/>
      <c r="P228" s="281"/>
      <c r="Q228" s="281"/>
      <c r="R228" s="281"/>
      <c r="S228" s="281"/>
      <c r="T228" s="19"/>
      <c r="U228" s="19"/>
      <c r="V228" s="19"/>
      <c r="W228" s="19"/>
    </row>
    <row r="229" spans="1:23" x14ac:dyDescent="0.2">
      <c r="A229" s="19"/>
      <c r="B229" s="19" t="s">
        <v>9</v>
      </c>
      <c r="C229" s="19"/>
      <c r="D229" s="169"/>
      <c r="E229" s="169"/>
      <c r="F229" s="169"/>
      <c r="G229" s="177"/>
      <c r="H229" s="177"/>
      <c r="I229" s="177"/>
      <c r="J229" s="177"/>
      <c r="K229" s="177"/>
      <c r="L229" s="284">
        <f t="shared" ref="L229:L251" si="113">SUMIFS($AA$12:$AA$189,$I$12:$I$189,$B229,$K$12:$K$189,FALSE)</f>
        <v>301286750.25</v>
      </c>
      <c r="M229" s="284">
        <f t="shared" ref="M229:M251" si="114">SUMIFS($AB$12:$AB$189,$I$12:$I$189,$B229,$K$12:$K$189,FALSE)</f>
        <v>25273947.220000003</v>
      </c>
      <c r="N229" s="284">
        <f t="shared" ref="N229:N251" si="115">SUMIFS($AD$12:$AD$189,$I$12:$I$189,$B229,$K$12:$K$189,FALSE)</f>
        <v>69137594.182961494</v>
      </c>
      <c r="O229" s="284">
        <f t="shared" ref="O229:O251" si="116">SUMIFS($AE$12:$AE$189,$I$12:$I$189,$B229,$K$12:$K$189,FALSE)</f>
        <v>48145535.88000001</v>
      </c>
      <c r="P229" s="281"/>
      <c r="Q229" s="281"/>
      <c r="R229" s="281"/>
      <c r="S229" s="281"/>
      <c r="T229" s="19"/>
      <c r="U229" s="19"/>
      <c r="V229" s="19"/>
      <c r="W229" s="19"/>
    </row>
    <row r="230" spans="1:23" x14ac:dyDescent="0.2">
      <c r="A230" s="19"/>
      <c r="B230" s="19" t="s">
        <v>10</v>
      </c>
      <c r="C230" s="19"/>
      <c r="D230" s="169"/>
      <c r="E230" s="169"/>
      <c r="F230" s="169"/>
      <c r="G230" s="177"/>
      <c r="H230" s="177"/>
      <c r="I230" s="177"/>
      <c r="J230" s="177"/>
      <c r="K230" s="177"/>
      <c r="L230" s="284">
        <f t="shared" si="113"/>
        <v>143225317.27500001</v>
      </c>
      <c r="M230" s="284">
        <f t="shared" si="114"/>
        <v>51862618.860000014</v>
      </c>
      <c r="N230" s="284">
        <f t="shared" si="115"/>
        <v>29609531.049050845</v>
      </c>
      <c r="O230" s="284">
        <f t="shared" si="116"/>
        <v>41282189.449999996</v>
      </c>
      <c r="P230" s="281"/>
      <c r="Q230" s="281"/>
      <c r="R230" s="281"/>
      <c r="S230" s="281"/>
      <c r="T230" s="19"/>
      <c r="U230" s="19"/>
      <c r="V230" s="19"/>
      <c r="W230" s="19"/>
    </row>
    <row r="231" spans="1:23" x14ac:dyDescent="0.2">
      <c r="A231" s="19"/>
      <c r="B231" s="19" t="s">
        <v>12</v>
      </c>
      <c r="C231" s="19"/>
      <c r="D231" s="169"/>
      <c r="E231" s="169"/>
      <c r="F231" s="169"/>
      <c r="G231" s="177"/>
      <c r="H231" s="177"/>
      <c r="I231" s="177"/>
      <c r="J231" s="177"/>
      <c r="K231" s="177"/>
      <c r="L231" s="284">
        <f t="shared" si="113"/>
        <v>72908250</v>
      </c>
      <c r="M231" s="284">
        <f t="shared" si="114"/>
        <v>42851060.119999997</v>
      </c>
      <c r="N231" s="284">
        <f t="shared" si="115"/>
        <v>15945746.852716576</v>
      </c>
      <c r="O231" s="284">
        <f t="shared" si="116"/>
        <v>7125648.7299999995</v>
      </c>
      <c r="P231" s="281"/>
      <c r="Q231" s="281"/>
      <c r="R231" s="281"/>
      <c r="S231" s="281"/>
      <c r="T231" s="19"/>
      <c r="U231" s="19"/>
      <c r="V231" s="19"/>
      <c r="W231" s="19"/>
    </row>
    <row r="232" spans="1:23" x14ac:dyDescent="0.2">
      <c r="A232" s="19"/>
      <c r="B232" s="19" t="s">
        <v>7</v>
      </c>
      <c r="C232" s="19"/>
      <c r="D232" s="169"/>
      <c r="E232" s="169"/>
      <c r="F232" s="169"/>
      <c r="G232" s="177"/>
      <c r="H232" s="177"/>
      <c r="I232" s="177"/>
      <c r="J232" s="177"/>
      <c r="K232" s="177"/>
      <c r="L232" s="284">
        <f t="shared" si="113"/>
        <v>62193058.912499994</v>
      </c>
      <c r="M232" s="284">
        <f t="shared" si="114"/>
        <v>38803718.900000006</v>
      </c>
      <c r="N232" s="284">
        <f t="shared" si="115"/>
        <v>11417215.846715681</v>
      </c>
      <c r="O232" s="284">
        <f t="shared" si="116"/>
        <v>2058409.1700000004</v>
      </c>
      <c r="P232" s="281"/>
      <c r="Q232" s="281"/>
      <c r="R232" s="281"/>
      <c r="S232" s="281"/>
      <c r="T232" s="19"/>
      <c r="U232" s="19"/>
      <c r="V232" s="19"/>
      <c r="W232" s="19"/>
    </row>
    <row r="233" spans="1:23" x14ac:dyDescent="0.2">
      <c r="A233" s="19"/>
      <c r="B233" s="19" t="s">
        <v>8</v>
      </c>
      <c r="C233" s="19"/>
      <c r="D233" s="169"/>
      <c r="E233" s="169"/>
      <c r="F233" s="169"/>
      <c r="G233" s="177"/>
      <c r="H233" s="177"/>
      <c r="I233" s="177"/>
      <c r="J233" s="177"/>
      <c r="K233" s="177"/>
      <c r="L233" s="284">
        <f t="shared" si="113"/>
        <v>113997687.9975</v>
      </c>
      <c r="M233" s="284">
        <f t="shared" si="114"/>
        <v>41960715.759999998</v>
      </c>
      <c r="N233" s="284">
        <f t="shared" si="115"/>
        <v>22475114.167526502</v>
      </c>
      <c r="O233" s="284">
        <f t="shared" si="116"/>
        <v>14861321.149999999</v>
      </c>
      <c r="P233" s="281"/>
      <c r="Q233" s="281"/>
      <c r="R233" s="281"/>
      <c r="S233" s="281"/>
      <c r="T233" s="19"/>
      <c r="U233" s="19"/>
      <c r="V233" s="19"/>
      <c r="W233" s="19"/>
    </row>
    <row r="234" spans="1:23" x14ac:dyDescent="0.2">
      <c r="A234" s="19"/>
      <c r="B234" s="19" t="s">
        <v>49</v>
      </c>
      <c r="C234" s="19"/>
      <c r="D234" s="169"/>
      <c r="E234" s="169"/>
      <c r="F234" s="169"/>
      <c r="G234" s="177"/>
      <c r="H234" s="177"/>
      <c r="I234" s="177"/>
      <c r="J234" s="177"/>
      <c r="K234" s="177"/>
      <c r="L234" s="284">
        <f t="shared" si="113"/>
        <v>27387000</v>
      </c>
      <c r="M234" s="284">
        <f t="shared" si="114"/>
        <v>16579094.879999999</v>
      </c>
      <c r="N234" s="284">
        <f t="shared" si="115"/>
        <v>4835083.9926338131</v>
      </c>
      <c r="O234" s="284">
        <f t="shared" si="116"/>
        <v>3054241.1199999996</v>
      </c>
      <c r="P234" s="281"/>
      <c r="Q234" s="281"/>
      <c r="R234" s="281"/>
      <c r="S234" s="281"/>
      <c r="T234" s="19"/>
      <c r="U234" s="19"/>
      <c r="V234" s="19"/>
      <c r="W234" s="19"/>
    </row>
    <row r="235" spans="1:23" x14ac:dyDescent="0.2">
      <c r="A235" s="19"/>
      <c r="B235" s="19" t="s">
        <v>11</v>
      </c>
      <c r="C235" s="19"/>
      <c r="D235" s="169"/>
      <c r="E235" s="169"/>
      <c r="F235" s="169"/>
      <c r="G235" s="177"/>
      <c r="H235" s="177"/>
      <c r="I235" s="177"/>
      <c r="J235" s="177"/>
      <c r="K235" s="177"/>
      <c r="L235" s="284">
        <f t="shared" si="113"/>
        <v>13760775</v>
      </c>
      <c r="M235" s="284">
        <f t="shared" si="114"/>
        <v>586810.64</v>
      </c>
      <c r="N235" s="284">
        <f t="shared" si="115"/>
        <v>3453023.1589340209</v>
      </c>
      <c r="O235" s="284">
        <f t="shared" si="116"/>
        <v>1965049.51</v>
      </c>
      <c r="P235" s="281"/>
      <c r="Q235" s="281"/>
      <c r="R235" s="281"/>
      <c r="S235" s="281"/>
      <c r="T235" s="19"/>
      <c r="U235" s="19"/>
      <c r="V235" s="19"/>
      <c r="W235" s="19"/>
    </row>
    <row r="236" spans="1:23" x14ac:dyDescent="0.2">
      <c r="A236" s="19"/>
      <c r="B236" s="19" t="s">
        <v>47</v>
      </c>
      <c r="C236" s="19"/>
      <c r="D236" s="169"/>
      <c r="E236" s="169"/>
      <c r="F236" s="169"/>
      <c r="G236" s="177"/>
      <c r="H236" s="177"/>
      <c r="I236" s="177"/>
      <c r="J236" s="177"/>
      <c r="K236" s="177"/>
      <c r="L236" s="284">
        <f t="shared" si="113"/>
        <v>14993164.5</v>
      </c>
      <c r="M236" s="284">
        <f t="shared" si="114"/>
        <v>7839556.1299999999</v>
      </c>
      <c r="N236" s="284">
        <f t="shared" si="115"/>
        <v>3449715.0596462195</v>
      </c>
      <c r="O236" s="284">
        <f t="shared" si="116"/>
        <v>2180670.5</v>
      </c>
      <c r="P236" s="281"/>
      <c r="Q236" s="281"/>
      <c r="R236" s="281"/>
      <c r="S236" s="281"/>
      <c r="T236" s="19"/>
      <c r="U236" s="19"/>
      <c r="V236" s="19"/>
      <c r="W236" s="19"/>
    </row>
    <row r="237" spans="1:23" x14ac:dyDescent="0.2">
      <c r="A237" s="19"/>
      <c r="B237" s="19" t="s">
        <v>38</v>
      </c>
      <c r="C237" s="19"/>
      <c r="D237" s="169"/>
      <c r="E237" s="169"/>
      <c r="F237" s="169"/>
      <c r="G237" s="177"/>
      <c r="H237" s="177"/>
      <c r="I237" s="177"/>
      <c r="J237" s="177"/>
      <c r="K237" s="177"/>
      <c r="L237" s="284">
        <f t="shared" si="113"/>
        <v>7461975</v>
      </c>
      <c r="M237" s="284">
        <f t="shared" si="114"/>
        <v>53204.88</v>
      </c>
      <c r="N237" s="284">
        <f t="shared" si="115"/>
        <v>1930441.0844844687</v>
      </c>
      <c r="O237" s="284">
        <f t="shared" si="116"/>
        <v>878518.65999999992</v>
      </c>
      <c r="P237" s="281"/>
      <c r="Q237" s="281"/>
      <c r="R237" s="281"/>
      <c r="S237" s="281"/>
      <c r="T237" s="19"/>
      <c r="U237" s="19"/>
      <c r="V237" s="19"/>
      <c r="W237" s="19"/>
    </row>
    <row r="238" spans="1:23" x14ac:dyDescent="0.2">
      <c r="A238" s="19"/>
      <c r="B238" s="19" t="s">
        <v>46</v>
      </c>
      <c r="C238" s="19"/>
      <c r="D238" s="169"/>
      <c r="E238" s="169"/>
      <c r="F238" s="169"/>
      <c r="G238" s="177"/>
      <c r="H238" s="177"/>
      <c r="I238" s="177"/>
      <c r="J238" s="177"/>
      <c r="K238" s="177"/>
      <c r="L238" s="284">
        <f t="shared" si="113"/>
        <v>7773375</v>
      </c>
      <c r="M238" s="284">
        <f t="shared" si="114"/>
        <v>3174521.1100000003</v>
      </c>
      <c r="N238" s="284">
        <f t="shared" si="115"/>
        <v>1928164.3920606661</v>
      </c>
      <c r="O238" s="284">
        <f t="shared" si="116"/>
        <v>1319600.81</v>
      </c>
      <c r="P238" s="281"/>
      <c r="Q238" s="281"/>
      <c r="R238" s="281"/>
      <c r="S238" s="281"/>
      <c r="T238" s="19"/>
      <c r="U238" s="19"/>
      <c r="V238" s="19"/>
      <c r="W238" s="19"/>
    </row>
    <row r="239" spans="1:23" x14ac:dyDescent="0.2">
      <c r="A239" s="19"/>
      <c r="B239" s="19" t="s">
        <v>43</v>
      </c>
      <c r="C239" s="19"/>
      <c r="D239" s="169"/>
      <c r="E239" s="169"/>
      <c r="F239" s="169"/>
      <c r="G239" s="177"/>
      <c r="H239" s="177"/>
      <c r="I239" s="177"/>
      <c r="J239" s="177"/>
      <c r="K239" s="177"/>
      <c r="L239" s="284">
        <f t="shared" si="113"/>
        <v>9830873.25</v>
      </c>
      <c r="M239" s="284">
        <f t="shared" si="114"/>
        <v>3427634.63</v>
      </c>
      <c r="N239" s="284">
        <f t="shared" si="115"/>
        <v>1776601.2536671844</v>
      </c>
      <c r="O239" s="284">
        <f t="shared" si="116"/>
        <v>242965.81</v>
      </c>
      <c r="P239" s="281"/>
      <c r="Q239" s="281"/>
      <c r="R239" s="281"/>
      <c r="S239" s="281"/>
      <c r="T239" s="19"/>
      <c r="U239" s="19"/>
      <c r="V239" s="19"/>
      <c r="W239" s="19"/>
    </row>
    <row r="240" spans="1:23" x14ac:dyDescent="0.2">
      <c r="A240" s="19"/>
      <c r="B240" s="19" t="s">
        <v>34</v>
      </c>
      <c r="C240" s="19"/>
      <c r="D240" s="169"/>
      <c r="E240" s="169"/>
      <c r="F240" s="169"/>
      <c r="G240" s="177"/>
      <c r="H240" s="177"/>
      <c r="I240" s="177"/>
      <c r="J240" s="177"/>
      <c r="K240" s="177"/>
      <c r="L240" s="284">
        <f t="shared" si="113"/>
        <v>14232409.5</v>
      </c>
      <c r="M240" s="284">
        <f t="shared" si="114"/>
        <v>11476.5</v>
      </c>
      <c r="N240" s="284">
        <f t="shared" si="115"/>
        <v>3548913.8792999997</v>
      </c>
      <c r="O240" s="284">
        <f t="shared" si="116"/>
        <v>560993.1</v>
      </c>
      <c r="P240" s="281"/>
      <c r="Q240" s="281"/>
      <c r="R240" s="281"/>
      <c r="S240" s="281"/>
      <c r="T240" s="19"/>
      <c r="U240" s="19"/>
      <c r="V240" s="19"/>
      <c r="W240" s="19"/>
    </row>
    <row r="241" spans="1:23" x14ac:dyDescent="0.2">
      <c r="A241" s="19"/>
      <c r="B241" s="19" t="s">
        <v>33</v>
      </c>
      <c r="C241" s="19"/>
      <c r="D241" s="169"/>
      <c r="E241" s="169"/>
      <c r="F241" s="169"/>
      <c r="G241" s="177"/>
      <c r="H241" s="177"/>
      <c r="I241" s="177"/>
      <c r="J241" s="177"/>
      <c r="K241" s="177"/>
      <c r="L241" s="284">
        <f t="shared" si="113"/>
        <v>5294250</v>
      </c>
      <c r="M241" s="284">
        <f t="shared" si="114"/>
        <v>1871528.37</v>
      </c>
      <c r="N241" s="284">
        <f t="shared" si="115"/>
        <v>970550.37493372394</v>
      </c>
      <c r="O241" s="284">
        <f t="shared" si="116"/>
        <v>148526.9</v>
      </c>
      <c r="P241" s="281"/>
      <c r="Q241" s="281"/>
      <c r="R241" s="281"/>
      <c r="S241" s="281"/>
      <c r="T241" s="19"/>
      <c r="U241" s="19"/>
      <c r="V241" s="19"/>
      <c r="W241" s="19"/>
    </row>
    <row r="242" spans="1:23" x14ac:dyDescent="0.2">
      <c r="A242" s="19"/>
      <c r="B242" s="19" t="s">
        <v>45</v>
      </c>
      <c r="C242" s="19"/>
      <c r="D242" s="169"/>
      <c r="E242" s="169"/>
      <c r="F242" s="169"/>
      <c r="G242" s="177"/>
      <c r="H242" s="177"/>
      <c r="I242" s="177"/>
      <c r="J242" s="177"/>
      <c r="K242" s="177"/>
      <c r="L242" s="284">
        <f t="shared" si="113"/>
        <v>1869750</v>
      </c>
      <c r="M242" s="284">
        <f t="shared" si="114"/>
        <v>4980.2299999999996</v>
      </c>
      <c r="N242" s="284">
        <f t="shared" si="115"/>
        <v>364601.25</v>
      </c>
      <c r="O242" s="284">
        <f t="shared" si="116"/>
        <v>602064.22000000009</v>
      </c>
      <c r="P242" s="281"/>
      <c r="Q242" s="281"/>
      <c r="R242" s="281"/>
      <c r="S242" s="281"/>
      <c r="T242" s="19"/>
      <c r="U242" s="19"/>
      <c r="V242" s="19"/>
      <c r="W242" s="19"/>
    </row>
    <row r="243" spans="1:23" x14ac:dyDescent="0.2">
      <c r="A243" s="19"/>
      <c r="B243" s="19" t="s">
        <v>40</v>
      </c>
      <c r="C243" s="19"/>
      <c r="D243" s="169"/>
      <c r="E243" s="169"/>
      <c r="F243" s="169"/>
      <c r="G243" s="177"/>
      <c r="H243" s="177"/>
      <c r="I243" s="177"/>
      <c r="J243" s="177"/>
      <c r="K243" s="177"/>
      <c r="L243" s="284">
        <f t="shared" si="113"/>
        <v>2148000</v>
      </c>
      <c r="M243" s="284">
        <f t="shared" si="114"/>
        <v>1804.59</v>
      </c>
      <c r="N243" s="284">
        <f t="shared" si="115"/>
        <v>525368.42108271469</v>
      </c>
      <c r="O243" s="284">
        <f t="shared" si="116"/>
        <v>177910.11</v>
      </c>
      <c r="P243" s="281"/>
      <c r="Q243" s="281"/>
      <c r="R243" s="281"/>
      <c r="S243" s="281"/>
      <c r="T243" s="19"/>
      <c r="U243" s="19"/>
      <c r="V243" s="19"/>
      <c r="W243" s="19"/>
    </row>
    <row r="244" spans="1:23" x14ac:dyDescent="0.2">
      <c r="A244" s="19"/>
      <c r="B244" s="19" t="s">
        <v>41</v>
      </c>
      <c r="C244" s="19"/>
      <c r="D244" s="169"/>
      <c r="E244" s="169"/>
      <c r="F244" s="169"/>
      <c r="G244" s="177"/>
      <c r="H244" s="177"/>
      <c r="I244" s="177"/>
      <c r="J244" s="177"/>
      <c r="K244" s="177"/>
      <c r="L244" s="284">
        <f t="shared" si="113"/>
        <v>6054270</v>
      </c>
      <c r="M244" s="284">
        <f t="shared" si="114"/>
        <v>441808.98</v>
      </c>
      <c r="N244" s="284">
        <f t="shared" si="115"/>
        <v>1668460.5593821649</v>
      </c>
      <c r="O244" s="284">
        <f t="shared" si="116"/>
        <v>1117810.57</v>
      </c>
      <c r="P244" s="281"/>
      <c r="Q244" s="281"/>
      <c r="R244" s="281"/>
      <c r="S244" s="281"/>
      <c r="T244" s="19"/>
      <c r="U244" s="19"/>
      <c r="V244" s="19"/>
      <c r="W244" s="19"/>
    </row>
    <row r="245" spans="1:23" x14ac:dyDescent="0.2">
      <c r="A245" s="19"/>
      <c r="B245" s="19" t="s">
        <v>48</v>
      </c>
      <c r="C245" s="19"/>
      <c r="D245" s="169"/>
      <c r="E245" s="169"/>
      <c r="F245" s="169"/>
      <c r="G245" s="177"/>
      <c r="H245" s="177"/>
      <c r="I245" s="177"/>
      <c r="J245" s="177"/>
      <c r="K245" s="177"/>
      <c r="L245" s="284">
        <f t="shared" si="113"/>
        <v>2544000</v>
      </c>
      <c r="M245" s="284">
        <f t="shared" si="114"/>
        <v>1573740.9300000002</v>
      </c>
      <c r="N245" s="284">
        <f t="shared" si="115"/>
        <v>826011.30274840014</v>
      </c>
      <c r="O245" s="284">
        <f t="shared" si="116"/>
        <v>178006.16999999998</v>
      </c>
      <c r="P245" s="281"/>
      <c r="Q245" s="281"/>
      <c r="R245" s="281"/>
      <c r="S245" s="281"/>
      <c r="T245" s="19"/>
      <c r="U245" s="19"/>
      <c r="V245" s="19"/>
      <c r="W245" s="19"/>
    </row>
    <row r="246" spans="1:23" x14ac:dyDescent="0.2">
      <c r="A246" s="19"/>
      <c r="B246" s="19" t="s">
        <v>35</v>
      </c>
      <c r="C246" s="19"/>
      <c r="D246" s="169"/>
      <c r="E246" s="169"/>
      <c r="F246" s="169"/>
      <c r="G246" s="177"/>
      <c r="H246" s="177"/>
      <c r="I246" s="177"/>
      <c r="J246" s="177"/>
      <c r="K246" s="177"/>
      <c r="L246" s="284">
        <f t="shared" si="113"/>
        <v>5518500</v>
      </c>
      <c r="M246" s="284">
        <f t="shared" si="114"/>
        <v>3075486.35</v>
      </c>
      <c r="N246" s="284">
        <f t="shared" si="115"/>
        <v>1567900.012847716</v>
      </c>
      <c r="O246" s="284">
        <f t="shared" si="116"/>
        <v>1263845.3399999999</v>
      </c>
      <c r="P246" s="281"/>
      <c r="Q246" s="281"/>
      <c r="R246" s="281"/>
      <c r="S246" s="281"/>
      <c r="T246" s="19"/>
      <c r="U246" s="19"/>
      <c r="V246" s="19"/>
      <c r="W246" s="19"/>
    </row>
    <row r="247" spans="1:23" x14ac:dyDescent="0.2">
      <c r="A247" s="19"/>
      <c r="B247" s="19" t="s">
        <v>44</v>
      </c>
      <c r="C247" s="19"/>
      <c r="D247" s="169"/>
      <c r="E247" s="169"/>
      <c r="F247" s="169"/>
      <c r="G247" s="177"/>
      <c r="H247" s="177"/>
      <c r="I247" s="177"/>
      <c r="J247" s="177"/>
      <c r="K247" s="177"/>
      <c r="L247" s="284">
        <f t="shared" si="113"/>
        <v>4268175</v>
      </c>
      <c r="M247" s="284">
        <f t="shared" si="114"/>
        <v>1087858.06</v>
      </c>
      <c r="N247" s="284">
        <f t="shared" si="115"/>
        <v>1245227.487819518</v>
      </c>
      <c r="O247" s="284">
        <f t="shared" si="116"/>
        <v>364829.85</v>
      </c>
      <c r="P247" s="281"/>
      <c r="Q247" s="281"/>
      <c r="R247" s="281"/>
      <c r="S247" s="281"/>
      <c r="T247" s="19"/>
      <c r="U247" s="19"/>
      <c r="V247" s="19"/>
      <c r="W247" s="19"/>
    </row>
    <row r="248" spans="1:23" x14ac:dyDescent="0.2">
      <c r="A248" s="19"/>
      <c r="B248" s="19" t="s">
        <v>39</v>
      </c>
      <c r="C248" s="19"/>
      <c r="D248" s="169"/>
      <c r="E248" s="169"/>
      <c r="F248" s="169"/>
      <c r="G248" s="177"/>
      <c r="H248" s="177"/>
      <c r="I248" s="177"/>
      <c r="J248" s="177"/>
      <c r="K248" s="177"/>
      <c r="L248" s="284">
        <f t="shared" si="113"/>
        <v>3858109.26</v>
      </c>
      <c r="M248" s="284">
        <f t="shared" si="114"/>
        <v>905465.31</v>
      </c>
      <c r="N248" s="284">
        <f t="shared" si="115"/>
        <v>1046262.8839492237</v>
      </c>
      <c r="O248" s="284">
        <f t="shared" si="116"/>
        <v>364057.97</v>
      </c>
      <c r="P248" s="281"/>
      <c r="Q248" s="281"/>
      <c r="R248" s="281"/>
      <c r="S248" s="281"/>
      <c r="T248" s="19"/>
      <c r="U248" s="19"/>
      <c r="V248" s="19"/>
      <c r="W248" s="19"/>
    </row>
    <row r="249" spans="1:23" x14ac:dyDescent="0.2">
      <c r="A249" s="19"/>
      <c r="B249" s="19" t="s">
        <v>42</v>
      </c>
      <c r="C249" s="19"/>
      <c r="D249" s="169"/>
      <c r="E249" s="169"/>
      <c r="F249" s="169"/>
      <c r="G249" s="177"/>
      <c r="H249" s="177"/>
      <c r="I249" s="177"/>
      <c r="J249" s="177"/>
      <c r="K249" s="177"/>
      <c r="L249" s="284">
        <f t="shared" si="113"/>
        <v>1842000</v>
      </c>
      <c r="M249" s="284">
        <f t="shared" si="114"/>
        <v>1043868.88</v>
      </c>
      <c r="N249" s="284">
        <f t="shared" si="115"/>
        <v>312434.92499999999</v>
      </c>
      <c r="O249" s="284">
        <f t="shared" si="116"/>
        <v>131689.78999999998</v>
      </c>
      <c r="P249" s="281"/>
      <c r="Q249" s="281"/>
      <c r="R249" s="281"/>
      <c r="S249" s="281"/>
      <c r="T249" s="19"/>
      <c r="U249" s="19"/>
      <c r="V249" s="19"/>
      <c r="W249" s="19"/>
    </row>
    <row r="250" spans="1:23" x14ac:dyDescent="0.2">
      <c r="A250" s="19"/>
      <c r="B250" s="19" t="s">
        <v>37</v>
      </c>
      <c r="C250" s="19"/>
      <c r="D250" s="169"/>
      <c r="E250" s="169"/>
      <c r="F250" s="169"/>
      <c r="G250" s="177"/>
      <c r="H250" s="177"/>
      <c r="I250" s="177"/>
      <c r="J250" s="177"/>
      <c r="K250" s="177"/>
      <c r="L250" s="284">
        <f t="shared" si="113"/>
        <v>2577832.5</v>
      </c>
      <c r="M250" s="284">
        <f t="shared" si="114"/>
        <v>24975.68</v>
      </c>
      <c r="N250" s="284">
        <f t="shared" si="115"/>
        <v>424776.59125414386</v>
      </c>
      <c r="O250" s="284">
        <f t="shared" si="116"/>
        <v>166226.12</v>
      </c>
      <c r="P250" s="281"/>
      <c r="Q250" s="281"/>
      <c r="R250" s="281"/>
      <c r="S250" s="281"/>
      <c r="T250" s="19"/>
      <c r="U250" s="19"/>
      <c r="V250" s="19"/>
      <c r="W250" s="19"/>
    </row>
    <row r="251" spans="1:23" x14ac:dyDescent="0.2">
      <c r="A251" s="19"/>
      <c r="B251" s="19" t="s">
        <v>36</v>
      </c>
      <c r="C251" s="19"/>
      <c r="D251" s="169"/>
      <c r="E251" s="169"/>
      <c r="F251" s="169"/>
      <c r="G251" s="177"/>
      <c r="H251" s="177"/>
      <c r="I251" s="177"/>
      <c r="J251" s="177"/>
      <c r="K251" s="177"/>
      <c r="L251" s="284">
        <f t="shared" si="113"/>
        <v>2368500</v>
      </c>
      <c r="M251" s="284">
        <f t="shared" si="114"/>
        <v>0</v>
      </c>
      <c r="N251" s="284">
        <f t="shared" si="115"/>
        <v>410354.74040929088</v>
      </c>
      <c r="O251" s="284">
        <f t="shared" si="116"/>
        <v>235955.43</v>
      </c>
      <c r="P251" s="281"/>
      <c r="Q251" s="281"/>
      <c r="R251" s="281"/>
      <c r="S251" s="281"/>
      <c r="T251" s="19"/>
      <c r="U251" s="19"/>
      <c r="V251" s="19"/>
      <c r="W251" s="19"/>
    </row>
    <row r="252" spans="1:23" x14ac:dyDescent="0.2">
      <c r="A252" s="19"/>
      <c r="B252" s="19"/>
      <c r="C252" s="19"/>
      <c r="D252" s="169"/>
      <c r="E252" s="169"/>
      <c r="F252" s="169"/>
      <c r="G252" s="177"/>
      <c r="H252" s="177"/>
      <c r="I252" s="177"/>
      <c r="J252" s="177"/>
      <c r="K252" s="177"/>
      <c r="L252" s="281"/>
      <c r="M252" s="281"/>
      <c r="N252" s="281"/>
      <c r="O252" s="281"/>
      <c r="P252" s="281"/>
      <c r="Q252" s="281"/>
      <c r="R252" s="281"/>
      <c r="S252" s="281"/>
      <c r="T252" s="19"/>
      <c r="U252" s="19"/>
      <c r="V252" s="19"/>
      <c r="W252" s="19"/>
    </row>
    <row r="253" spans="1:23" x14ac:dyDescent="0.2">
      <c r="A253" s="19"/>
      <c r="B253" s="19"/>
      <c r="C253" s="19"/>
      <c r="D253" s="169"/>
      <c r="E253" s="169"/>
      <c r="F253" s="169"/>
      <c r="G253" s="177"/>
      <c r="H253" s="177"/>
      <c r="I253" s="177"/>
      <c r="J253" s="177"/>
      <c r="K253" s="177"/>
      <c r="L253" s="281"/>
      <c r="M253" s="281"/>
      <c r="N253" s="281"/>
      <c r="O253" s="281"/>
      <c r="P253" s="281"/>
      <c r="Q253" s="281"/>
      <c r="R253" s="281"/>
      <c r="S253" s="281"/>
      <c r="T253" s="19"/>
      <c r="U253" s="19"/>
      <c r="V253" s="19"/>
      <c r="W253" s="19"/>
    </row>
  </sheetData>
  <sheetProtection selectLockedCells="1" selectUnlockedCells="1"/>
  <autoFilter ref="B11:K213"/>
  <mergeCells count="26">
    <mergeCell ref="AY10:BE10"/>
    <mergeCell ref="BF10:BL10"/>
    <mergeCell ref="D190:K213"/>
    <mergeCell ref="L7:M7"/>
    <mergeCell ref="L8:M8"/>
    <mergeCell ref="AO12:AO13"/>
    <mergeCell ref="AM22:AM33"/>
    <mergeCell ref="AM34:AM45"/>
    <mergeCell ref="AM46:AM57"/>
    <mergeCell ref="AM58:AM69"/>
    <mergeCell ref="AM70:AM81"/>
    <mergeCell ref="AM82:AM93"/>
    <mergeCell ref="AO14:AO15"/>
    <mergeCell ref="AM94:AM105"/>
    <mergeCell ref="AO16:AO17"/>
    <mergeCell ref="L5:M5"/>
    <mergeCell ref="AO2:AO3"/>
    <mergeCell ref="AO4:AO5"/>
    <mergeCell ref="BJ9:BL9"/>
    <mergeCell ref="L1:M1"/>
    <mergeCell ref="L2:M2"/>
    <mergeCell ref="L3:M3"/>
    <mergeCell ref="L4:M4"/>
    <mergeCell ref="L6:M6"/>
    <mergeCell ref="AO6:AO7"/>
    <mergeCell ref="AO8:AO9"/>
  </mergeCells>
  <phoneticPr fontId="4" type="noConversion"/>
  <dataValidations disablePrompts="1" count="1">
    <dataValidation type="list" allowBlank="1" showInputMessage="1" showErrorMessage="1" sqref="N4">
      <formula1>"A,N"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22</vt:i4>
      </vt:variant>
    </vt:vector>
  </HeadingPairs>
  <TitlesOfParts>
    <vt:vector size="36" baseType="lpstr">
      <vt:lpstr>SSN_SMO</vt:lpstr>
      <vt:lpstr>I. Report</vt:lpstr>
      <vt:lpstr>II. Sledování projektu</vt:lpstr>
      <vt:lpstr>Graf ratingu</vt:lpstr>
      <vt:lpstr>Parametry ratingu</vt:lpstr>
      <vt:lpstr>III. Souhrn SMO</vt:lpstr>
      <vt:lpstr>Graf % vývoje</vt:lpstr>
      <vt:lpstr>IV. detailní výkazy on-line</vt:lpstr>
      <vt:lpstr>data</vt:lpstr>
      <vt:lpstr>datarep</vt:lpstr>
      <vt:lpstr>Org_nast</vt:lpstr>
      <vt:lpstr>Org_dat</vt:lpstr>
      <vt:lpstr>vstupy</vt:lpstr>
      <vt:lpstr>pict</vt:lpstr>
      <vt:lpstr>jakaKS</vt:lpstr>
      <vt:lpstr>Jiné_výběry</vt:lpstr>
      <vt:lpstr>Městské_obvody</vt:lpstr>
      <vt:lpstr>obdobi</vt:lpstr>
      <vt:lpstr>'II. Sledování projektu'!Oblast_tisku</vt:lpstr>
      <vt:lpstr>'III. Souhrn SMO'!Oblast_tisku</vt:lpstr>
      <vt:lpstr>'IV. detailní výkazy on-line'!Oblast_tisku</vt:lpstr>
      <vt:lpstr>OrgMax</vt:lpstr>
      <vt:lpstr>OrgSortCriteria</vt:lpstr>
      <vt:lpstr>planUspor</vt:lpstr>
      <vt:lpstr>RAT</vt:lpstr>
      <vt:lpstr>Resorty</vt:lpstr>
      <vt:lpstr>Různé_výběry</vt:lpstr>
      <vt:lpstr>uPohyb</vt:lpstr>
      <vt:lpstr>uspora</vt:lpstr>
      <vt:lpstr>vahaD</vt:lpstr>
      <vt:lpstr>vahaE</vt:lpstr>
      <vt:lpstr>vyber1</vt:lpstr>
      <vt:lpstr>vyber2</vt:lpstr>
      <vt:lpstr>vyber21</vt:lpstr>
      <vt:lpstr>Významní_zadavatelé</vt:lpstr>
      <vt:lpstr>zarad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</dc:creator>
  <cp:lastModifiedBy>Krzyžanek Bohuslav</cp:lastModifiedBy>
  <cp:lastPrinted>2015-05-19T11:02:06Z</cp:lastPrinted>
  <dcterms:created xsi:type="dcterms:W3CDTF">2011-04-04T08:23:12Z</dcterms:created>
  <dcterms:modified xsi:type="dcterms:W3CDTF">2016-10-14T08:32:52Z</dcterms:modified>
</cp:coreProperties>
</file>