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05" windowWidth="13920" windowHeight="11700" tabRatio="791" activeTab="2"/>
  </bookViews>
  <sheets>
    <sheet name="SSN_SMO" sheetId="55" r:id="rId1"/>
    <sheet name="I. Report" sheetId="53" r:id="rId2"/>
    <sheet name="II. Sledování projektu" sheetId="26" r:id="rId3"/>
    <sheet name="Graf ratingu" sheetId="43" r:id="rId4"/>
    <sheet name="Parametry ratingu" sheetId="47" r:id="rId5"/>
    <sheet name="III. Souhrn SMO" sheetId="49" r:id="rId6"/>
    <sheet name="Graf % vývoje" sheetId="57" r:id="rId7"/>
    <sheet name="IV. detailní výkazy on-line" sheetId="41" r:id="rId8"/>
    <sheet name="data" sheetId="4" state="hidden" r:id="rId9"/>
    <sheet name="datarep" sheetId="54" state="hidden" r:id="rId10"/>
    <sheet name="Org_nast" sheetId="27" state="hidden" r:id="rId11"/>
    <sheet name="Org_dat" sheetId="28" state="hidden" r:id="rId12"/>
    <sheet name="vstupy" sheetId="16" state="hidden" r:id="rId13"/>
    <sheet name="pict" sheetId="45" state="hidden" r:id="rId14"/>
  </sheets>
  <definedNames>
    <definedName name="_xlnm._FilterDatabase" localSheetId="8" hidden="1">data!$B$11:$K$213</definedName>
    <definedName name="_xlnm._FilterDatabase" localSheetId="2" hidden="1">'II. Sledování projektu'!$C$11:$D$37</definedName>
    <definedName name="_xlnm._FilterDatabase" localSheetId="11" hidden="1">Org_dat!$C$5:$M$5</definedName>
    <definedName name="_xlnm._FilterDatabase" localSheetId="12" hidden="1">vstupy!$N$2:$BF$180</definedName>
    <definedName name="jakaKS">data!$N$3</definedName>
    <definedName name="jakaKSobr" localSheetId="5">IF([0]!jakaKS=1,INDIRECT("pict!B2"),IF([0]!jakaKS=2,INDIRECT("pict!D2"),IF([0]!jakaKS=3,INDIRECT("pict!F2"))))</definedName>
    <definedName name="jakaKSobr">IF(jakaKS=1,INDIRECT("pict!B2"),IF(jakaKS=2,INDIRECT("pict!D2"),IF(jakaKS=3,INDIRECT("pict!F2"))))</definedName>
    <definedName name="Jiné_výběry">vstupy!$F$20:$F$29</definedName>
    <definedName name="Městské_obvody">vstupy!$B$11:$B$34</definedName>
    <definedName name="obdobi">data!$N$8</definedName>
    <definedName name="_xlnm.Print_Area" localSheetId="2">'II. Sledování projektu'!$A$2:$U$38</definedName>
    <definedName name="_xlnm.Print_Area" localSheetId="5">'III. Souhrn SMO'!$A$2:$O$27</definedName>
    <definedName name="_xlnm.Print_Area" localSheetId="7">'IV. detailní výkazy on-line'!$A$1:$L$65</definedName>
    <definedName name="OrgMax">Org_nast!$E$5</definedName>
    <definedName name="OrgSortCriteria">Org_nast!$E$6</definedName>
    <definedName name="planUspor">data!$N$5</definedName>
    <definedName name="RAT">datarep!$W$7:$Y$16</definedName>
    <definedName name="Resorty">vstupy!$F$4:$F$11</definedName>
    <definedName name="Různé_výběry">vstupy!$F$20:$F$29</definedName>
    <definedName name="uPohyb">datarep!$X$7:$Y$16</definedName>
    <definedName name="uspora">data!$N$4</definedName>
    <definedName name="vahaD">vstupy!$C$38</definedName>
    <definedName name="vahaE">vstupy!$C$37</definedName>
    <definedName name="vyber1">vstupy!$B$4:$B$7</definedName>
    <definedName name="vyber2">vstupy!$F$32:$F$34</definedName>
    <definedName name="vyber21">vstupy!$F$32:$I$34</definedName>
    <definedName name="Významní_zadavatelé">vstupy!$F$16:$F$17</definedName>
    <definedName name="zarad">data!$N$6</definedName>
  </definedNames>
  <calcPr calcId="145621"/>
</workbook>
</file>

<file path=xl/calcChain.xml><?xml version="1.0" encoding="utf-8"?>
<calcChain xmlns="http://schemas.openxmlformats.org/spreadsheetml/2006/main">
  <c r="BC33" i="4" l="1"/>
  <c r="BD33" i="4"/>
  <c r="BE33" i="4"/>
  <c r="BC32" i="4" l="1"/>
  <c r="BD32" i="4"/>
  <c r="BE32" i="4"/>
  <c r="AR16" i="4" l="1"/>
  <c r="AS16" i="4"/>
  <c r="AT16" i="4"/>
  <c r="AU16" i="4"/>
  <c r="AV16" i="4"/>
  <c r="AR17" i="4"/>
  <c r="AS17" i="4"/>
  <c r="AT17" i="4"/>
  <c r="AU17" i="4"/>
  <c r="AV17" i="4"/>
  <c r="AQ17" i="4"/>
  <c r="AQ16" i="4"/>
  <c r="J12" i="49" l="1"/>
  <c r="F12" i="49"/>
  <c r="N12" i="49"/>
  <c r="D12" i="49"/>
  <c r="BC31" i="4"/>
  <c r="BD31" i="4"/>
  <c r="BE31" i="4"/>
  <c r="BC30" i="4" l="1"/>
  <c r="BD30" i="4"/>
  <c r="BE30" i="4"/>
  <c r="BC29" i="4" l="1"/>
  <c r="BD29" i="4"/>
  <c r="BE29" i="4"/>
  <c r="C12" i="53" l="1"/>
  <c r="B2" i="57" l="1"/>
  <c r="O4" i="54" l="1"/>
  <c r="P4" i="54"/>
  <c r="Q4" i="54"/>
  <c r="R4" i="54"/>
  <c r="S4" i="54"/>
  <c r="T4" i="54"/>
  <c r="E40" i="53" s="1"/>
  <c r="O5" i="54"/>
  <c r="P5" i="54"/>
  <c r="Q5" i="54"/>
  <c r="R5" i="54"/>
  <c r="S5" i="54"/>
  <c r="T5" i="54"/>
  <c r="E32" i="53" s="1"/>
  <c r="O6" i="54"/>
  <c r="P6" i="54"/>
  <c r="Q6" i="54"/>
  <c r="R6" i="54"/>
  <c r="S6" i="54"/>
  <c r="T6" i="54"/>
  <c r="E39" i="53" s="1"/>
  <c r="O7" i="54"/>
  <c r="P7" i="54"/>
  <c r="Q7" i="54"/>
  <c r="R7" i="54"/>
  <c r="S7" i="54"/>
  <c r="T7" i="54"/>
  <c r="O8" i="54"/>
  <c r="P8" i="54"/>
  <c r="Q8" i="54"/>
  <c r="R8" i="54"/>
  <c r="S8" i="54"/>
  <c r="T8" i="54"/>
  <c r="O9" i="54"/>
  <c r="P9" i="54"/>
  <c r="Q9" i="54"/>
  <c r="R9" i="54"/>
  <c r="S9" i="54"/>
  <c r="T9" i="54"/>
  <c r="O10" i="54"/>
  <c r="P10" i="54"/>
  <c r="Q10" i="54"/>
  <c r="R10" i="54"/>
  <c r="S10" i="54"/>
  <c r="T10" i="54"/>
  <c r="E43" i="53" s="1"/>
  <c r="O11" i="54"/>
  <c r="P11" i="54"/>
  <c r="Q11" i="54"/>
  <c r="R11" i="54"/>
  <c r="S11" i="54"/>
  <c r="T11" i="54"/>
  <c r="E35" i="53" s="1"/>
  <c r="O12" i="54"/>
  <c r="P12" i="54"/>
  <c r="Q12" i="54"/>
  <c r="R12" i="54"/>
  <c r="S12" i="54"/>
  <c r="T12" i="54"/>
  <c r="O13" i="54"/>
  <c r="P13" i="54"/>
  <c r="Q13" i="54"/>
  <c r="R13" i="54"/>
  <c r="S13" i="54"/>
  <c r="T13" i="54"/>
  <c r="O14" i="54"/>
  <c r="P14" i="54"/>
  <c r="Q14" i="54"/>
  <c r="R14" i="54"/>
  <c r="S14" i="54"/>
  <c r="T14" i="54"/>
  <c r="E51" i="53" s="1"/>
  <c r="O15" i="54"/>
  <c r="P15" i="54"/>
  <c r="Q15" i="54"/>
  <c r="K53" i="53" s="1"/>
  <c r="L53" i="53" s="1"/>
  <c r="R15" i="54"/>
  <c r="S15" i="54"/>
  <c r="T15" i="54"/>
  <c r="O16" i="54"/>
  <c r="P16" i="54"/>
  <c r="Q16" i="54"/>
  <c r="R16" i="54"/>
  <c r="S16" i="54"/>
  <c r="T16" i="54"/>
  <c r="O17" i="54"/>
  <c r="P17" i="54"/>
  <c r="Q17" i="54"/>
  <c r="R17" i="54"/>
  <c r="S17" i="54"/>
  <c r="T17" i="54"/>
  <c r="O18" i="54"/>
  <c r="P18" i="54"/>
  <c r="Q18" i="54"/>
  <c r="R18" i="54"/>
  <c r="S18" i="54"/>
  <c r="T18" i="54"/>
  <c r="E52" i="53" s="1"/>
  <c r="O19" i="54"/>
  <c r="P19" i="54"/>
  <c r="Q19" i="54"/>
  <c r="R19" i="54"/>
  <c r="S19" i="54"/>
  <c r="T19" i="54"/>
  <c r="E41" i="53" s="1"/>
  <c r="O20" i="54"/>
  <c r="P20" i="54"/>
  <c r="Q20" i="54"/>
  <c r="R20" i="54"/>
  <c r="S20" i="54"/>
  <c r="T20" i="54"/>
  <c r="O21" i="54"/>
  <c r="P21" i="54"/>
  <c r="Q21" i="54"/>
  <c r="K31" i="53" s="1"/>
  <c r="L31" i="53" s="1"/>
  <c r="R21" i="54"/>
  <c r="S21" i="54"/>
  <c r="T21" i="54"/>
  <c r="O22" i="54"/>
  <c r="P22" i="54"/>
  <c r="Q22" i="54"/>
  <c r="R22" i="54"/>
  <c r="S22" i="54"/>
  <c r="T22" i="54"/>
  <c r="E47" i="53" s="1"/>
  <c r="O23" i="54"/>
  <c r="P23" i="54"/>
  <c r="Q23" i="54"/>
  <c r="R23" i="54"/>
  <c r="S23" i="54"/>
  <c r="T23" i="54"/>
  <c r="E44" i="53" s="1"/>
  <c r="O24" i="54"/>
  <c r="P24" i="54"/>
  <c r="Q24" i="54"/>
  <c r="R24" i="54"/>
  <c r="S24" i="54"/>
  <c r="T24" i="54"/>
  <c r="O25" i="54"/>
  <c r="P25" i="54"/>
  <c r="Q25" i="54"/>
  <c r="R25" i="54"/>
  <c r="S25" i="54"/>
  <c r="T25" i="54"/>
  <c r="O26" i="54"/>
  <c r="P26" i="54"/>
  <c r="Q26" i="54"/>
  <c r="R26" i="54"/>
  <c r="S26" i="54"/>
  <c r="T26" i="54"/>
  <c r="E46" i="53" s="1"/>
  <c r="E27" i="54"/>
  <c r="F27" i="54"/>
  <c r="G27" i="54"/>
  <c r="H27" i="54"/>
  <c r="J27" i="54"/>
  <c r="K27" i="54"/>
  <c r="L27" i="54"/>
  <c r="M27" i="54"/>
  <c r="O31" i="54"/>
  <c r="P31" i="54"/>
  <c r="Q31" i="54"/>
  <c r="R31" i="54"/>
  <c r="S31" i="54"/>
  <c r="T31" i="54"/>
  <c r="O32" i="54"/>
  <c r="P32" i="54"/>
  <c r="Q32" i="54"/>
  <c r="R32" i="54"/>
  <c r="S32" i="54"/>
  <c r="T32" i="54"/>
  <c r="O33" i="54"/>
  <c r="P33" i="54"/>
  <c r="Q33" i="54"/>
  <c r="R33" i="54"/>
  <c r="S33" i="54"/>
  <c r="T33" i="54"/>
  <c r="O34" i="54"/>
  <c r="P34" i="54"/>
  <c r="Q34" i="54"/>
  <c r="R34" i="54"/>
  <c r="S34" i="54"/>
  <c r="T34" i="54"/>
  <c r="O35" i="54"/>
  <c r="P35" i="54"/>
  <c r="Q35" i="54"/>
  <c r="R35" i="54"/>
  <c r="S35" i="54"/>
  <c r="T35" i="54"/>
  <c r="O36" i="54"/>
  <c r="P36" i="54"/>
  <c r="Q36" i="54"/>
  <c r="R36" i="54"/>
  <c r="S36" i="54"/>
  <c r="T36" i="54"/>
  <c r="O37" i="54"/>
  <c r="P37" i="54"/>
  <c r="Q37" i="54"/>
  <c r="K23" i="53" s="1"/>
  <c r="L23" i="53" s="1"/>
  <c r="R37" i="54"/>
  <c r="S37" i="54"/>
  <c r="T37" i="54"/>
  <c r="E43" i="54"/>
  <c r="F43" i="54"/>
  <c r="G43" i="54"/>
  <c r="H43" i="54"/>
  <c r="J43" i="54"/>
  <c r="K43" i="54"/>
  <c r="L43" i="54"/>
  <c r="M43" i="54"/>
  <c r="K22" i="53"/>
  <c r="L22" i="53" s="1"/>
  <c r="E26" i="53"/>
  <c r="K24" i="53" l="1"/>
  <c r="L24" i="53" s="1"/>
  <c r="K37" i="53"/>
  <c r="L37" i="53" s="1"/>
  <c r="K25" i="53"/>
  <c r="L25" i="53" s="1"/>
  <c r="E20" i="53"/>
  <c r="E24" i="53"/>
  <c r="U4" i="54"/>
  <c r="K47" i="53"/>
  <c r="L47" i="53" s="1"/>
  <c r="K34" i="53"/>
  <c r="L34" i="53" s="1"/>
  <c r="O43" i="54"/>
  <c r="P43" i="54"/>
  <c r="K33" i="53"/>
  <c r="L33" i="53" s="1"/>
  <c r="K45" i="53"/>
  <c r="L45" i="53" s="1"/>
  <c r="U20" i="54"/>
  <c r="U14" i="54"/>
  <c r="K38" i="53"/>
  <c r="L38" i="53" s="1"/>
  <c r="K49" i="53"/>
  <c r="L49" i="53" s="1"/>
  <c r="U22" i="54"/>
  <c r="U37" i="54"/>
  <c r="U33" i="54"/>
  <c r="E47" i="54"/>
  <c r="K51" i="53"/>
  <c r="L51" i="53" s="1"/>
  <c r="K39" i="53"/>
  <c r="L39" i="53" s="1"/>
  <c r="K41" i="53"/>
  <c r="L41" i="53" s="1"/>
  <c r="K32" i="53"/>
  <c r="L32" i="53" s="1"/>
  <c r="P27" i="54"/>
  <c r="K52" i="53"/>
  <c r="L52" i="53" s="1"/>
  <c r="E45" i="53"/>
  <c r="K40" i="53"/>
  <c r="L40" i="53" s="1"/>
  <c r="U21" i="54"/>
  <c r="K35" i="53"/>
  <c r="L35" i="53" s="1"/>
  <c r="U12" i="54"/>
  <c r="K48" i="53"/>
  <c r="L48" i="53" s="1"/>
  <c r="L47" i="54"/>
  <c r="U6" i="54"/>
  <c r="E21" i="53"/>
  <c r="K21" i="53"/>
  <c r="L21" i="53" s="1"/>
  <c r="U32" i="54"/>
  <c r="K26" i="53"/>
  <c r="L26" i="53" s="1"/>
  <c r="K36" i="53"/>
  <c r="L36" i="53" s="1"/>
  <c r="K42" i="53"/>
  <c r="L42" i="53" s="1"/>
  <c r="U5" i="54"/>
  <c r="U35" i="54"/>
  <c r="J47" i="54"/>
  <c r="R43" i="54"/>
  <c r="K47" i="54"/>
  <c r="E49" i="53"/>
  <c r="F47" i="53" s="1"/>
  <c r="K20" i="53"/>
  <c r="L20" i="53" s="1"/>
  <c r="G47" i="54"/>
  <c r="U36" i="54"/>
  <c r="U31" i="54"/>
  <c r="U34" i="54"/>
  <c r="K43" i="53"/>
  <c r="L43" i="53" s="1"/>
  <c r="U26" i="54"/>
  <c r="U24" i="54"/>
  <c r="U17" i="54"/>
  <c r="U15" i="54"/>
  <c r="U10" i="54"/>
  <c r="U8" i="54"/>
  <c r="K44" i="53"/>
  <c r="L44" i="53" s="1"/>
  <c r="K46" i="53"/>
  <c r="L46" i="53" s="1"/>
  <c r="U13" i="54"/>
  <c r="O27" i="54"/>
  <c r="U25" i="54"/>
  <c r="U18" i="54"/>
  <c r="U16" i="54"/>
  <c r="K50" i="53"/>
  <c r="L50" i="53" s="1"/>
  <c r="U11" i="54"/>
  <c r="U9" i="54"/>
  <c r="U7" i="54"/>
  <c r="E37" i="53"/>
  <c r="R27" i="54"/>
  <c r="E48" i="53"/>
  <c r="S27" i="54"/>
  <c r="E50" i="53"/>
  <c r="E38" i="53"/>
  <c r="E22" i="53"/>
  <c r="E25" i="53"/>
  <c r="S43" i="54"/>
  <c r="E53" i="53"/>
  <c r="F53" i="53" s="1"/>
  <c r="H53" i="53" s="1"/>
  <c r="E42" i="53"/>
  <c r="E33" i="53"/>
  <c r="E34" i="53"/>
  <c r="E23" i="53"/>
  <c r="M47" i="54"/>
  <c r="H47" i="54"/>
  <c r="Q43" i="54"/>
  <c r="K18" i="53" s="1"/>
  <c r="L18" i="53" s="1"/>
  <c r="Q27" i="54"/>
  <c r="K29" i="53" s="1"/>
  <c r="L29" i="53" s="1"/>
  <c r="U23" i="54"/>
  <c r="U19" i="54"/>
  <c r="T43" i="54"/>
  <c r="T27" i="54"/>
  <c r="E36" i="53"/>
  <c r="E31" i="53"/>
  <c r="F31" i="53" s="1"/>
  <c r="H31" i="53" s="1"/>
  <c r="F47" i="54"/>
  <c r="B2" i="43"/>
  <c r="B3" i="49"/>
  <c r="F46" i="53" l="1"/>
  <c r="H46" i="53" s="1"/>
  <c r="H47" i="53"/>
  <c r="F25" i="53"/>
  <c r="H25" i="53" s="1"/>
  <c r="F21" i="53"/>
  <c r="H21" i="53" s="1"/>
  <c r="F44" i="53"/>
  <c r="H44" i="53" s="1"/>
  <c r="F38" i="53"/>
  <c r="H38" i="53" s="1"/>
  <c r="F33" i="53"/>
  <c r="H33" i="53" s="1"/>
  <c r="F34" i="53"/>
  <c r="H34" i="53" s="1"/>
  <c r="F24" i="53"/>
  <c r="H24" i="53" s="1"/>
  <c r="F20" i="53"/>
  <c r="H20" i="53" s="1"/>
  <c r="F51" i="53"/>
  <c r="H51" i="53" s="1"/>
  <c r="F32" i="53"/>
  <c r="H32" i="53" s="1"/>
  <c r="F48" i="53"/>
  <c r="H48" i="53" s="1"/>
  <c r="F52" i="53"/>
  <c r="H52" i="53" s="1"/>
  <c r="F39" i="53"/>
  <c r="H39" i="53" s="1"/>
  <c r="F41" i="53"/>
  <c r="H41" i="53" s="1"/>
  <c r="P47" i="54"/>
  <c r="F37" i="53"/>
  <c r="H37" i="53" s="1"/>
  <c r="F40" i="53"/>
  <c r="H40" i="53" s="1"/>
  <c r="F49" i="53"/>
  <c r="H49" i="53" s="1"/>
  <c r="S47" i="54"/>
  <c r="F22" i="53"/>
  <c r="H22" i="53" s="1"/>
  <c r="R47" i="54"/>
  <c r="F35" i="53"/>
  <c r="H35" i="53" s="1"/>
  <c r="F43" i="53"/>
  <c r="H43" i="53" s="1"/>
  <c r="F26" i="53"/>
  <c r="H26" i="53" s="1"/>
  <c r="F50" i="53"/>
  <c r="H50" i="53" s="1"/>
  <c r="F45" i="53"/>
  <c r="H45" i="53" s="1"/>
  <c r="F42" i="53"/>
  <c r="H42" i="53" s="1"/>
  <c r="F36" i="53"/>
  <c r="H36" i="53" s="1"/>
  <c r="F23" i="53"/>
  <c r="H23" i="53" s="1"/>
  <c r="T47" i="54"/>
  <c r="Q47" i="54"/>
  <c r="K15" i="53" s="1"/>
  <c r="L15" i="53" s="1"/>
  <c r="O47" i="54"/>
  <c r="U43" i="54"/>
  <c r="E18" i="53"/>
  <c r="F18" i="53" s="1"/>
  <c r="H18" i="53" s="1"/>
  <c r="U27" i="54"/>
  <c r="E29" i="53"/>
  <c r="F29" i="53" s="1"/>
  <c r="H29" i="53" s="1"/>
  <c r="AT77" i="4"/>
  <c r="U47" i="54" l="1"/>
  <c r="E15" i="53"/>
  <c r="F15" i="53" s="1"/>
  <c r="H15" i="53" s="1"/>
  <c r="T19" i="4" l="1"/>
  <c r="N19" i="4"/>
  <c r="BE28" i="4" l="1"/>
  <c r="BD28" i="4"/>
  <c r="BC28" i="4"/>
  <c r="BC27" i="4"/>
  <c r="BC25" i="4"/>
  <c r="BD25" i="4"/>
  <c r="BE25" i="4"/>
  <c r="BC26" i="4"/>
  <c r="BD26" i="4"/>
  <c r="BE26" i="4"/>
  <c r="BD27" i="4"/>
  <c r="BE27" i="4"/>
  <c r="BE24" i="4"/>
  <c r="BD24" i="4"/>
  <c r="BC24" i="4"/>
  <c r="N12" i="4" l="1"/>
  <c r="P12" i="4" s="1"/>
  <c r="T12" i="4"/>
  <c r="V12" i="4" s="1"/>
  <c r="N13" i="4"/>
  <c r="P13" i="4" s="1"/>
  <c r="T13" i="4"/>
  <c r="V13" i="4" s="1"/>
  <c r="N14" i="4"/>
  <c r="P14" i="4" s="1"/>
  <c r="T14" i="4"/>
  <c r="V14" i="4" s="1"/>
  <c r="N15" i="4"/>
  <c r="P15" i="4" s="1"/>
  <c r="T15" i="4"/>
  <c r="V15" i="4" s="1"/>
  <c r="N16" i="4"/>
  <c r="P16" i="4" s="1"/>
  <c r="T16" i="4"/>
  <c r="V16" i="4" s="1"/>
  <c r="N17" i="4"/>
  <c r="P17" i="4" s="1"/>
  <c r="T17" i="4"/>
  <c r="V17" i="4" s="1"/>
  <c r="N18" i="4"/>
  <c r="P18" i="4" s="1"/>
  <c r="T18" i="4"/>
  <c r="V18" i="4" s="1"/>
  <c r="P19" i="4"/>
  <c r="V19" i="4"/>
  <c r="N20" i="4"/>
  <c r="P20" i="4" s="1"/>
  <c r="T20" i="4"/>
  <c r="V20" i="4" s="1"/>
  <c r="N21" i="4"/>
  <c r="P21" i="4" s="1"/>
  <c r="T21" i="4"/>
  <c r="V21" i="4" s="1"/>
  <c r="N22" i="4"/>
  <c r="P22" i="4" s="1"/>
  <c r="T22" i="4"/>
  <c r="V22" i="4" s="1"/>
  <c r="N23" i="4"/>
  <c r="P23" i="4" s="1"/>
  <c r="T23" i="4"/>
  <c r="V23" i="4" s="1"/>
  <c r="N24" i="4"/>
  <c r="P24" i="4" s="1"/>
  <c r="T24" i="4"/>
  <c r="V24" i="4" s="1"/>
  <c r="N25" i="4"/>
  <c r="P25" i="4" s="1"/>
  <c r="T25" i="4"/>
  <c r="V25" i="4" s="1"/>
  <c r="N26" i="4"/>
  <c r="P26" i="4" s="1"/>
  <c r="T26" i="4"/>
  <c r="V26" i="4" s="1"/>
  <c r="N27" i="4"/>
  <c r="P27" i="4" s="1"/>
  <c r="T27" i="4"/>
  <c r="V27" i="4" s="1"/>
  <c r="N28" i="4"/>
  <c r="P28" i="4" s="1"/>
  <c r="T28" i="4"/>
  <c r="V28" i="4" s="1"/>
  <c r="N29" i="4"/>
  <c r="P29" i="4" s="1"/>
  <c r="T29" i="4"/>
  <c r="V29" i="4" s="1"/>
  <c r="N30" i="4"/>
  <c r="P30" i="4" s="1"/>
  <c r="T30" i="4"/>
  <c r="V30" i="4" s="1"/>
  <c r="N31" i="4"/>
  <c r="P31" i="4" s="1"/>
  <c r="T31" i="4"/>
  <c r="V31" i="4" s="1"/>
  <c r="N32" i="4"/>
  <c r="P32" i="4" s="1"/>
  <c r="T32" i="4"/>
  <c r="V32" i="4" s="1"/>
  <c r="N33" i="4"/>
  <c r="P33" i="4" s="1"/>
  <c r="T33" i="4"/>
  <c r="V33" i="4" s="1"/>
  <c r="N34" i="4"/>
  <c r="P34" i="4" s="1"/>
  <c r="T34" i="4"/>
  <c r="V34" i="4" s="1"/>
  <c r="N35" i="4"/>
  <c r="P35" i="4" s="1"/>
  <c r="T35" i="4"/>
  <c r="V35" i="4" s="1"/>
  <c r="N36" i="4"/>
  <c r="P36" i="4" s="1"/>
  <c r="T36" i="4"/>
  <c r="V36" i="4" s="1"/>
  <c r="N37" i="4"/>
  <c r="P37" i="4" s="1"/>
  <c r="T37" i="4"/>
  <c r="V37" i="4" s="1"/>
  <c r="N38" i="4"/>
  <c r="P38" i="4" s="1"/>
  <c r="T38" i="4"/>
  <c r="V38" i="4" s="1"/>
  <c r="N39" i="4"/>
  <c r="P39" i="4" s="1"/>
  <c r="T39" i="4"/>
  <c r="V39" i="4" s="1"/>
  <c r="N40" i="4"/>
  <c r="P40" i="4" s="1"/>
  <c r="T40" i="4"/>
  <c r="V40" i="4" s="1"/>
  <c r="N41" i="4"/>
  <c r="P41" i="4" s="1"/>
  <c r="T41" i="4"/>
  <c r="V41" i="4" s="1"/>
  <c r="N42" i="4"/>
  <c r="P42" i="4" s="1"/>
  <c r="T42" i="4"/>
  <c r="V42" i="4" s="1"/>
  <c r="N43" i="4"/>
  <c r="P43" i="4" s="1"/>
  <c r="T43" i="4"/>
  <c r="V43" i="4" s="1"/>
  <c r="N44" i="4"/>
  <c r="P44" i="4" s="1"/>
  <c r="T44" i="4"/>
  <c r="V44" i="4" s="1"/>
  <c r="N45" i="4"/>
  <c r="P45" i="4" s="1"/>
  <c r="T45" i="4"/>
  <c r="V45" i="4" s="1"/>
  <c r="N46" i="4"/>
  <c r="P46" i="4" s="1"/>
  <c r="T46" i="4"/>
  <c r="V46" i="4" s="1"/>
  <c r="N47" i="4"/>
  <c r="P47" i="4" s="1"/>
  <c r="T47" i="4"/>
  <c r="V47" i="4" s="1"/>
  <c r="N48" i="4"/>
  <c r="P48" i="4" s="1"/>
  <c r="T48" i="4"/>
  <c r="V48" i="4" s="1"/>
  <c r="N49" i="4"/>
  <c r="P49" i="4" s="1"/>
  <c r="T49" i="4"/>
  <c r="V49" i="4" s="1"/>
  <c r="N50" i="4"/>
  <c r="P50" i="4" s="1"/>
  <c r="T50" i="4"/>
  <c r="V50" i="4" s="1"/>
  <c r="N51" i="4"/>
  <c r="P51" i="4" s="1"/>
  <c r="T51" i="4"/>
  <c r="V51" i="4" s="1"/>
  <c r="N52" i="4"/>
  <c r="P52" i="4" s="1"/>
  <c r="T52" i="4"/>
  <c r="V52" i="4" s="1"/>
  <c r="N53" i="4"/>
  <c r="P53" i="4" s="1"/>
  <c r="T53" i="4"/>
  <c r="V53" i="4" s="1"/>
  <c r="N54" i="4"/>
  <c r="P54" i="4" s="1"/>
  <c r="T54" i="4"/>
  <c r="V54" i="4" s="1"/>
  <c r="N55" i="4"/>
  <c r="P55" i="4" s="1"/>
  <c r="T55" i="4"/>
  <c r="V55" i="4" s="1"/>
  <c r="N56" i="4"/>
  <c r="P56" i="4" s="1"/>
  <c r="T56" i="4"/>
  <c r="V56" i="4" s="1"/>
  <c r="N57" i="4"/>
  <c r="P57" i="4" s="1"/>
  <c r="T57" i="4"/>
  <c r="V57" i="4" s="1"/>
  <c r="N58" i="4"/>
  <c r="P58" i="4" s="1"/>
  <c r="T58" i="4"/>
  <c r="V58" i="4" s="1"/>
  <c r="N59" i="4"/>
  <c r="P59" i="4" s="1"/>
  <c r="T59" i="4"/>
  <c r="V59" i="4" s="1"/>
  <c r="N60" i="4"/>
  <c r="P60" i="4" s="1"/>
  <c r="T60" i="4"/>
  <c r="V60" i="4" s="1"/>
  <c r="N61" i="4"/>
  <c r="P61" i="4" s="1"/>
  <c r="T61" i="4"/>
  <c r="V61" i="4" s="1"/>
  <c r="N62" i="4"/>
  <c r="P62" i="4" s="1"/>
  <c r="T62" i="4"/>
  <c r="V62" i="4" s="1"/>
  <c r="N63" i="4"/>
  <c r="P63" i="4" s="1"/>
  <c r="T63" i="4"/>
  <c r="V63" i="4" s="1"/>
  <c r="N64" i="4"/>
  <c r="P64" i="4" s="1"/>
  <c r="T64" i="4"/>
  <c r="V64" i="4" s="1"/>
  <c r="N65" i="4"/>
  <c r="P65" i="4" s="1"/>
  <c r="T65" i="4"/>
  <c r="V65" i="4" s="1"/>
  <c r="N66" i="4"/>
  <c r="P66" i="4" s="1"/>
  <c r="T66" i="4"/>
  <c r="V66" i="4" s="1"/>
  <c r="N67" i="4"/>
  <c r="P67" i="4" s="1"/>
  <c r="T67" i="4"/>
  <c r="V67" i="4" s="1"/>
  <c r="N68" i="4"/>
  <c r="P68" i="4" s="1"/>
  <c r="T68" i="4"/>
  <c r="V68" i="4" s="1"/>
  <c r="N69" i="4"/>
  <c r="P69" i="4" s="1"/>
  <c r="T69" i="4"/>
  <c r="V69" i="4" s="1"/>
  <c r="N70" i="4"/>
  <c r="P70" i="4" s="1"/>
  <c r="T70" i="4"/>
  <c r="V70" i="4" s="1"/>
  <c r="N71" i="4"/>
  <c r="P71" i="4" s="1"/>
  <c r="T71" i="4"/>
  <c r="V71" i="4" s="1"/>
  <c r="N72" i="4"/>
  <c r="P72" i="4" s="1"/>
  <c r="T72" i="4"/>
  <c r="V72" i="4" s="1"/>
  <c r="N73" i="4"/>
  <c r="P73" i="4" s="1"/>
  <c r="T73" i="4"/>
  <c r="V73" i="4" s="1"/>
  <c r="N74" i="4"/>
  <c r="P74" i="4" s="1"/>
  <c r="T74" i="4"/>
  <c r="V74" i="4" s="1"/>
  <c r="N75" i="4"/>
  <c r="P75" i="4" s="1"/>
  <c r="T75" i="4"/>
  <c r="V75" i="4" s="1"/>
  <c r="N76" i="4"/>
  <c r="P76" i="4" s="1"/>
  <c r="T76" i="4"/>
  <c r="V76" i="4" s="1"/>
  <c r="N77" i="4"/>
  <c r="P77" i="4" s="1"/>
  <c r="T77" i="4"/>
  <c r="V77" i="4" s="1"/>
  <c r="N78" i="4"/>
  <c r="P78" i="4" s="1"/>
  <c r="T78" i="4"/>
  <c r="V78" i="4" s="1"/>
  <c r="N79" i="4"/>
  <c r="P79" i="4" s="1"/>
  <c r="T79" i="4"/>
  <c r="V79" i="4" s="1"/>
  <c r="N80" i="4"/>
  <c r="P80" i="4" s="1"/>
  <c r="T80" i="4"/>
  <c r="V80" i="4" s="1"/>
  <c r="N81" i="4"/>
  <c r="P81" i="4" s="1"/>
  <c r="T81" i="4"/>
  <c r="V81" i="4" s="1"/>
  <c r="N82" i="4"/>
  <c r="P82" i="4" s="1"/>
  <c r="T82" i="4"/>
  <c r="V82" i="4" s="1"/>
  <c r="N83" i="4"/>
  <c r="P83" i="4" s="1"/>
  <c r="T83" i="4"/>
  <c r="V83" i="4" s="1"/>
  <c r="N84" i="4"/>
  <c r="P84" i="4" s="1"/>
  <c r="T84" i="4"/>
  <c r="V84" i="4" s="1"/>
  <c r="N85" i="4"/>
  <c r="P85" i="4" s="1"/>
  <c r="T85" i="4"/>
  <c r="V85" i="4" s="1"/>
  <c r="N86" i="4"/>
  <c r="P86" i="4" s="1"/>
  <c r="T86" i="4"/>
  <c r="V86" i="4" s="1"/>
  <c r="N87" i="4"/>
  <c r="P87" i="4" s="1"/>
  <c r="T87" i="4"/>
  <c r="V87" i="4" s="1"/>
  <c r="N88" i="4"/>
  <c r="P88" i="4" s="1"/>
  <c r="T88" i="4"/>
  <c r="V88" i="4" s="1"/>
  <c r="N89" i="4"/>
  <c r="P89" i="4" s="1"/>
  <c r="T89" i="4"/>
  <c r="V89" i="4" s="1"/>
  <c r="N90" i="4"/>
  <c r="P90" i="4" s="1"/>
  <c r="T90" i="4"/>
  <c r="V90" i="4" s="1"/>
  <c r="N91" i="4"/>
  <c r="P91" i="4" s="1"/>
  <c r="T91" i="4"/>
  <c r="V91" i="4" s="1"/>
  <c r="N92" i="4"/>
  <c r="P92" i="4" s="1"/>
  <c r="T92" i="4"/>
  <c r="V92" i="4" s="1"/>
  <c r="N93" i="4"/>
  <c r="P93" i="4" s="1"/>
  <c r="T93" i="4"/>
  <c r="V93" i="4" s="1"/>
  <c r="N94" i="4"/>
  <c r="P94" i="4" s="1"/>
  <c r="T94" i="4"/>
  <c r="V94" i="4" s="1"/>
  <c r="N95" i="4"/>
  <c r="P95" i="4" s="1"/>
  <c r="T95" i="4"/>
  <c r="V95" i="4" s="1"/>
  <c r="N96" i="4"/>
  <c r="P96" i="4" s="1"/>
  <c r="T96" i="4"/>
  <c r="V96" i="4" s="1"/>
  <c r="N97" i="4"/>
  <c r="P97" i="4" s="1"/>
  <c r="T97" i="4"/>
  <c r="V97" i="4" s="1"/>
  <c r="N98" i="4"/>
  <c r="P98" i="4" s="1"/>
  <c r="T98" i="4"/>
  <c r="V98" i="4" s="1"/>
  <c r="N99" i="4"/>
  <c r="P99" i="4" s="1"/>
  <c r="T99" i="4"/>
  <c r="V99" i="4" s="1"/>
  <c r="N100" i="4"/>
  <c r="P100" i="4" s="1"/>
  <c r="T100" i="4"/>
  <c r="V100" i="4" s="1"/>
  <c r="N101" i="4"/>
  <c r="P101" i="4" s="1"/>
  <c r="T101" i="4"/>
  <c r="V101" i="4" s="1"/>
  <c r="N102" i="4"/>
  <c r="P102" i="4" s="1"/>
  <c r="T102" i="4"/>
  <c r="V102" i="4" s="1"/>
  <c r="N103" i="4"/>
  <c r="P103" i="4" s="1"/>
  <c r="T103" i="4"/>
  <c r="V103" i="4" s="1"/>
  <c r="N104" i="4"/>
  <c r="P104" i="4" s="1"/>
  <c r="T104" i="4"/>
  <c r="V104" i="4" s="1"/>
  <c r="N105" i="4"/>
  <c r="P105" i="4" s="1"/>
  <c r="T105" i="4"/>
  <c r="V105" i="4" s="1"/>
  <c r="N106" i="4"/>
  <c r="P106" i="4" s="1"/>
  <c r="T106" i="4"/>
  <c r="V106" i="4" s="1"/>
  <c r="N107" i="4"/>
  <c r="P107" i="4" s="1"/>
  <c r="T107" i="4"/>
  <c r="V107" i="4" s="1"/>
  <c r="N108" i="4"/>
  <c r="P108" i="4" s="1"/>
  <c r="T108" i="4"/>
  <c r="V108" i="4" s="1"/>
  <c r="N109" i="4"/>
  <c r="P109" i="4" s="1"/>
  <c r="T109" i="4"/>
  <c r="V109" i="4" s="1"/>
  <c r="N110" i="4"/>
  <c r="P110" i="4" s="1"/>
  <c r="T110" i="4"/>
  <c r="V110" i="4" s="1"/>
  <c r="N111" i="4"/>
  <c r="P111" i="4" s="1"/>
  <c r="T111" i="4"/>
  <c r="V111" i="4" s="1"/>
  <c r="N112" i="4"/>
  <c r="P112" i="4" s="1"/>
  <c r="T112" i="4"/>
  <c r="V112" i="4" s="1"/>
  <c r="N113" i="4"/>
  <c r="P113" i="4" s="1"/>
  <c r="T113" i="4"/>
  <c r="V113" i="4" s="1"/>
  <c r="N114" i="4"/>
  <c r="P114" i="4" s="1"/>
  <c r="T114" i="4"/>
  <c r="V114" i="4" s="1"/>
  <c r="N115" i="4"/>
  <c r="P115" i="4" s="1"/>
  <c r="T115" i="4"/>
  <c r="V115" i="4" s="1"/>
  <c r="N116" i="4"/>
  <c r="P116" i="4" s="1"/>
  <c r="T116" i="4"/>
  <c r="V116" i="4" s="1"/>
  <c r="N117" i="4"/>
  <c r="P117" i="4" s="1"/>
  <c r="T117" i="4"/>
  <c r="V117" i="4" s="1"/>
  <c r="N118" i="4"/>
  <c r="P118" i="4" s="1"/>
  <c r="T118" i="4"/>
  <c r="V118" i="4" s="1"/>
  <c r="N119" i="4"/>
  <c r="P119" i="4" s="1"/>
  <c r="T119" i="4"/>
  <c r="V119" i="4" s="1"/>
  <c r="N120" i="4"/>
  <c r="P120" i="4" s="1"/>
  <c r="T120" i="4"/>
  <c r="V120" i="4" s="1"/>
  <c r="N121" i="4"/>
  <c r="P121" i="4" s="1"/>
  <c r="T121" i="4"/>
  <c r="V121" i="4" s="1"/>
  <c r="N122" i="4"/>
  <c r="P122" i="4" s="1"/>
  <c r="T122" i="4"/>
  <c r="V122" i="4" s="1"/>
  <c r="N123" i="4"/>
  <c r="P123" i="4" s="1"/>
  <c r="T123" i="4"/>
  <c r="V123" i="4" s="1"/>
  <c r="N124" i="4"/>
  <c r="P124" i="4" s="1"/>
  <c r="T124" i="4"/>
  <c r="V124" i="4" s="1"/>
  <c r="N125" i="4"/>
  <c r="P125" i="4" s="1"/>
  <c r="T125" i="4"/>
  <c r="V125" i="4" s="1"/>
  <c r="N126" i="4"/>
  <c r="P126" i="4" s="1"/>
  <c r="T126" i="4"/>
  <c r="V126" i="4" s="1"/>
  <c r="N127" i="4"/>
  <c r="P127" i="4" s="1"/>
  <c r="T127" i="4"/>
  <c r="V127" i="4" s="1"/>
  <c r="N128" i="4"/>
  <c r="P128" i="4" s="1"/>
  <c r="T128" i="4"/>
  <c r="V128" i="4" s="1"/>
  <c r="N129" i="4"/>
  <c r="P129" i="4" s="1"/>
  <c r="T129" i="4"/>
  <c r="V129" i="4" s="1"/>
  <c r="N130" i="4"/>
  <c r="P130" i="4" s="1"/>
  <c r="T130" i="4"/>
  <c r="V130" i="4" s="1"/>
  <c r="N131" i="4"/>
  <c r="P131" i="4" s="1"/>
  <c r="T131" i="4"/>
  <c r="V131" i="4" s="1"/>
  <c r="N132" i="4"/>
  <c r="P132" i="4" s="1"/>
  <c r="T132" i="4"/>
  <c r="V132" i="4" s="1"/>
  <c r="N133" i="4"/>
  <c r="P133" i="4" s="1"/>
  <c r="T133" i="4"/>
  <c r="V133" i="4" s="1"/>
  <c r="N134" i="4"/>
  <c r="P134" i="4" s="1"/>
  <c r="T134" i="4"/>
  <c r="V134" i="4" s="1"/>
  <c r="N135" i="4"/>
  <c r="P135" i="4" s="1"/>
  <c r="T135" i="4"/>
  <c r="V135" i="4" s="1"/>
  <c r="N136" i="4"/>
  <c r="P136" i="4" s="1"/>
  <c r="T136" i="4"/>
  <c r="V136" i="4" s="1"/>
  <c r="N137" i="4"/>
  <c r="P137" i="4" s="1"/>
  <c r="T137" i="4"/>
  <c r="V137" i="4" s="1"/>
  <c r="N138" i="4"/>
  <c r="P138" i="4" s="1"/>
  <c r="T138" i="4"/>
  <c r="V138" i="4" s="1"/>
  <c r="N139" i="4"/>
  <c r="P139" i="4" s="1"/>
  <c r="T139" i="4"/>
  <c r="V139" i="4" s="1"/>
  <c r="N140" i="4"/>
  <c r="P140" i="4" s="1"/>
  <c r="T140" i="4"/>
  <c r="V140" i="4" s="1"/>
  <c r="N141" i="4"/>
  <c r="P141" i="4" s="1"/>
  <c r="T141" i="4"/>
  <c r="V141" i="4" s="1"/>
  <c r="N142" i="4"/>
  <c r="P142" i="4" s="1"/>
  <c r="T142" i="4"/>
  <c r="V142" i="4" s="1"/>
  <c r="N143" i="4"/>
  <c r="P143" i="4" s="1"/>
  <c r="T143" i="4"/>
  <c r="V143" i="4" s="1"/>
  <c r="N144" i="4"/>
  <c r="P144" i="4" s="1"/>
  <c r="T144" i="4"/>
  <c r="V144" i="4" s="1"/>
  <c r="N145" i="4"/>
  <c r="P145" i="4" s="1"/>
  <c r="T145" i="4"/>
  <c r="V145" i="4" s="1"/>
  <c r="N146" i="4"/>
  <c r="P146" i="4" s="1"/>
  <c r="T146" i="4"/>
  <c r="V146" i="4" s="1"/>
  <c r="N147" i="4"/>
  <c r="P147" i="4" s="1"/>
  <c r="T147" i="4"/>
  <c r="V147" i="4" s="1"/>
  <c r="N148" i="4"/>
  <c r="P148" i="4" s="1"/>
  <c r="T148" i="4"/>
  <c r="V148" i="4" s="1"/>
  <c r="N149" i="4"/>
  <c r="P149" i="4" s="1"/>
  <c r="T149" i="4"/>
  <c r="V149" i="4" s="1"/>
  <c r="N150" i="4"/>
  <c r="P150" i="4" s="1"/>
  <c r="T150" i="4"/>
  <c r="V150" i="4" s="1"/>
  <c r="N151" i="4"/>
  <c r="P151" i="4" s="1"/>
  <c r="T151" i="4"/>
  <c r="V151" i="4" s="1"/>
  <c r="N152" i="4"/>
  <c r="P152" i="4" s="1"/>
  <c r="T152" i="4"/>
  <c r="V152" i="4" s="1"/>
  <c r="N153" i="4"/>
  <c r="P153" i="4" s="1"/>
  <c r="T153" i="4"/>
  <c r="V153" i="4" s="1"/>
  <c r="N154" i="4"/>
  <c r="P154" i="4" s="1"/>
  <c r="T154" i="4"/>
  <c r="V154" i="4" s="1"/>
  <c r="N155" i="4"/>
  <c r="P155" i="4" s="1"/>
  <c r="T155" i="4"/>
  <c r="V155" i="4" s="1"/>
  <c r="N156" i="4"/>
  <c r="P156" i="4" s="1"/>
  <c r="T156" i="4"/>
  <c r="V156" i="4" s="1"/>
  <c r="N157" i="4"/>
  <c r="P157" i="4" s="1"/>
  <c r="T157" i="4"/>
  <c r="V157" i="4" s="1"/>
  <c r="N158" i="4"/>
  <c r="P158" i="4" s="1"/>
  <c r="T158" i="4"/>
  <c r="V158" i="4" s="1"/>
  <c r="N159" i="4"/>
  <c r="P159" i="4" s="1"/>
  <c r="T159" i="4"/>
  <c r="V159" i="4" s="1"/>
  <c r="N160" i="4"/>
  <c r="P160" i="4" s="1"/>
  <c r="T160" i="4"/>
  <c r="V160" i="4" s="1"/>
  <c r="N161" i="4"/>
  <c r="P161" i="4" s="1"/>
  <c r="T161" i="4"/>
  <c r="V161" i="4" s="1"/>
  <c r="N162" i="4"/>
  <c r="P162" i="4" s="1"/>
  <c r="T162" i="4"/>
  <c r="V162" i="4" s="1"/>
  <c r="N163" i="4"/>
  <c r="P163" i="4" s="1"/>
  <c r="T163" i="4"/>
  <c r="V163" i="4" s="1"/>
  <c r="N164" i="4"/>
  <c r="P164" i="4" s="1"/>
  <c r="T164" i="4"/>
  <c r="V164" i="4" s="1"/>
  <c r="N165" i="4"/>
  <c r="P165" i="4" s="1"/>
  <c r="T165" i="4"/>
  <c r="V165" i="4" s="1"/>
  <c r="N166" i="4"/>
  <c r="P166" i="4" s="1"/>
  <c r="T166" i="4"/>
  <c r="V166" i="4" s="1"/>
  <c r="N167" i="4"/>
  <c r="P167" i="4" s="1"/>
  <c r="T167" i="4"/>
  <c r="V167" i="4" s="1"/>
  <c r="N168" i="4"/>
  <c r="P168" i="4" s="1"/>
  <c r="T168" i="4"/>
  <c r="V168" i="4" s="1"/>
  <c r="N169" i="4"/>
  <c r="P169" i="4" s="1"/>
  <c r="T169" i="4"/>
  <c r="V169" i="4" s="1"/>
  <c r="N170" i="4"/>
  <c r="P170" i="4" s="1"/>
  <c r="T170" i="4"/>
  <c r="V170" i="4" s="1"/>
  <c r="N171" i="4"/>
  <c r="P171" i="4" s="1"/>
  <c r="T171" i="4"/>
  <c r="V171" i="4" s="1"/>
  <c r="N172" i="4"/>
  <c r="P172" i="4" s="1"/>
  <c r="T172" i="4"/>
  <c r="V172" i="4" s="1"/>
  <c r="N173" i="4"/>
  <c r="P173" i="4" s="1"/>
  <c r="T173" i="4"/>
  <c r="V173" i="4" s="1"/>
  <c r="N174" i="4"/>
  <c r="P174" i="4" s="1"/>
  <c r="T174" i="4"/>
  <c r="V174" i="4" s="1"/>
  <c r="N175" i="4"/>
  <c r="P175" i="4" s="1"/>
  <c r="T175" i="4"/>
  <c r="V175" i="4" s="1"/>
  <c r="N176" i="4"/>
  <c r="P176" i="4" s="1"/>
  <c r="T176" i="4"/>
  <c r="V176" i="4" s="1"/>
  <c r="N177" i="4"/>
  <c r="P177" i="4" s="1"/>
  <c r="T177" i="4"/>
  <c r="V177" i="4" s="1"/>
  <c r="N178" i="4"/>
  <c r="P178" i="4" s="1"/>
  <c r="T178" i="4"/>
  <c r="V178" i="4" s="1"/>
  <c r="N179" i="4"/>
  <c r="P179" i="4" s="1"/>
  <c r="T179" i="4"/>
  <c r="V179" i="4" s="1"/>
  <c r="N180" i="4"/>
  <c r="P180" i="4" s="1"/>
  <c r="T180" i="4"/>
  <c r="V180" i="4" s="1"/>
  <c r="N181" i="4"/>
  <c r="P181" i="4" s="1"/>
  <c r="T181" i="4"/>
  <c r="V181" i="4" s="1"/>
  <c r="N182" i="4"/>
  <c r="P182" i="4" s="1"/>
  <c r="T182" i="4"/>
  <c r="V182" i="4" s="1"/>
  <c r="N183" i="4"/>
  <c r="P183" i="4" s="1"/>
  <c r="T183" i="4"/>
  <c r="V183" i="4" s="1"/>
  <c r="N184" i="4"/>
  <c r="P184" i="4" s="1"/>
  <c r="T184" i="4"/>
  <c r="V184" i="4" s="1"/>
  <c r="N185" i="4"/>
  <c r="P185" i="4" s="1"/>
  <c r="T185" i="4"/>
  <c r="V185" i="4" s="1"/>
  <c r="N186" i="4"/>
  <c r="P186" i="4" s="1"/>
  <c r="T186" i="4"/>
  <c r="V186" i="4" s="1"/>
  <c r="N187" i="4"/>
  <c r="P187" i="4" s="1"/>
  <c r="T187" i="4"/>
  <c r="V187" i="4" s="1"/>
  <c r="N188" i="4"/>
  <c r="P188" i="4" s="1"/>
  <c r="T188" i="4"/>
  <c r="V188" i="4" s="1"/>
  <c r="N189" i="4"/>
  <c r="P189" i="4" s="1"/>
  <c r="T189" i="4"/>
  <c r="V189" i="4" s="1"/>
  <c r="AR14" i="4" l="1"/>
  <c r="AS14" i="4"/>
  <c r="AT14" i="4"/>
  <c r="AU14" i="4"/>
  <c r="AV14" i="4"/>
  <c r="AR15" i="4"/>
  <c r="AS15" i="4"/>
  <c r="AT15" i="4"/>
  <c r="AU15" i="4"/>
  <c r="AV15" i="4"/>
  <c r="AQ15" i="4"/>
  <c r="AQ14" i="4"/>
  <c r="D14" i="49" s="1"/>
  <c r="H14" i="49" l="1"/>
  <c r="L14" i="49" s="1"/>
  <c r="J14" i="49"/>
  <c r="N14" i="49"/>
  <c r="F14" i="49"/>
  <c r="AR3" i="4"/>
  <c r="AR13" i="4"/>
  <c r="BH9" i="4" l="1"/>
  <c r="BI9" i="4"/>
  <c r="BG9" i="4"/>
  <c r="B2" i="26"/>
  <c r="AM186" i="4"/>
  <c r="AL186" i="4"/>
  <c r="AM185" i="4"/>
  <c r="AL185" i="4"/>
  <c r="AM184" i="4"/>
  <c r="AL184" i="4"/>
  <c r="AM183" i="4"/>
  <c r="AL183" i="4"/>
  <c r="AM182" i="4"/>
  <c r="AL182" i="4"/>
  <c r="AM181" i="4"/>
  <c r="AL181" i="4"/>
  <c r="AM180" i="4"/>
  <c r="AL180" i="4"/>
  <c r="AM179" i="4"/>
  <c r="AL179" i="4"/>
  <c r="AM178" i="4"/>
  <c r="AL178" i="4"/>
  <c r="AM177" i="4"/>
  <c r="AL177" i="4"/>
  <c r="AM176" i="4"/>
  <c r="AL176" i="4"/>
  <c r="AM175" i="4"/>
  <c r="AL175" i="4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M164" i="4"/>
  <c r="AL164" i="4"/>
  <c r="AM163" i="4"/>
  <c r="AL163" i="4"/>
  <c r="AM162" i="4"/>
  <c r="AL162" i="4"/>
  <c r="AM161" i="4"/>
  <c r="AL161" i="4"/>
  <c r="AM160" i="4"/>
  <c r="AL160" i="4"/>
  <c r="AM159" i="4"/>
  <c r="AL159" i="4"/>
  <c r="AM158" i="4"/>
  <c r="AL158" i="4"/>
  <c r="AM157" i="4"/>
  <c r="AL157" i="4"/>
  <c r="AM156" i="4"/>
  <c r="AL156" i="4"/>
  <c r="AM155" i="4"/>
  <c r="AL155" i="4"/>
  <c r="AM154" i="4"/>
  <c r="AL154" i="4"/>
  <c r="AM153" i="4"/>
  <c r="AL153" i="4"/>
  <c r="AM152" i="4"/>
  <c r="AL152" i="4"/>
  <c r="AM151" i="4"/>
  <c r="AL151" i="4"/>
  <c r="AM150" i="4"/>
  <c r="AL150" i="4"/>
  <c r="AM149" i="4"/>
  <c r="AL149" i="4"/>
  <c r="AM148" i="4"/>
  <c r="AL148" i="4"/>
  <c r="AM147" i="4"/>
  <c r="AL147" i="4"/>
  <c r="AM146" i="4"/>
  <c r="AL146" i="4"/>
  <c r="AM145" i="4"/>
  <c r="AL145" i="4"/>
  <c r="AM144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2" i="4"/>
  <c r="AL51" i="4"/>
  <c r="AL50" i="4"/>
  <c r="AL49" i="4"/>
  <c r="AL48" i="4"/>
  <c r="AL47" i="4"/>
  <c r="AL46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BL23" i="4"/>
  <c r="BK23" i="4"/>
  <c r="BJ23" i="4"/>
  <c r="BE23" i="4"/>
  <c r="BD23" i="4"/>
  <c r="BC23" i="4"/>
  <c r="AL23" i="4"/>
  <c r="BL22" i="4"/>
  <c r="BK22" i="4"/>
  <c r="BJ22" i="4"/>
  <c r="BE22" i="4"/>
  <c r="BD22" i="4"/>
  <c r="BC22" i="4"/>
  <c r="AL22" i="4"/>
  <c r="BL21" i="4"/>
  <c r="BK21" i="4"/>
  <c r="BJ21" i="4"/>
  <c r="BE21" i="4"/>
  <c r="BD21" i="4"/>
  <c r="BC21" i="4"/>
  <c r="AL21" i="4"/>
  <c r="BL20" i="4"/>
  <c r="BK20" i="4"/>
  <c r="BJ20" i="4"/>
  <c r="BE20" i="4"/>
  <c r="BD20" i="4"/>
  <c r="BC20" i="4"/>
  <c r="AL20" i="4"/>
  <c r="BL19" i="4"/>
  <c r="BK19" i="4"/>
  <c r="BJ19" i="4"/>
  <c r="BE19" i="4"/>
  <c r="BD19" i="4"/>
  <c r="BC19" i="4"/>
  <c r="AL19" i="4"/>
  <c r="BL18" i="4"/>
  <c r="BK18" i="4"/>
  <c r="BJ18" i="4"/>
  <c r="BE18" i="4"/>
  <c r="BD18" i="4"/>
  <c r="BC18" i="4"/>
  <c r="AL18" i="4"/>
  <c r="BL17" i="4"/>
  <c r="BK17" i="4"/>
  <c r="BJ17" i="4"/>
  <c r="BE17" i="4"/>
  <c r="BD17" i="4"/>
  <c r="BC17" i="4"/>
  <c r="AL17" i="4"/>
  <c r="BL16" i="4"/>
  <c r="BK16" i="4"/>
  <c r="BJ16" i="4"/>
  <c r="BE16" i="4"/>
  <c r="BD16" i="4"/>
  <c r="BC16" i="4"/>
  <c r="AL16" i="4"/>
  <c r="BL15" i="4"/>
  <c r="BK15" i="4"/>
  <c r="BJ15" i="4"/>
  <c r="BE15" i="4"/>
  <c r="BD15" i="4"/>
  <c r="BC15" i="4"/>
  <c r="AL15" i="4"/>
  <c r="BL14" i="4"/>
  <c r="BK14" i="4"/>
  <c r="BJ14" i="4"/>
  <c r="BE14" i="4"/>
  <c r="BD14" i="4"/>
  <c r="BC14" i="4"/>
  <c r="AL14" i="4"/>
  <c r="BL13" i="4"/>
  <c r="BK13" i="4"/>
  <c r="BJ13" i="4"/>
  <c r="BE13" i="4"/>
  <c r="BD13" i="4"/>
  <c r="BC13" i="4"/>
  <c r="AV13" i="4"/>
  <c r="AU13" i="4"/>
  <c r="AT13" i="4"/>
  <c r="AS13" i="4"/>
  <c r="AQ13" i="4"/>
  <c r="AL13" i="4"/>
  <c r="BL12" i="4"/>
  <c r="BK12" i="4"/>
  <c r="BJ12" i="4"/>
  <c r="BE12" i="4"/>
  <c r="BD12" i="4"/>
  <c r="BC12" i="4"/>
  <c r="AV12" i="4"/>
  <c r="N16" i="49" s="1"/>
  <c r="AU12" i="4"/>
  <c r="AT12" i="4"/>
  <c r="J16" i="49" s="1"/>
  <c r="AS12" i="4"/>
  <c r="AR12" i="4"/>
  <c r="F16" i="49" s="1"/>
  <c r="AQ12" i="4"/>
  <c r="AL12" i="4"/>
  <c r="AV9" i="4"/>
  <c r="AU9" i="4"/>
  <c r="AT9" i="4"/>
  <c r="AS9" i="4"/>
  <c r="AR9" i="4"/>
  <c r="AQ9" i="4"/>
  <c r="AV8" i="4"/>
  <c r="AU8" i="4"/>
  <c r="AT8" i="4"/>
  <c r="AS8" i="4"/>
  <c r="AR8" i="4"/>
  <c r="AQ8" i="4"/>
  <c r="AV7" i="4"/>
  <c r="AU7" i="4"/>
  <c r="AT7" i="4"/>
  <c r="AS7" i="4"/>
  <c r="AR7" i="4"/>
  <c r="AQ7" i="4"/>
  <c r="AV6" i="4"/>
  <c r="AU6" i="4"/>
  <c r="AT6" i="4"/>
  <c r="AS6" i="4"/>
  <c r="AR6" i="4"/>
  <c r="AQ6" i="4"/>
  <c r="AV5" i="4"/>
  <c r="AU5" i="4"/>
  <c r="AT5" i="4"/>
  <c r="AS5" i="4"/>
  <c r="AR5" i="4"/>
  <c r="AQ5" i="4"/>
  <c r="AV4" i="4"/>
  <c r="AU4" i="4"/>
  <c r="AT4" i="4"/>
  <c r="AS4" i="4"/>
  <c r="AR4" i="4"/>
  <c r="AQ4" i="4"/>
  <c r="BA3" i="4"/>
  <c r="BB3" i="4" s="1"/>
  <c r="AZ3" i="4"/>
  <c r="AV3" i="4"/>
  <c r="AU3" i="4"/>
  <c r="AT3" i="4"/>
  <c r="AS3" i="4"/>
  <c r="AQ3" i="4"/>
  <c r="BB2" i="4"/>
  <c r="BA2" i="4"/>
  <c r="AZ2" i="4"/>
  <c r="AV2" i="4"/>
  <c r="N24" i="49" s="1"/>
  <c r="AU2" i="4"/>
  <c r="AT2" i="4"/>
  <c r="AS2" i="4"/>
  <c r="AR2" i="4"/>
  <c r="F24" i="49" s="1"/>
  <c r="AQ2" i="4"/>
  <c r="D16" i="49" l="1"/>
  <c r="J24" i="49"/>
  <c r="D22" i="49"/>
  <c r="D20" i="49"/>
  <c r="H20" i="49" s="1"/>
  <c r="L20" i="49" s="1"/>
  <c r="D18" i="49"/>
  <c r="H18" i="49" s="1"/>
  <c r="L18" i="49" s="1"/>
  <c r="J18" i="49"/>
  <c r="BK8" i="4"/>
  <c r="BL8" i="4"/>
  <c r="F22" i="49"/>
  <c r="N22" i="49"/>
  <c r="F20" i="49"/>
  <c r="N20" i="49"/>
  <c r="F18" i="49"/>
  <c r="N18" i="49"/>
  <c r="J22" i="49"/>
  <c r="J20" i="49"/>
  <c r="D24" i="49"/>
  <c r="H24" i="49" s="1"/>
  <c r="L24" i="49" s="1"/>
  <c r="H12" i="49"/>
  <c r="H22" i="49"/>
  <c r="L22" i="49" s="1"/>
  <c r="N26" i="49" l="1"/>
  <c r="B10" i="55" s="1"/>
  <c r="J26" i="49"/>
  <c r="F26" i="49"/>
  <c r="H16" i="49"/>
  <c r="L16" i="49" s="1"/>
  <c r="D26" i="49"/>
  <c r="L12" i="49"/>
  <c r="C6" i="28"/>
  <c r="D10" i="27" s="1"/>
  <c r="B7" i="28"/>
  <c r="C7" i="28"/>
  <c r="D11" i="27" s="1"/>
  <c r="X8" i="27"/>
  <c r="AC8" i="27"/>
  <c r="AH8" i="27"/>
  <c r="C10" i="27"/>
  <c r="C11" i="27"/>
  <c r="N3" i="4"/>
  <c r="AF57" i="4" s="1"/>
  <c r="L10" i="4"/>
  <c r="M10" i="4"/>
  <c r="O10" i="4"/>
  <c r="Q10" i="4"/>
  <c r="R10" i="4"/>
  <c r="S10" i="4"/>
  <c r="U10" i="4"/>
  <c r="W10" i="4"/>
  <c r="P199" i="4"/>
  <c r="V199" i="4"/>
  <c r="P206" i="4"/>
  <c r="V206" i="4"/>
  <c r="P211" i="4"/>
  <c r="V211" i="4"/>
  <c r="L190" i="4"/>
  <c r="M190" i="4"/>
  <c r="O190" i="4"/>
  <c r="Q190" i="4"/>
  <c r="R190" i="4"/>
  <c r="S190" i="4"/>
  <c r="U190" i="4"/>
  <c r="W190" i="4"/>
  <c r="L191" i="4"/>
  <c r="M191" i="4"/>
  <c r="O191" i="4"/>
  <c r="Q191" i="4"/>
  <c r="R191" i="4"/>
  <c r="S191" i="4"/>
  <c r="U191" i="4"/>
  <c r="W191" i="4"/>
  <c r="L192" i="4"/>
  <c r="M192" i="4"/>
  <c r="O192" i="4"/>
  <c r="Q192" i="4"/>
  <c r="R192" i="4"/>
  <c r="S192" i="4"/>
  <c r="U192" i="4"/>
  <c r="W192" i="4"/>
  <c r="L193" i="4"/>
  <c r="M193" i="4"/>
  <c r="O193" i="4"/>
  <c r="Q193" i="4"/>
  <c r="R193" i="4"/>
  <c r="S193" i="4"/>
  <c r="U193" i="4"/>
  <c r="W193" i="4"/>
  <c r="L194" i="4"/>
  <c r="M194" i="4"/>
  <c r="O194" i="4"/>
  <c r="Q194" i="4"/>
  <c r="R194" i="4"/>
  <c r="S194" i="4"/>
  <c r="U194" i="4"/>
  <c r="W194" i="4"/>
  <c r="L195" i="4"/>
  <c r="M195" i="4"/>
  <c r="O195" i="4"/>
  <c r="Q195" i="4"/>
  <c r="R195" i="4"/>
  <c r="S195" i="4"/>
  <c r="U195" i="4"/>
  <c r="W195" i="4"/>
  <c r="L196" i="4"/>
  <c r="M196" i="4"/>
  <c r="O196" i="4"/>
  <c r="Q196" i="4"/>
  <c r="R196" i="4"/>
  <c r="S196" i="4"/>
  <c r="U196" i="4"/>
  <c r="W196" i="4"/>
  <c r="L197" i="4"/>
  <c r="M197" i="4"/>
  <c r="O197" i="4"/>
  <c r="Q197" i="4"/>
  <c r="R197" i="4"/>
  <c r="S197" i="4"/>
  <c r="U197" i="4"/>
  <c r="W197" i="4"/>
  <c r="L198" i="4"/>
  <c r="M198" i="4"/>
  <c r="O198" i="4"/>
  <c r="Q198" i="4"/>
  <c r="R198" i="4"/>
  <c r="S198" i="4"/>
  <c r="U198" i="4"/>
  <c r="W198" i="4"/>
  <c r="L199" i="4"/>
  <c r="M199" i="4"/>
  <c r="O199" i="4"/>
  <c r="Q199" i="4"/>
  <c r="R199" i="4"/>
  <c r="S199" i="4"/>
  <c r="U199" i="4"/>
  <c r="W199" i="4"/>
  <c r="L200" i="4"/>
  <c r="M200" i="4"/>
  <c r="O200" i="4"/>
  <c r="Q200" i="4"/>
  <c r="R200" i="4"/>
  <c r="S200" i="4"/>
  <c r="U200" i="4"/>
  <c r="W200" i="4"/>
  <c r="L201" i="4"/>
  <c r="M201" i="4"/>
  <c r="O201" i="4"/>
  <c r="Q201" i="4"/>
  <c r="R201" i="4"/>
  <c r="S201" i="4"/>
  <c r="U201" i="4"/>
  <c r="W201" i="4"/>
  <c r="L202" i="4"/>
  <c r="M202" i="4"/>
  <c r="O202" i="4"/>
  <c r="Q202" i="4"/>
  <c r="R202" i="4"/>
  <c r="S202" i="4"/>
  <c r="U202" i="4"/>
  <c r="W202" i="4"/>
  <c r="L203" i="4"/>
  <c r="M203" i="4"/>
  <c r="O203" i="4"/>
  <c r="Q203" i="4"/>
  <c r="R203" i="4"/>
  <c r="S203" i="4"/>
  <c r="U203" i="4"/>
  <c r="W203" i="4"/>
  <c r="L204" i="4"/>
  <c r="M204" i="4"/>
  <c r="O204" i="4"/>
  <c r="Q204" i="4"/>
  <c r="R204" i="4"/>
  <c r="S204" i="4"/>
  <c r="U204" i="4"/>
  <c r="W204" i="4"/>
  <c r="L205" i="4"/>
  <c r="M205" i="4"/>
  <c r="O205" i="4"/>
  <c r="Q205" i="4"/>
  <c r="R205" i="4"/>
  <c r="S205" i="4"/>
  <c r="U205" i="4"/>
  <c r="W205" i="4"/>
  <c r="L206" i="4"/>
  <c r="M206" i="4"/>
  <c r="O206" i="4"/>
  <c r="Q206" i="4"/>
  <c r="R206" i="4"/>
  <c r="S206" i="4"/>
  <c r="U206" i="4"/>
  <c r="W206" i="4"/>
  <c r="L207" i="4"/>
  <c r="M207" i="4"/>
  <c r="O207" i="4"/>
  <c r="Q207" i="4"/>
  <c r="R207" i="4"/>
  <c r="S207" i="4"/>
  <c r="U207" i="4"/>
  <c r="W207" i="4"/>
  <c r="L208" i="4"/>
  <c r="M208" i="4"/>
  <c r="O208" i="4"/>
  <c r="Q208" i="4"/>
  <c r="R208" i="4"/>
  <c r="S208" i="4"/>
  <c r="U208" i="4"/>
  <c r="W208" i="4"/>
  <c r="L209" i="4"/>
  <c r="M209" i="4"/>
  <c r="O209" i="4"/>
  <c r="Q209" i="4"/>
  <c r="R209" i="4"/>
  <c r="S209" i="4"/>
  <c r="U209" i="4"/>
  <c r="W209" i="4"/>
  <c r="L210" i="4"/>
  <c r="M210" i="4"/>
  <c r="O210" i="4"/>
  <c r="Q210" i="4"/>
  <c r="R210" i="4"/>
  <c r="S210" i="4"/>
  <c r="U210" i="4"/>
  <c r="W210" i="4"/>
  <c r="L211" i="4"/>
  <c r="M211" i="4"/>
  <c r="O211" i="4"/>
  <c r="Q211" i="4"/>
  <c r="R211" i="4"/>
  <c r="S211" i="4"/>
  <c r="U211" i="4"/>
  <c r="W211" i="4"/>
  <c r="L212" i="4"/>
  <c r="M212" i="4"/>
  <c r="O212" i="4"/>
  <c r="Q212" i="4"/>
  <c r="R212" i="4"/>
  <c r="S212" i="4"/>
  <c r="U212" i="4"/>
  <c r="W212" i="4"/>
  <c r="L213" i="4"/>
  <c r="M213" i="4"/>
  <c r="O213" i="4"/>
  <c r="Q213" i="4"/>
  <c r="R213" i="4"/>
  <c r="S213" i="4"/>
  <c r="U213" i="4"/>
  <c r="W213" i="4"/>
  <c r="Q5" i="26"/>
  <c r="I7" i="26"/>
  <c r="L7" i="26"/>
  <c r="D11" i="26"/>
  <c r="K11" i="26"/>
  <c r="B8" i="28"/>
  <c r="C8" i="28"/>
  <c r="B9" i="28"/>
  <c r="C12" i="27"/>
  <c r="C9" i="28"/>
  <c r="D13" i="27" s="1"/>
  <c r="B10" i="28"/>
  <c r="C13" i="27"/>
  <c r="C10" i="28"/>
  <c r="D14" i="27" s="1"/>
  <c r="B11" i="28"/>
  <c r="C14" i="27"/>
  <c r="C11" i="28"/>
  <c r="D15" i="27" s="1"/>
  <c r="B12" i="28"/>
  <c r="C15" i="27"/>
  <c r="C12" i="28"/>
  <c r="D16" i="27" s="1"/>
  <c r="B13" i="28"/>
  <c r="C16" i="27"/>
  <c r="C13" i="28"/>
  <c r="D17" i="27" s="1"/>
  <c r="B14" i="28"/>
  <c r="C17" i="27"/>
  <c r="B15" i="28"/>
  <c r="C14" i="28"/>
  <c r="D18" i="27" s="1"/>
  <c r="C18" i="27"/>
  <c r="C15" i="28"/>
  <c r="D19" i="27" s="1"/>
  <c r="B16" i="28"/>
  <c r="C19" i="27"/>
  <c r="C16" i="28"/>
  <c r="D20" i="27" s="1"/>
  <c r="B17" i="28"/>
  <c r="C20" i="27"/>
  <c r="C17" i="28"/>
  <c r="D21" i="27" s="1"/>
  <c r="B18" i="28"/>
  <c r="C21" i="27"/>
  <c r="C18" i="28"/>
  <c r="D22" i="27" s="1"/>
  <c r="B19" i="28"/>
  <c r="C22" i="27"/>
  <c r="C19" i="28"/>
  <c r="D23" i="27" s="1"/>
  <c r="B20" i="28"/>
  <c r="C23" i="27"/>
  <c r="C20" i="28"/>
  <c r="D24" i="27" s="1"/>
  <c r="B21" i="28"/>
  <c r="C24" i="27"/>
  <c r="C21" i="28"/>
  <c r="D25" i="27" s="1"/>
  <c r="B22" i="28"/>
  <c r="C25" i="27"/>
  <c r="B23" i="28"/>
  <c r="C22" i="28"/>
  <c r="D26" i="27" s="1"/>
  <c r="C26" i="27"/>
  <c r="C23" i="28"/>
  <c r="D27" i="27" s="1"/>
  <c r="B24" i="28"/>
  <c r="C27" i="27"/>
  <c r="C24" i="28"/>
  <c r="D28" i="27" s="1"/>
  <c r="B25" i="28"/>
  <c r="C28" i="27"/>
  <c r="C25" i="28"/>
  <c r="D29" i="27" s="1"/>
  <c r="B26" i="28"/>
  <c r="C29" i="27"/>
  <c r="B27" i="28"/>
  <c r="C26" i="28"/>
  <c r="C30" i="27"/>
  <c r="C27" i="28"/>
  <c r="D31" i="27" s="1"/>
  <c r="B28" i="28"/>
  <c r="C31" i="27"/>
  <c r="B29" i="28"/>
  <c r="C28" i="28"/>
  <c r="D32" i="27" s="1"/>
  <c r="C32" i="27"/>
  <c r="B30" i="28"/>
  <c r="C29" i="28"/>
  <c r="D33" i="27" s="1"/>
  <c r="C33" i="27"/>
  <c r="C30" i="28"/>
  <c r="D34" i="27" s="1"/>
  <c r="B31" i="28"/>
  <c r="C34" i="27"/>
  <c r="C31" i="28"/>
  <c r="D35" i="27" s="1"/>
  <c r="B32" i="28"/>
  <c r="C35" i="27"/>
  <c r="C32" i="28"/>
  <c r="D36" i="27" s="1"/>
  <c r="B33" i="28"/>
  <c r="C36" i="27"/>
  <c r="C33" i="28"/>
  <c r="D37" i="27" s="1"/>
  <c r="B34" i="28"/>
  <c r="C37" i="27"/>
  <c r="B35" i="28"/>
  <c r="C34" i="28"/>
  <c r="D38" i="27" s="1"/>
  <c r="C38" i="27"/>
  <c r="C35" i="28"/>
  <c r="D39" i="27" s="1"/>
  <c r="B36" i="28"/>
  <c r="C39" i="27"/>
  <c r="C36" i="28"/>
  <c r="D40" i="27" s="1"/>
  <c r="B37" i="28"/>
  <c r="C40" i="27"/>
  <c r="C37" i="28"/>
  <c r="D41" i="27" s="1"/>
  <c r="B38" i="28"/>
  <c r="C41" i="27"/>
  <c r="B39" i="28"/>
  <c r="C38" i="28"/>
  <c r="D42" i="27" s="1"/>
  <c r="C42" i="27"/>
  <c r="C39" i="28"/>
  <c r="D43" i="27" s="1"/>
  <c r="B40" i="28"/>
  <c r="C43" i="27"/>
  <c r="C40" i="28"/>
  <c r="D44" i="27" s="1"/>
  <c r="B41" i="28"/>
  <c r="C44" i="27"/>
  <c r="C41" i="28"/>
  <c r="D45" i="27" s="1"/>
  <c r="B42" i="28"/>
  <c r="C45" i="27"/>
  <c r="B43" i="28"/>
  <c r="C42" i="28"/>
  <c r="D46" i="27" s="1"/>
  <c r="C46" i="27"/>
  <c r="C43" i="28"/>
  <c r="D47" i="27" s="1"/>
  <c r="B44" i="28"/>
  <c r="C47" i="27"/>
  <c r="C44" i="28"/>
  <c r="D48" i="27" s="1"/>
  <c r="B45" i="28"/>
  <c r="C48" i="27"/>
  <c r="C45" i="28"/>
  <c r="B46" i="28"/>
  <c r="C49" i="27"/>
  <c r="C46" i="28"/>
  <c r="D50" i="27" s="1"/>
  <c r="B47" i="28"/>
  <c r="C50" i="27"/>
  <c r="B48" i="28"/>
  <c r="C47" i="28"/>
  <c r="D51" i="27" s="1"/>
  <c r="C51" i="27"/>
  <c r="C48" i="28"/>
  <c r="D52" i="27" s="1"/>
  <c r="B49" i="28"/>
  <c r="C52" i="27"/>
  <c r="C49" i="28"/>
  <c r="D53" i="27" s="1"/>
  <c r="B50" i="28"/>
  <c r="C53" i="27"/>
  <c r="C50" i="28"/>
  <c r="D54" i="27" s="1"/>
  <c r="B51" i="28"/>
  <c r="C54" i="27"/>
  <c r="C51" i="28"/>
  <c r="D55" i="27" s="1"/>
  <c r="B52" i="28"/>
  <c r="C55" i="27"/>
  <c r="C52" i="28"/>
  <c r="D56" i="27" s="1"/>
  <c r="B53" i="28"/>
  <c r="C56" i="27"/>
  <c r="C53" i="28"/>
  <c r="D57" i="27" s="1"/>
  <c r="B54" i="28"/>
  <c r="C57" i="27"/>
  <c r="C54" i="28"/>
  <c r="B55" i="28"/>
  <c r="C58" i="27"/>
  <c r="C55" i="28"/>
  <c r="D59" i="27" s="1"/>
  <c r="B56" i="28"/>
  <c r="C59" i="27"/>
  <c r="C56" i="28"/>
  <c r="D60" i="27" s="1"/>
  <c r="B57" i="28"/>
  <c r="C60" i="27"/>
  <c r="C57" i="28"/>
  <c r="D61" i="27" s="1"/>
  <c r="B58" i="28"/>
  <c r="C61" i="27"/>
  <c r="C58" i="28"/>
  <c r="D62" i="27" s="1"/>
  <c r="B59" i="28"/>
  <c r="C62" i="27"/>
  <c r="C59" i="28"/>
  <c r="D63" i="27" s="1"/>
  <c r="B60" i="28"/>
  <c r="C63" i="27"/>
  <c r="B61" i="28"/>
  <c r="C60" i="28"/>
  <c r="D64" i="27" s="1"/>
  <c r="C64" i="27"/>
  <c r="C61" i="28"/>
  <c r="D65" i="27" s="1"/>
  <c r="B62" i="28"/>
  <c r="C65" i="27"/>
  <c r="C62" i="28"/>
  <c r="D66" i="27" s="1"/>
  <c r="B63" i="28"/>
  <c r="C66" i="27"/>
  <c r="C63" i="28"/>
  <c r="D67" i="27" s="1"/>
  <c r="B64" i="28"/>
  <c r="C67" i="27"/>
  <c r="B65" i="28"/>
  <c r="C64" i="28"/>
  <c r="D68" i="27" s="1"/>
  <c r="C68" i="27"/>
  <c r="C65" i="28"/>
  <c r="D69" i="27" s="1"/>
  <c r="B66" i="28"/>
  <c r="C69" i="27"/>
  <c r="C66" i="28"/>
  <c r="D70" i="27" s="1"/>
  <c r="B67" i="28"/>
  <c r="C70" i="27"/>
  <c r="C67" i="28"/>
  <c r="D71" i="27" s="1"/>
  <c r="B68" i="28"/>
  <c r="C71" i="27"/>
  <c r="C68" i="28"/>
  <c r="D72" i="27" s="1"/>
  <c r="B69" i="28"/>
  <c r="C72" i="27"/>
  <c r="B70" i="28"/>
  <c r="C69" i="28"/>
  <c r="D73" i="27" s="1"/>
  <c r="C73" i="27"/>
  <c r="C70" i="28"/>
  <c r="D74" i="27" s="1"/>
  <c r="B71" i="28"/>
  <c r="C74" i="27"/>
  <c r="C71" i="28"/>
  <c r="D75" i="27" s="1"/>
  <c r="B72" i="28"/>
  <c r="C75" i="27"/>
  <c r="B73" i="28"/>
  <c r="C72" i="28"/>
  <c r="D76" i="27" s="1"/>
  <c r="C76" i="27"/>
  <c r="C73" i="28"/>
  <c r="D77" i="27" s="1"/>
  <c r="B74" i="28"/>
  <c r="C77" i="27"/>
  <c r="C74" i="28"/>
  <c r="D78" i="27" s="1"/>
  <c r="B75" i="28"/>
  <c r="C78" i="27"/>
  <c r="C75" i="28"/>
  <c r="D79" i="27" s="1"/>
  <c r="B76" i="28"/>
  <c r="C79" i="27"/>
  <c r="C76" i="28"/>
  <c r="D80" i="27" s="1"/>
  <c r="B77" i="28"/>
  <c r="C80" i="27"/>
  <c r="C77" i="28"/>
  <c r="B78" i="28"/>
  <c r="C81" i="27"/>
  <c r="C78" i="28"/>
  <c r="D82" i="27" s="1"/>
  <c r="B79" i="28"/>
  <c r="C82" i="27"/>
  <c r="C79" i="28"/>
  <c r="D83" i="27" s="1"/>
  <c r="B80" i="28"/>
  <c r="C83" i="27"/>
  <c r="C80" i="28"/>
  <c r="D84" i="27" s="1"/>
  <c r="B81" i="28"/>
  <c r="C84" i="27"/>
  <c r="C81" i="28"/>
  <c r="D85" i="27" s="1"/>
  <c r="B82" i="28"/>
  <c r="C85" i="27"/>
  <c r="C82" i="28"/>
  <c r="D86" i="27" s="1"/>
  <c r="B83" i="28"/>
  <c r="C86" i="27"/>
  <c r="C83" i="28"/>
  <c r="D87" i="27" s="1"/>
  <c r="B84" i="28"/>
  <c r="C87" i="27"/>
  <c r="C84" i="28"/>
  <c r="D88" i="27" s="1"/>
  <c r="B85" i="28"/>
  <c r="C88" i="27"/>
  <c r="C85" i="28"/>
  <c r="D89" i="27" s="1"/>
  <c r="B86" i="28"/>
  <c r="C89" i="27"/>
  <c r="C86" i="28"/>
  <c r="D90" i="27" s="1"/>
  <c r="B87" i="28"/>
  <c r="C90" i="27"/>
  <c r="C87" i="28"/>
  <c r="D91" i="27" s="1"/>
  <c r="B88" i="28"/>
  <c r="C91" i="27"/>
  <c r="C88" i="28"/>
  <c r="D92" i="27" s="1"/>
  <c r="B89" i="28"/>
  <c r="C92" i="27"/>
  <c r="C89" i="28"/>
  <c r="D93" i="27" s="1"/>
  <c r="B90" i="28"/>
  <c r="C93" i="27"/>
  <c r="C90" i="28"/>
  <c r="D94" i="27" s="1"/>
  <c r="B91" i="28"/>
  <c r="C94" i="27"/>
  <c r="C91" i="28"/>
  <c r="D95" i="27" s="1"/>
  <c r="B92" i="28"/>
  <c r="C95" i="27"/>
  <c r="C92" i="28"/>
  <c r="D96" i="27" s="1"/>
  <c r="B93" i="28"/>
  <c r="C96" i="27"/>
  <c r="C93" i="28"/>
  <c r="D97" i="27" s="1"/>
  <c r="B94" i="28"/>
  <c r="C97" i="27"/>
  <c r="C94" i="28"/>
  <c r="D98" i="27" s="1"/>
  <c r="B95" i="28"/>
  <c r="C98" i="27"/>
  <c r="C95" i="28"/>
  <c r="D99" i="27" s="1"/>
  <c r="B96" i="28"/>
  <c r="C99" i="27"/>
  <c r="B97" i="28"/>
  <c r="C96" i="28"/>
  <c r="D100" i="27" s="1"/>
  <c r="C100" i="27"/>
  <c r="C97" i="28"/>
  <c r="D101" i="27" s="1"/>
  <c r="B98" i="28"/>
  <c r="C101" i="27"/>
  <c r="C98" i="28"/>
  <c r="D102" i="27" s="1"/>
  <c r="B99" i="28"/>
  <c r="C102" i="27"/>
  <c r="C99" i="28"/>
  <c r="D103" i="27" s="1"/>
  <c r="B100" i="28"/>
  <c r="C103" i="27"/>
  <c r="C100" i="28"/>
  <c r="D104" i="27" s="1"/>
  <c r="B101" i="28"/>
  <c r="C104" i="27"/>
  <c r="C101" i="28"/>
  <c r="D105" i="27" s="1"/>
  <c r="B102" i="28"/>
  <c r="C105" i="27"/>
  <c r="C102" i="28"/>
  <c r="D106" i="27" s="1"/>
  <c r="B103" i="28"/>
  <c r="C106" i="27"/>
  <c r="C103" i="28"/>
  <c r="D107" i="27" s="1"/>
  <c r="B104" i="28"/>
  <c r="C107" i="27"/>
  <c r="B105" i="28"/>
  <c r="C104" i="28"/>
  <c r="D108" i="27" s="1"/>
  <c r="C108" i="27"/>
  <c r="C105" i="28"/>
  <c r="D109" i="27" s="1"/>
  <c r="B106" i="28"/>
  <c r="C109" i="27"/>
  <c r="C106" i="28"/>
  <c r="D110" i="27" s="1"/>
  <c r="B107" i="28"/>
  <c r="C110" i="27"/>
  <c r="C107" i="28"/>
  <c r="D111" i="27" s="1"/>
  <c r="B108" i="28"/>
  <c r="C111" i="27"/>
  <c r="C108" i="28"/>
  <c r="B109" i="28"/>
  <c r="C112" i="27"/>
  <c r="C109" i="28"/>
  <c r="D113" i="27" s="1"/>
  <c r="B110" i="28"/>
  <c r="C113" i="27"/>
  <c r="C110" i="28"/>
  <c r="D114" i="27" s="1"/>
  <c r="B111" i="28"/>
  <c r="C114" i="27"/>
  <c r="B112" i="28"/>
  <c r="C111" i="28"/>
  <c r="D115" i="27" s="1"/>
  <c r="C115" i="27"/>
  <c r="C112" i="28"/>
  <c r="D116" i="27" s="1"/>
  <c r="B113" i="28"/>
  <c r="C116" i="27"/>
  <c r="B114" i="28"/>
  <c r="C113" i="28"/>
  <c r="C117" i="27"/>
  <c r="C114" i="28"/>
  <c r="D118" i="27" s="1"/>
  <c r="B115" i="28"/>
  <c r="C118" i="27"/>
  <c r="B116" i="28"/>
  <c r="C115" i="28"/>
  <c r="D119" i="27" s="1"/>
  <c r="C119" i="27"/>
  <c r="C116" i="28"/>
  <c r="D120" i="27" s="1"/>
  <c r="B117" i="28"/>
  <c r="C120" i="27"/>
  <c r="C117" i="28"/>
  <c r="D121" i="27" s="1"/>
  <c r="B118" i="28"/>
  <c r="C121" i="27"/>
  <c r="C118" i="28"/>
  <c r="D122" i="27" s="1"/>
  <c r="B119" i="28"/>
  <c r="C122" i="27"/>
  <c r="C119" i="28"/>
  <c r="D123" i="27" s="1"/>
  <c r="B120" i="28"/>
  <c r="C123" i="27"/>
  <c r="C120" i="28"/>
  <c r="D124" i="27" s="1"/>
  <c r="B121" i="28"/>
  <c r="C124" i="27"/>
  <c r="C121" i="28"/>
  <c r="D125" i="27" s="1"/>
  <c r="B122" i="28"/>
  <c r="C125" i="27"/>
  <c r="C122" i="28"/>
  <c r="D126" i="27" s="1"/>
  <c r="B123" i="28"/>
  <c r="C126" i="27"/>
  <c r="C123" i="28"/>
  <c r="D127" i="27" s="1"/>
  <c r="B124" i="28"/>
  <c r="C127" i="27"/>
  <c r="C124" i="28"/>
  <c r="D128" i="27" s="1"/>
  <c r="B125" i="28"/>
  <c r="C128" i="27"/>
  <c r="C125" i="28"/>
  <c r="D129" i="27" s="1"/>
  <c r="B126" i="28"/>
  <c r="C129" i="27"/>
  <c r="C126" i="28"/>
  <c r="D130" i="27" s="1"/>
  <c r="B127" i="28"/>
  <c r="C130" i="27"/>
  <c r="C127" i="28"/>
  <c r="D131" i="27" s="1"/>
  <c r="B128" i="28"/>
  <c r="C131" i="27"/>
  <c r="C128" i="28"/>
  <c r="D132" i="27" s="1"/>
  <c r="B129" i="28"/>
  <c r="C132" i="27"/>
  <c r="C129" i="28"/>
  <c r="D133" i="27" s="1"/>
  <c r="B130" i="28"/>
  <c r="C133" i="27"/>
  <c r="C130" i="28"/>
  <c r="D134" i="27" s="1"/>
  <c r="B131" i="28"/>
  <c r="C134" i="27"/>
  <c r="C131" i="28"/>
  <c r="D135" i="27" s="1"/>
  <c r="B132" i="28"/>
  <c r="C135" i="27"/>
  <c r="C132" i="28"/>
  <c r="D136" i="27" s="1"/>
  <c r="B133" i="28"/>
  <c r="C136" i="27"/>
  <c r="C133" i="28"/>
  <c r="D137" i="27" s="1"/>
  <c r="B134" i="28"/>
  <c r="C137" i="27"/>
  <c r="C134" i="28"/>
  <c r="D138" i="27" s="1"/>
  <c r="B135" i="28"/>
  <c r="C138" i="27"/>
  <c r="C135" i="28"/>
  <c r="D139" i="27" s="1"/>
  <c r="B136" i="28"/>
  <c r="C139" i="27"/>
  <c r="B137" i="28"/>
  <c r="C136" i="28"/>
  <c r="D140" i="27" s="1"/>
  <c r="C140" i="27"/>
  <c r="C137" i="28"/>
  <c r="D141" i="27" s="1"/>
  <c r="B138" i="28"/>
  <c r="C141" i="27"/>
  <c r="C138" i="28"/>
  <c r="D142" i="27" s="1"/>
  <c r="B139" i="28"/>
  <c r="C142" i="27"/>
  <c r="C139" i="28"/>
  <c r="D143" i="27" s="1"/>
  <c r="B140" i="28"/>
  <c r="C143" i="27"/>
  <c r="C140" i="28"/>
  <c r="D144" i="27" s="1"/>
  <c r="B141" i="28"/>
  <c r="C144" i="27"/>
  <c r="C141" i="28"/>
  <c r="D145" i="27" s="1"/>
  <c r="B142" i="28"/>
  <c r="C145" i="27"/>
  <c r="C142" i="28"/>
  <c r="D146" i="27" s="1"/>
  <c r="B143" i="28"/>
  <c r="C146" i="27"/>
  <c r="C143" i="28"/>
  <c r="D147" i="27" s="1"/>
  <c r="B144" i="28"/>
  <c r="C147" i="27"/>
  <c r="C144" i="28"/>
  <c r="D148" i="27" s="1"/>
  <c r="B145" i="28"/>
  <c r="C148" i="27"/>
  <c r="B146" i="28"/>
  <c r="C145" i="28"/>
  <c r="D149" i="27" s="1"/>
  <c r="C149" i="27"/>
  <c r="C146" i="28"/>
  <c r="D150" i="27" s="1"/>
  <c r="B147" i="28"/>
  <c r="C150" i="27"/>
  <c r="C147" i="28"/>
  <c r="B148" i="28"/>
  <c r="C151" i="27"/>
  <c r="C148" i="28"/>
  <c r="D152" i="27" s="1"/>
  <c r="B149" i="28"/>
  <c r="C152" i="27"/>
  <c r="C149" i="28"/>
  <c r="D153" i="27" s="1"/>
  <c r="B150" i="28"/>
  <c r="C153" i="27"/>
  <c r="C150" i="28"/>
  <c r="D154" i="27" s="1"/>
  <c r="B151" i="28"/>
  <c r="C154" i="27"/>
  <c r="C151" i="28"/>
  <c r="D155" i="27" s="1"/>
  <c r="B152" i="28"/>
  <c r="C155" i="27"/>
  <c r="B153" i="28"/>
  <c r="C152" i="28"/>
  <c r="D156" i="27" s="1"/>
  <c r="C156" i="27"/>
  <c r="C153" i="28"/>
  <c r="D157" i="27" s="1"/>
  <c r="B154" i="28"/>
  <c r="C157" i="27"/>
  <c r="C154" i="28"/>
  <c r="D158" i="27" s="1"/>
  <c r="B155" i="28"/>
  <c r="C158" i="27"/>
  <c r="C155" i="28"/>
  <c r="D159" i="27" s="1"/>
  <c r="B156" i="28"/>
  <c r="C159" i="27"/>
  <c r="C156" i="28"/>
  <c r="D160" i="27" s="1"/>
  <c r="B157" i="28"/>
  <c r="C160" i="27"/>
  <c r="C157" i="28"/>
  <c r="D161" i="27" s="1"/>
  <c r="B158" i="28"/>
  <c r="C161" i="27"/>
  <c r="C158" i="28"/>
  <c r="D162" i="27" s="1"/>
  <c r="B159" i="28"/>
  <c r="C162" i="27"/>
  <c r="C159" i="28"/>
  <c r="D163" i="27" s="1"/>
  <c r="B160" i="28"/>
  <c r="C163" i="27"/>
  <c r="C160" i="28"/>
  <c r="D164" i="27" s="1"/>
  <c r="B161" i="28"/>
  <c r="C164" i="27"/>
  <c r="C161" i="28"/>
  <c r="D165" i="27" s="1"/>
  <c r="B162" i="28"/>
  <c r="C165" i="27"/>
  <c r="C162" i="28"/>
  <c r="D166" i="27" s="1"/>
  <c r="B163" i="28"/>
  <c r="C166" i="27"/>
  <c r="C163" i="28"/>
  <c r="D167" i="27" s="1"/>
  <c r="B164" i="28"/>
  <c r="C167" i="27"/>
  <c r="C164" i="28"/>
  <c r="D168" i="27" s="1"/>
  <c r="B165" i="28"/>
  <c r="C168" i="27"/>
  <c r="C165" i="28"/>
  <c r="D169" i="27" s="1"/>
  <c r="B166" i="28"/>
  <c r="C169" i="27"/>
  <c r="C166" i="28"/>
  <c r="B167" i="28"/>
  <c r="C170" i="27"/>
  <c r="C167" i="28"/>
  <c r="D171" i="27" s="1"/>
  <c r="B168" i="28"/>
  <c r="C171" i="27"/>
  <c r="C168" i="28"/>
  <c r="D172" i="27" s="1"/>
  <c r="B169" i="28"/>
  <c r="C172" i="27"/>
  <c r="C169" i="28"/>
  <c r="D173" i="27" s="1"/>
  <c r="B170" i="28"/>
  <c r="C173" i="27"/>
  <c r="C170" i="28"/>
  <c r="D174" i="27" s="1"/>
  <c r="B171" i="28"/>
  <c r="C174" i="27"/>
  <c r="C171" i="28"/>
  <c r="D175" i="27" s="1"/>
  <c r="B172" i="28"/>
  <c r="C175" i="27"/>
  <c r="C172" i="28"/>
  <c r="D176" i="27" s="1"/>
  <c r="B173" i="28"/>
  <c r="C176" i="27"/>
  <c r="C173" i="28"/>
  <c r="D177" i="27" s="1"/>
  <c r="B174" i="28"/>
  <c r="C177" i="27"/>
  <c r="C174" i="28"/>
  <c r="D178" i="27" s="1"/>
  <c r="B175" i="28"/>
  <c r="C178" i="27"/>
  <c r="C175" i="28"/>
  <c r="D179" i="27" s="1"/>
  <c r="B176" i="28"/>
  <c r="C179" i="27"/>
  <c r="C176" i="28"/>
  <c r="D180" i="27" s="1"/>
  <c r="B177" i="28"/>
  <c r="C180" i="27"/>
  <c r="C177" i="28"/>
  <c r="D181" i="27" s="1"/>
  <c r="B178" i="28"/>
  <c r="C181" i="27"/>
  <c r="C178" i="28"/>
  <c r="D182" i="27" s="1"/>
  <c r="B179" i="28"/>
  <c r="C182" i="27"/>
  <c r="C179" i="28"/>
  <c r="D183" i="27" s="1"/>
  <c r="B180" i="28"/>
  <c r="C183" i="27"/>
  <c r="C180" i="28"/>
  <c r="D184" i="27" s="1"/>
  <c r="B181" i="28"/>
  <c r="C184" i="27"/>
  <c r="C181" i="28"/>
  <c r="D185" i="27" s="1"/>
  <c r="C185" i="27"/>
  <c r="B197" i="16"/>
  <c r="L26" i="49" l="1"/>
  <c r="H26" i="49"/>
  <c r="AC13" i="4"/>
  <c r="AC32" i="4"/>
  <c r="N195" i="4"/>
  <c r="X195" i="4" s="1"/>
  <c r="N207" i="4"/>
  <c r="X207" i="4" s="1"/>
  <c r="AA55" i="4"/>
  <c r="AD55" i="4" s="1"/>
  <c r="AF22" i="4"/>
  <c r="AA44" i="4"/>
  <c r="AD44" i="4" s="1"/>
  <c r="AF18" i="4"/>
  <c r="AE36" i="4"/>
  <c r="AC53" i="4"/>
  <c r="AC35" i="4"/>
  <c r="AB58" i="4"/>
  <c r="AF48" i="4"/>
  <c r="AB18" i="4"/>
  <c r="AF29" i="4"/>
  <c r="AC62" i="4"/>
  <c r="AF21" i="4"/>
  <c r="AA24" i="4"/>
  <c r="AD24" i="4" s="1"/>
  <c r="AF61" i="4"/>
  <c r="AF44" i="4"/>
  <c r="AB14" i="4"/>
  <c r="AE26" i="4"/>
  <c r="AA34" i="4"/>
  <c r="AD34" i="4" s="1"/>
  <c r="AF28" i="4"/>
  <c r="AB24" i="4"/>
  <c r="AE40" i="4"/>
  <c r="AE184" i="4"/>
  <c r="N205" i="4"/>
  <c r="X205" i="4" s="1"/>
  <c r="AB187" i="4"/>
  <c r="AA51" i="4"/>
  <c r="AD51" i="4" s="1"/>
  <c r="AC47" i="4"/>
  <c r="AE27" i="4"/>
  <c r="AF37" i="4"/>
  <c r="AF41" i="4"/>
  <c r="AC48" i="4"/>
  <c r="AB54" i="4"/>
  <c r="AC18" i="4"/>
  <c r="AF164" i="4"/>
  <c r="AE185" i="4"/>
  <c r="AA179" i="4"/>
  <c r="AC122" i="4"/>
  <c r="T203" i="4"/>
  <c r="Y203" i="4" s="1"/>
  <c r="T205" i="4"/>
  <c r="T193" i="4"/>
  <c r="Y193" i="4" s="1"/>
  <c r="T211" i="4"/>
  <c r="Y211" i="4" s="1"/>
  <c r="N199" i="4"/>
  <c r="X199" i="4" s="1"/>
  <c r="P190" i="4"/>
  <c r="N198" i="4"/>
  <c r="X198" i="4" s="1"/>
  <c r="AB34" i="4"/>
  <c r="AE48" i="4"/>
  <c r="AE56" i="4"/>
  <c r="AC37" i="4"/>
  <c r="AF16" i="4"/>
  <c r="AC24" i="4"/>
  <c r="AE24" i="4"/>
  <c r="AE17" i="4"/>
  <c r="AA37" i="4"/>
  <c r="AE23" i="4"/>
  <c r="AB44" i="4"/>
  <c r="AF33" i="4"/>
  <c r="AC46" i="4"/>
  <c r="AA65" i="4"/>
  <c r="AD65" i="4" s="1"/>
  <c r="AE14" i="4"/>
  <c r="AA188" i="4"/>
  <c r="AD188" i="4" s="1"/>
  <c r="AC160" i="4"/>
  <c r="AC15" i="4"/>
  <c r="AF42" i="4"/>
  <c r="AF53" i="4"/>
  <c r="AF60" i="4"/>
  <c r="AC54" i="4"/>
  <c r="AB12" i="4"/>
  <c r="AE16" i="4"/>
  <c r="AE29" i="4"/>
  <c r="AC41" i="4"/>
  <c r="AA30" i="4"/>
  <c r="AD30" i="4" s="1"/>
  <c r="AE45" i="4"/>
  <c r="AC36" i="4"/>
  <c r="AC52" i="4"/>
  <c r="AC33" i="4"/>
  <c r="AF58" i="4"/>
  <c r="AB41" i="4"/>
  <c r="AC186" i="4"/>
  <c r="AC183" i="4"/>
  <c r="AE172" i="4"/>
  <c r="AE175" i="4"/>
  <c r="AF168" i="4"/>
  <c r="AE189" i="4"/>
  <c r="AF188" i="4"/>
  <c r="AF181" i="4"/>
  <c r="AE177" i="4"/>
  <c r="AF170" i="4"/>
  <c r="AF166" i="4"/>
  <c r="AF162" i="4"/>
  <c r="AE156" i="4"/>
  <c r="AF147" i="4"/>
  <c r="AE142" i="4"/>
  <c r="AC116" i="4"/>
  <c r="AF71" i="4"/>
  <c r="AB32" i="4"/>
  <c r="AA42" i="4"/>
  <c r="AD42" i="4" s="1"/>
  <c r="AC43" i="4"/>
  <c r="AF50" i="4"/>
  <c r="AF54" i="4"/>
  <c r="AB57" i="4"/>
  <c r="AE61" i="4"/>
  <c r="AC40" i="4"/>
  <c r="AF17" i="4"/>
  <c r="AC14" i="4"/>
  <c r="AC26" i="4"/>
  <c r="AB19" i="4"/>
  <c r="AE25" i="4"/>
  <c r="AB31" i="4"/>
  <c r="AF36" i="4"/>
  <c r="AA43" i="4"/>
  <c r="AD43" i="4" s="1"/>
  <c r="AA20" i="4"/>
  <c r="AD20" i="4" s="1"/>
  <c r="AE32" i="4"/>
  <c r="AB39" i="4"/>
  <c r="AA47" i="4"/>
  <c r="AF26" i="4"/>
  <c r="AF38" i="4"/>
  <c r="AF46" i="4"/>
  <c r="AF24" i="4"/>
  <c r="AC29" i="4"/>
  <c r="AF52" i="4"/>
  <c r="AE60" i="4"/>
  <c r="AB66" i="4"/>
  <c r="AA52" i="4"/>
  <c r="AD52" i="4" s="1"/>
  <c r="AC16" i="4"/>
  <c r="AB189" i="4"/>
  <c r="AC188" i="4"/>
  <c r="AE187" i="4"/>
  <c r="AF186" i="4"/>
  <c r="AC182" i="4"/>
  <c r="AC178" i="4"/>
  <c r="AC171" i="4"/>
  <c r="AC167" i="4"/>
  <c r="AE163" i="4"/>
  <c r="AA162" i="4"/>
  <c r="AD162" i="4" s="1"/>
  <c r="AE152" i="4"/>
  <c r="AA66" i="4"/>
  <c r="AE54" i="4"/>
  <c r="AA72" i="4"/>
  <c r="AC121" i="4"/>
  <c r="AB134" i="4"/>
  <c r="AB141" i="4"/>
  <c r="AF155" i="4"/>
  <c r="AC159" i="4"/>
  <c r="AC176" i="4"/>
  <c r="AB177" i="4"/>
  <c r="AA178" i="4"/>
  <c r="AD178" i="4" s="1"/>
  <c r="AC181" i="4"/>
  <c r="AA182" i="4"/>
  <c r="AB183" i="4"/>
  <c r="AF184" i="4"/>
  <c r="AF185" i="4"/>
  <c r="AB186" i="4"/>
  <c r="AC187" i="4"/>
  <c r="AE188" i="4"/>
  <c r="AA189" i="4"/>
  <c r="AF189" i="4"/>
  <c r="AC19" i="4"/>
  <c r="AE15" i="4"/>
  <c r="AC12" i="4"/>
  <c r="H29" i="28" s="1"/>
  <c r="AA46" i="4"/>
  <c r="AC27" i="4"/>
  <c r="AF65" i="4"/>
  <c r="AB62" i="4"/>
  <c r="AC59" i="4"/>
  <c r="AE55" i="4"/>
  <c r="AF51" i="4"/>
  <c r="AA38" i="4"/>
  <c r="AC23" i="4"/>
  <c r="AF25" i="4"/>
  <c r="AE34" i="4"/>
  <c r="AB30" i="4"/>
  <c r="AA22" i="4"/>
  <c r="AD22" i="4" s="1"/>
  <c r="AB49" i="4"/>
  <c r="AF45" i="4"/>
  <c r="AE41" i="4"/>
  <c r="AE37" i="4"/>
  <c r="AE30" i="4"/>
  <c r="AB25" i="4"/>
  <c r="AC49" i="4"/>
  <c r="AB46" i="4"/>
  <c r="AB42" i="4"/>
  <c r="AE38" i="4"/>
  <c r="AE35" i="4"/>
  <c r="AE31" i="4"/>
  <c r="AB27" i="4"/>
  <c r="AE19" i="4"/>
  <c r="I34" i="28" s="1"/>
  <c r="AE44" i="4"/>
  <c r="AC42" i="4"/>
  <c r="AB38" i="4"/>
  <c r="AB36" i="4"/>
  <c r="AE33" i="4"/>
  <c r="AF30" i="4"/>
  <c r="AF27" i="4"/>
  <c r="AA25" i="4"/>
  <c r="AD25" i="4" s="1"/>
  <c r="AC22" i="4"/>
  <c r="AE18" i="4"/>
  <c r="AB28" i="4"/>
  <c r="AC25" i="4"/>
  <c r="AE21" i="4"/>
  <c r="AB13" i="4"/>
  <c r="AA19" i="4"/>
  <c r="AA17" i="4"/>
  <c r="AF14" i="4"/>
  <c r="AA58" i="4"/>
  <c r="AA49" i="4"/>
  <c r="AD49" i="4" s="1"/>
  <c r="AA70" i="4"/>
  <c r="AE106" i="4"/>
  <c r="AC117" i="4"/>
  <c r="AB143" i="4"/>
  <c r="AB146" i="4"/>
  <c r="AC149" i="4"/>
  <c r="AC157" i="4"/>
  <c r="AB161" i="4"/>
  <c r="AC162" i="4"/>
  <c r="AB163" i="4"/>
  <c r="AC164" i="4"/>
  <c r="AA165" i="4"/>
  <c r="AD165" i="4" s="1"/>
  <c r="AC166" i="4"/>
  <c r="AA167" i="4"/>
  <c r="AD167" i="4" s="1"/>
  <c r="AC168" i="4"/>
  <c r="AA169" i="4"/>
  <c r="AD169" i="4" s="1"/>
  <c r="AC170" i="4"/>
  <c r="AA171" i="4"/>
  <c r="AD171" i="4" s="1"/>
  <c r="AB172" i="4"/>
  <c r="AB173" i="4"/>
  <c r="AB174" i="4"/>
  <c r="AF178" i="4"/>
  <c r="AF179" i="4"/>
  <c r="AF183" i="4"/>
  <c r="AC184" i="4"/>
  <c r="AC185" i="4"/>
  <c r="AE186" i="4"/>
  <c r="AA187" i="4"/>
  <c r="AD187" i="4" s="1"/>
  <c r="AF187" i="4"/>
  <c r="AB188" i="4"/>
  <c r="AC189" i="4"/>
  <c r="AB21" i="4"/>
  <c r="F36" i="28" s="1"/>
  <c r="AC17" i="4"/>
  <c r="AA14" i="4"/>
  <c r="AD14" i="4" s="1"/>
  <c r="AB53" i="4"/>
  <c r="AE64" i="4"/>
  <c r="AA61" i="4"/>
  <c r="AD61" i="4" s="1"/>
  <c r="AE57" i="4"/>
  <c r="AE53" i="4"/>
  <c r="AA45" i="4"/>
  <c r="AD45" i="4" s="1"/>
  <c r="AF35" i="4"/>
  <c r="AA32" i="4"/>
  <c r="AD32" i="4" s="1"/>
  <c r="AC38" i="4"/>
  <c r="AF32" i="4"/>
  <c r="AB26" i="4"/>
  <c r="AE51" i="4"/>
  <c r="AF47" i="4"/>
  <c r="AE43" i="4"/>
  <c r="AF39" i="4"/>
  <c r="AA28" i="4"/>
  <c r="AD28" i="4" s="1"/>
  <c r="AC21" i="4"/>
  <c r="H36" i="28" s="1"/>
  <c r="AE47" i="4"/>
  <c r="AC44" i="4"/>
  <c r="AA40" i="4"/>
  <c r="AD40" i="4" s="1"/>
  <c r="AA36" i="4"/>
  <c r="AD36" i="4" s="1"/>
  <c r="AB33" i="4"/>
  <c r="AB29" i="4"/>
  <c r="AE22" i="4"/>
  <c r="AE46" i="4"/>
  <c r="AF43" i="4"/>
  <c r="AF40" i="4"/>
  <c r="AB37" i="4"/>
  <c r="AB35" i="4"/>
  <c r="AF31" i="4"/>
  <c r="AA29" i="4"/>
  <c r="AD29" i="4" s="1"/>
  <c r="AA26" i="4"/>
  <c r="AD26" i="4" s="1"/>
  <c r="AF23" i="4"/>
  <c r="AC20" i="4"/>
  <c r="AA15" i="4"/>
  <c r="AD15" i="4" s="1"/>
  <c r="AA27" i="4"/>
  <c r="AA23" i="4"/>
  <c r="AD23" i="4" s="1"/>
  <c r="AB16" i="4"/>
  <c r="AE20" i="4"/>
  <c r="AA18" i="4"/>
  <c r="AD18" i="4" s="1"/>
  <c r="AA16" i="4"/>
  <c r="AE13" i="4"/>
  <c r="AA53" i="4"/>
  <c r="AA13" i="4"/>
  <c r="AD13" i="4" s="1"/>
  <c r="AB15" i="4"/>
  <c r="AC39" i="4"/>
  <c r="AB45" i="4"/>
  <c r="AE52" i="4"/>
  <c r="AF55" i="4"/>
  <c r="AA59" i="4"/>
  <c r="AD59" i="4" s="1"/>
  <c r="AA63" i="4"/>
  <c r="AC50" i="4"/>
  <c r="AF15" i="4"/>
  <c r="AF19" i="4"/>
  <c r="AB22" i="4"/>
  <c r="AA12" i="4"/>
  <c r="AB23" i="4"/>
  <c r="AG23" i="4" s="1"/>
  <c r="AC28" i="4"/>
  <c r="AF34" i="4"/>
  <c r="AE39" i="4"/>
  <c r="AC45" i="4"/>
  <c r="AE28" i="4"/>
  <c r="AB43" i="4"/>
  <c r="AA50" i="4"/>
  <c r="AA35" i="4"/>
  <c r="AD35" i="4" s="1"/>
  <c r="AE42" i="4"/>
  <c r="AB50" i="4"/>
  <c r="AC31" i="4"/>
  <c r="AC30" i="4"/>
  <c r="AA41" i="4"/>
  <c r="AB56" i="4"/>
  <c r="AC63" i="4"/>
  <c r="AC34" i="4"/>
  <c r="AF13" i="4"/>
  <c r="AB20" i="4"/>
  <c r="AA186" i="4"/>
  <c r="AD186" i="4" s="1"/>
  <c r="AA185" i="4"/>
  <c r="AD185" i="4" s="1"/>
  <c r="AA184" i="4"/>
  <c r="AE180" i="4"/>
  <c r="AF176" i="4"/>
  <c r="AE173" i="4"/>
  <c r="AC169" i="4"/>
  <c r="AC165" i="4"/>
  <c r="AC158" i="4"/>
  <c r="AE144" i="4"/>
  <c r="AE139" i="4"/>
  <c r="AC118" i="4"/>
  <c r="T210" i="4"/>
  <c r="Y210" i="4" s="1"/>
  <c r="T190" i="4"/>
  <c r="Y190" i="4" s="1"/>
  <c r="T201" i="4"/>
  <c r="Y201" i="4" s="1"/>
  <c r="N211" i="4"/>
  <c r="X211" i="4" s="1"/>
  <c r="N208" i="4"/>
  <c r="X208" i="4" s="1"/>
  <c r="P202" i="4"/>
  <c r="T209" i="4"/>
  <c r="Y209" i="4" s="1"/>
  <c r="N196" i="4"/>
  <c r="X196" i="4" s="1"/>
  <c r="N203" i="4"/>
  <c r="X203" i="4" s="1"/>
  <c r="N202" i="4"/>
  <c r="X202" i="4" s="1"/>
  <c r="N206" i="4"/>
  <c r="X206" i="4" s="1"/>
  <c r="N210" i="4"/>
  <c r="X210" i="4" s="1"/>
  <c r="N193" i="4"/>
  <c r="X193" i="4" s="1"/>
  <c r="N213" i="4"/>
  <c r="X213" i="4" s="1"/>
  <c r="T195" i="4"/>
  <c r="Y195" i="4" s="1"/>
  <c r="T192" i="4"/>
  <c r="Y192" i="4" s="1"/>
  <c r="T213" i="4"/>
  <c r="Y213" i="4" s="1"/>
  <c r="T196" i="4"/>
  <c r="Y196" i="4" s="1"/>
  <c r="T191" i="4"/>
  <c r="T194" i="4"/>
  <c r="Y194" i="4" s="1"/>
  <c r="T208" i="4"/>
  <c r="Y208" i="4" s="1"/>
  <c r="T212" i="4"/>
  <c r="Y212" i="4" s="1"/>
  <c r="T199" i="4"/>
  <c r="Y199" i="4" s="1"/>
  <c r="T200" i="4"/>
  <c r="Y200" i="4" s="1"/>
  <c r="T207" i="4"/>
  <c r="T206" i="4"/>
  <c r="Y206" i="4" s="1"/>
  <c r="T202" i="4"/>
  <c r="Y202" i="4" s="1"/>
  <c r="N212" i="4"/>
  <c r="X212" i="4" s="1"/>
  <c r="N201" i="4"/>
  <c r="X201" i="4" s="1"/>
  <c r="N192" i="4"/>
  <c r="X192" i="4" s="1"/>
  <c r="N204" i="4"/>
  <c r="X204" i="4" s="1"/>
  <c r="N197" i="4"/>
  <c r="X197" i="4" s="1"/>
  <c r="N190" i="4"/>
  <c r="X190" i="4" s="1"/>
  <c r="N10" i="4"/>
  <c r="N200" i="4"/>
  <c r="X200" i="4" s="1"/>
  <c r="T204" i="4"/>
  <c r="Y204" i="4" s="1"/>
  <c r="N191" i="4"/>
  <c r="X191" i="4" s="1"/>
  <c r="T198" i="4"/>
  <c r="N209" i="4"/>
  <c r="X209" i="4" s="1"/>
  <c r="T197" i="4"/>
  <c r="Y197" i="4" s="1"/>
  <c r="T10" i="4"/>
  <c r="L37" i="28"/>
  <c r="P191" i="4"/>
  <c r="P192" i="4"/>
  <c r="N194" i="4"/>
  <c r="V207" i="4"/>
  <c r="P204" i="4"/>
  <c r="P197" i="4"/>
  <c r="P205" i="4"/>
  <c r="P208" i="4"/>
  <c r="D117" i="27"/>
  <c r="AB154" i="4"/>
  <c r="AA151" i="4"/>
  <c r="AE85" i="4"/>
  <c r="AB84" i="4"/>
  <c r="AE83" i="4"/>
  <c r="AB82" i="4"/>
  <c r="AA138" i="4"/>
  <c r="AF135" i="4"/>
  <c r="AB100" i="4"/>
  <c r="AE93" i="4"/>
  <c r="AB88" i="4"/>
  <c r="AA159" i="4"/>
  <c r="AF158" i="4"/>
  <c r="AC153" i="4"/>
  <c r="AE148" i="4"/>
  <c r="AA147" i="4"/>
  <c r="AC140" i="4"/>
  <c r="AE128" i="4"/>
  <c r="AC103" i="4"/>
  <c r="AE161" i="4"/>
  <c r="AF160" i="4"/>
  <c r="AA157" i="4"/>
  <c r="AB156" i="4"/>
  <c r="AA155" i="4"/>
  <c r="AF151" i="4"/>
  <c r="AB150" i="4"/>
  <c r="AC145" i="4"/>
  <c r="AF138" i="4"/>
  <c r="AB137" i="4"/>
  <c r="AE136" i="4"/>
  <c r="AA135" i="4"/>
  <c r="AF132" i="4"/>
  <c r="AA131" i="4"/>
  <c r="AF130" i="4"/>
  <c r="AA114" i="4"/>
  <c r="AF113" i="4"/>
  <c r="AA112" i="4"/>
  <c r="AF109" i="4"/>
  <c r="AA97" i="4"/>
  <c r="AD97" i="4" s="1"/>
  <c r="AF96" i="4"/>
  <c r="AB78" i="4"/>
  <c r="D112" i="27"/>
  <c r="D170" i="27"/>
  <c r="D49" i="27"/>
  <c r="AC155" i="4"/>
  <c r="AE154" i="4"/>
  <c r="AF153" i="4"/>
  <c r="AA149" i="4"/>
  <c r="AB148" i="4"/>
  <c r="AC147" i="4"/>
  <c r="AE146" i="4"/>
  <c r="AF145" i="4"/>
  <c r="AB142" i="4"/>
  <c r="AE141" i="4"/>
  <c r="AF140" i="4"/>
  <c r="AB136" i="4"/>
  <c r="AC135" i="4"/>
  <c r="AE134" i="4"/>
  <c r="AC133" i="4"/>
  <c r="AB132" i="4"/>
  <c r="AC131" i="4"/>
  <c r="AE127" i="4"/>
  <c r="AC126" i="4"/>
  <c r="AE125" i="4"/>
  <c r="AC124" i="4"/>
  <c r="AE123" i="4"/>
  <c r="AC115" i="4"/>
  <c r="AF101" i="4"/>
  <c r="AE98" i="4"/>
  <c r="AA76" i="4"/>
  <c r="AE67" i="4"/>
  <c r="AF12" i="4"/>
  <c r="AF63" i="4"/>
  <c r="AA64" i="4"/>
  <c r="AD64" i="4" s="1"/>
  <c r="AA77" i="4"/>
  <c r="AA89" i="4"/>
  <c r="AD89" i="4" s="1"/>
  <c r="AE90" i="4"/>
  <c r="AB91" i="4"/>
  <c r="AF92" i="4"/>
  <c r="AA96" i="4"/>
  <c r="AD96" i="4" s="1"/>
  <c r="AC99" i="4"/>
  <c r="AB104" i="4"/>
  <c r="AF105" i="4"/>
  <c r="AA109" i="4"/>
  <c r="AD109" i="4" s="1"/>
  <c r="AE110" i="4"/>
  <c r="AB111" i="4"/>
  <c r="AF112" i="4"/>
  <c r="AA113" i="4"/>
  <c r="AA119" i="4"/>
  <c r="AA123" i="4"/>
  <c r="AF126" i="4"/>
  <c r="AA127" i="4"/>
  <c r="AA128" i="4"/>
  <c r="AA129" i="4"/>
  <c r="AB131" i="4"/>
  <c r="AF133" i="4"/>
  <c r="AC134" i="4"/>
  <c r="AE135" i="4"/>
  <c r="AA136" i="4"/>
  <c r="AF136" i="4"/>
  <c r="AA137" i="4"/>
  <c r="AF137" i="4"/>
  <c r="AB138" i="4"/>
  <c r="AC139" i="4"/>
  <c r="AE140" i="4"/>
  <c r="AA141" i="4"/>
  <c r="AF141" i="4"/>
  <c r="AA142" i="4"/>
  <c r="AF142" i="4"/>
  <c r="AA143" i="4"/>
  <c r="AF143" i="4"/>
  <c r="AA144" i="4"/>
  <c r="AF144" i="4"/>
  <c r="AB145" i="4"/>
  <c r="AC146" i="4"/>
  <c r="AE147" i="4"/>
  <c r="AA148" i="4"/>
  <c r="AD148" i="4" s="1"/>
  <c r="AF148" i="4"/>
  <c r="AB149" i="4"/>
  <c r="AC150" i="4"/>
  <c r="AE151" i="4"/>
  <c r="AA152" i="4"/>
  <c r="AF152" i="4"/>
  <c r="AB153" i="4"/>
  <c r="AC154" i="4"/>
  <c r="AE155" i="4"/>
  <c r="AA156" i="4"/>
  <c r="AF156" i="4"/>
  <c r="AB157" i="4"/>
  <c r="AB158" i="4"/>
  <c r="AB159" i="4"/>
  <c r="AB160" i="4"/>
  <c r="AC161" i="4"/>
  <c r="AE162" i="4"/>
  <c r="AA163" i="4"/>
  <c r="AF163" i="4"/>
  <c r="AE164" i="4"/>
  <c r="AE165" i="4"/>
  <c r="AE166" i="4"/>
  <c r="AE167" i="4"/>
  <c r="AE168" i="4"/>
  <c r="AE169" i="4"/>
  <c r="AE170" i="4"/>
  <c r="AE171" i="4"/>
  <c r="AC172" i="4"/>
  <c r="AC173" i="4"/>
  <c r="AC174" i="4"/>
  <c r="AC175" i="4"/>
  <c r="AE176" i="4"/>
  <c r="AA177" i="4"/>
  <c r="AF177" i="4"/>
  <c r="AB178" i="4"/>
  <c r="AB179" i="4"/>
  <c r="AC180" i="4"/>
  <c r="AE181" i="4"/>
  <c r="AE182" i="4"/>
  <c r="AE183" i="4"/>
  <c r="AC61" i="4"/>
  <c r="AA69" i="4"/>
  <c r="AA73" i="4"/>
  <c r="AF74" i="4"/>
  <c r="AA75" i="4"/>
  <c r="AC79" i="4"/>
  <c r="AC81" i="4"/>
  <c r="AC86" i="4"/>
  <c r="AC87" i="4"/>
  <c r="AC94" i="4"/>
  <c r="AF97" i="4"/>
  <c r="AA101" i="4"/>
  <c r="AE102" i="4"/>
  <c r="AC107" i="4"/>
  <c r="AE114" i="4"/>
  <c r="AF115" i="4"/>
  <c r="AF120" i="4"/>
  <c r="AF124" i="4"/>
  <c r="AA125" i="4"/>
  <c r="AB130" i="4"/>
  <c r="AC132" i="4"/>
  <c r="AB133" i="4"/>
  <c r="AF134" i="4"/>
  <c r="AB135" i="4"/>
  <c r="AC136" i="4"/>
  <c r="AC137" i="4"/>
  <c r="AE138" i="4"/>
  <c r="AA139" i="4"/>
  <c r="AF139" i="4"/>
  <c r="AB140" i="4"/>
  <c r="AC141" i="4"/>
  <c r="AC142" i="4"/>
  <c r="AC143" i="4"/>
  <c r="AC144" i="4"/>
  <c r="AE145" i="4"/>
  <c r="AA146" i="4"/>
  <c r="AF146" i="4"/>
  <c r="AB147" i="4"/>
  <c r="AC148" i="4"/>
  <c r="AE149" i="4"/>
  <c r="AA150" i="4"/>
  <c r="AF150" i="4"/>
  <c r="AB151" i="4"/>
  <c r="AC152" i="4"/>
  <c r="AE153" i="4"/>
  <c r="AA154" i="4"/>
  <c r="AF154" i="4"/>
  <c r="AB155" i="4"/>
  <c r="AC156" i="4"/>
  <c r="AE157" i="4"/>
  <c r="AE158" i="4"/>
  <c r="AE159" i="4"/>
  <c r="AE160" i="4"/>
  <c r="AA161" i="4"/>
  <c r="AF161" i="4"/>
  <c r="AB162" i="4"/>
  <c r="AC163" i="4"/>
  <c r="AB164" i="4"/>
  <c r="AB165" i="4"/>
  <c r="AB166" i="4"/>
  <c r="AB167" i="4"/>
  <c r="AB168" i="4"/>
  <c r="AB169" i="4"/>
  <c r="AB170" i="4"/>
  <c r="AB171" i="4"/>
  <c r="AA172" i="4"/>
  <c r="AF172" i="4"/>
  <c r="AA173" i="4"/>
  <c r="AF173" i="4"/>
  <c r="AA174" i="4"/>
  <c r="AF174" i="4"/>
  <c r="AA175" i="4"/>
  <c r="AD175" i="4" s="1"/>
  <c r="AF175" i="4"/>
  <c r="AB176" i="4"/>
  <c r="AC177" i="4"/>
  <c r="AE178" i="4"/>
  <c r="AE179" i="4"/>
  <c r="AA180" i="4"/>
  <c r="AF180" i="4"/>
  <c r="AB181" i="4"/>
  <c r="AB182" i="4"/>
  <c r="AB185" i="4"/>
  <c r="AB184" i="4"/>
  <c r="AA183" i="4"/>
  <c r="AF182" i="4"/>
  <c r="AA181" i="4"/>
  <c r="AB180" i="4"/>
  <c r="AC179" i="4"/>
  <c r="AA176" i="4"/>
  <c r="AB175" i="4"/>
  <c r="AE174" i="4"/>
  <c r="AF171" i="4"/>
  <c r="AA170" i="4"/>
  <c r="AF169" i="4"/>
  <c r="AA168" i="4"/>
  <c r="AD168" i="4" s="1"/>
  <c r="AF167" i="4"/>
  <c r="AA166" i="4"/>
  <c r="AD166" i="4" s="1"/>
  <c r="AF165" i="4"/>
  <c r="AA164" i="4"/>
  <c r="AA160" i="4"/>
  <c r="AF159" i="4"/>
  <c r="AA158" i="4"/>
  <c r="AD158" i="4" s="1"/>
  <c r="AF157" i="4"/>
  <c r="AA153" i="4"/>
  <c r="AD153" i="4" s="1"/>
  <c r="AB152" i="4"/>
  <c r="AC151" i="4"/>
  <c r="AE150" i="4"/>
  <c r="AF149" i="4"/>
  <c r="AA145" i="4"/>
  <c r="AB144" i="4"/>
  <c r="AE143" i="4"/>
  <c r="AA140" i="4"/>
  <c r="AD140" i="4" s="1"/>
  <c r="AB139" i="4"/>
  <c r="AC138" i="4"/>
  <c r="AE137" i="4"/>
  <c r="AA130" i="4"/>
  <c r="AC129" i="4"/>
  <c r="AB120" i="4"/>
  <c r="AC119" i="4"/>
  <c r="AB108" i="4"/>
  <c r="AA105" i="4"/>
  <c r="AB95" i="4"/>
  <c r="AA92" i="4"/>
  <c r="AF89" i="4"/>
  <c r="AC80" i="4"/>
  <c r="AF129" i="4"/>
  <c r="AB128" i="4"/>
  <c r="AF127" i="4"/>
  <c r="AE126" i="4"/>
  <c r="AC125" i="4"/>
  <c r="AA124" i="4"/>
  <c r="AF123" i="4"/>
  <c r="AB122" i="4"/>
  <c r="AE121" i="4"/>
  <c r="AA120" i="4"/>
  <c r="AF119" i="4"/>
  <c r="AE118" i="4"/>
  <c r="AB117" i="4"/>
  <c r="AE116" i="4"/>
  <c r="AE115" i="4"/>
  <c r="AC113" i="4"/>
  <c r="AB110" i="4"/>
  <c r="AC109" i="4"/>
  <c r="AE108" i="4"/>
  <c r="AF107" i="4"/>
  <c r="AA103" i="4"/>
  <c r="AB102" i="4"/>
  <c r="AC101" i="4"/>
  <c r="AE100" i="4"/>
  <c r="AF99" i="4"/>
  <c r="AC96" i="4"/>
  <c r="AE95" i="4"/>
  <c r="AF94" i="4"/>
  <c r="AB90" i="4"/>
  <c r="AC89" i="4"/>
  <c r="AE88" i="4"/>
  <c r="AF87" i="4"/>
  <c r="AA86" i="4"/>
  <c r="AB83" i="4"/>
  <c r="AE82" i="4"/>
  <c r="AF81" i="4"/>
  <c r="AB74" i="4"/>
  <c r="AE73" i="4"/>
  <c r="AE72" i="4"/>
  <c r="AC69" i="4"/>
  <c r="AC68" i="4"/>
  <c r="AA134" i="4"/>
  <c r="AE133" i="4"/>
  <c r="AA132" i="4"/>
  <c r="AF131" i="4"/>
  <c r="AC130" i="4"/>
  <c r="AB129" i="4"/>
  <c r="AF128" i="4"/>
  <c r="AC127" i="4"/>
  <c r="AA126" i="4"/>
  <c r="AD126" i="4" s="1"/>
  <c r="AF125" i="4"/>
  <c r="AE124" i="4"/>
  <c r="AC123" i="4"/>
  <c r="AE122" i="4"/>
  <c r="AB121" i="4"/>
  <c r="AC120" i="4"/>
  <c r="AB119" i="4"/>
  <c r="AB118" i="4"/>
  <c r="AE117" i="4"/>
  <c r="AB116" i="4"/>
  <c r="AA115" i="4"/>
  <c r="AC114" i="4"/>
  <c r="AC112" i="4"/>
  <c r="AE111" i="4"/>
  <c r="AA107" i="4"/>
  <c r="AD107" i="4" s="1"/>
  <c r="AB106" i="4"/>
  <c r="AC105" i="4"/>
  <c r="AE104" i="4"/>
  <c r="AF103" i="4"/>
  <c r="AA99" i="4"/>
  <c r="AB98" i="4"/>
  <c r="AC97" i="4"/>
  <c r="AA94" i="4"/>
  <c r="AB93" i="4"/>
  <c r="AC92" i="4"/>
  <c r="AE91" i="4"/>
  <c r="AA87" i="4"/>
  <c r="AF86" i="4"/>
  <c r="AB85" i="4"/>
  <c r="AE84" i="4"/>
  <c r="AA81" i="4"/>
  <c r="AF79" i="4"/>
  <c r="AE78" i="4"/>
  <c r="AC77" i="4"/>
  <c r="AE76" i="4"/>
  <c r="AE75" i="4"/>
  <c r="AB71" i="4"/>
  <c r="AE70" i="4"/>
  <c r="AB65" i="4"/>
  <c r="AA60" i="4"/>
  <c r="AE113" i="4"/>
  <c r="AE112" i="4"/>
  <c r="AC111" i="4"/>
  <c r="AC110" i="4"/>
  <c r="AB109" i="4"/>
  <c r="AF108" i="4"/>
  <c r="AA108" i="4"/>
  <c r="AE107" i="4"/>
  <c r="AC106" i="4"/>
  <c r="AB105" i="4"/>
  <c r="AF104" i="4"/>
  <c r="AA104" i="4"/>
  <c r="AE103" i="4"/>
  <c r="AC102" i="4"/>
  <c r="AB101" i="4"/>
  <c r="AF100" i="4"/>
  <c r="AA100" i="4"/>
  <c r="AE99" i="4"/>
  <c r="AC98" i="4"/>
  <c r="AB97" i="4"/>
  <c r="AB96" i="4"/>
  <c r="AF95" i="4"/>
  <c r="AA95" i="4"/>
  <c r="AE94" i="4"/>
  <c r="AC93" i="4"/>
  <c r="AB92" i="4"/>
  <c r="AF91" i="4"/>
  <c r="AA91" i="4"/>
  <c r="AF90" i="4"/>
  <c r="AA90" i="4"/>
  <c r="AE89" i="4"/>
  <c r="AC88" i="4"/>
  <c r="AB87" i="4"/>
  <c r="AB86" i="4"/>
  <c r="AC85" i="4"/>
  <c r="AC84" i="4"/>
  <c r="AC83" i="4"/>
  <c r="AC82" i="4"/>
  <c r="AB81" i="4"/>
  <c r="AB80" i="4"/>
  <c r="AE79" i="4"/>
  <c r="AB77" i="4"/>
  <c r="AF76" i="4"/>
  <c r="AB75" i="4"/>
  <c r="AA74" i="4"/>
  <c r="AF73" i="4"/>
  <c r="AB72" i="4"/>
  <c r="AA71" i="4"/>
  <c r="AF70" i="4"/>
  <c r="AF69" i="4"/>
  <c r="AA68" i="4"/>
  <c r="AB67" i="4"/>
  <c r="AE66" i="4"/>
  <c r="AE65" i="4"/>
  <c r="AC64" i="4"/>
  <c r="AC60" i="4"/>
  <c r="AB59" i="4"/>
  <c r="AA133" i="4"/>
  <c r="AE132" i="4"/>
  <c r="AE131" i="4"/>
  <c r="AE130" i="4"/>
  <c r="AE129" i="4"/>
  <c r="AC128" i="4"/>
  <c r="AB127" i="4"/>
  <c r="AB126" i="4"/>
  <c r="AB125" i="4"/>
  <c r="AB124" i="4"/>
  <c r="AB123" i="4"/>
  <c r="AF122" i="4"/>
  <c r="AA122" i="4"/>
  <c r="AF121" i="4"/>
  <c r="AA121" i="4"/>
  <c r="AE120" i="4"/>
  <c r="AE119" i="4"/>
  <c r="AF118" i="4"/>
  <c r="AA118" i="4"/>
  <c r="AF117" i="4"/>
  <c r="AA117" i="4"/>
  <c r="AF116" i="4"/>
  <c r="AA116" i="4"/>
  <c r="AB115" i="4"/>
  <c r="AF114" i="4"/>
  <c r="AB114" i="4"/>
  <c r="AB113" i="4"/>
  <c r="AB112" i="4"/>
  <c r="AF111" i="4"/>
  <c r="AA111" i="4"/>
  <c r="AF110" i="4"/>
  <c r="AA110" i="4"/>
  <c r="AE109" i="4"/>
  <c r="AC108" i="4"/>
  <c r="AB107" i="4"/>
  <c r="AF106" i="4"/>
  <c r="AA106" i="4"/>
  <c r="AE105" i="4"/>
  <c r="AC104" i="4"/>
  <c r="AB103" i="4"/>
  <c r="AF102" i="4"/>
  <c r="AA102" i="4"/>
  <c r="AE101" i="4"/>
  <c r="AC100" i="4"/>
  <c r="AB99" i="4"/>
  <c r="AF98" i="4"/>
  <c r="AA98" i="4"/>
  <c r="AE97" i="4"/>
  <c r="AE96" i="4"/>
  <c r="AC95" i="4"/>
  <c r="AB94" i="4"/>
  <c r="AF93" i="4"/>
  <c r="AA93" i="4"/>
  <c r="AE92" i="4"/>
  <c r="AC91" i="4"/>
  <c r="AC90" i="4"/>
  <c r="AB89" i="4"/>
  <c r="AF88" i="4"/>
  <c r="AA88" i="4"/>
  <c r="AE87" i="4"/>
  <c r="AE86" i="4"/>
  <c r="AF85" i="4"/>
  <c r="AA85" i="4"/>
  <c r="AF84" i="4"/>
  <c r="AA84" i="4"/>
  <c r="AF83" i="4"/>
  <c r="AA83" i="4"/>
  <c r="AF82" i="4"/>
  <c r="AA82" i="4"/>
  <c r="AE81" i="4"/>
  <c r="AE80" i="4"/>
  <c r="AA79" i="4"/>
  <c r="AC78" i="4"/>
  <c r="AF77" i="4"/>
  <c r="AB76" i="4"/>
  <c r="AF75" i="4"/>
  <c r="AE74" i="4"/>
  <c r="AB73" i="4"/>
  <c r="AF72" i="4"/>
  <c r="AE71" i="4"/>
  <c r="AB70" i="4"/>
  <c r="AB69" i="4"/>
  <c r="AF68" i="4"/>
  <c r="AB63" i="4"/>
  <c r="AE62" i="4"/>
  <c r="V196" i="4"/>
  <c r="V195" i="4"/>
  <c r="V209" i="4"/>
  <c r="V201" i="4"/>
  <c r="V203" i="4"/>
  <c r="V205" i="4"/>
  <c r="V212" i="4"/>
  <c r="V202" i="4"/>
  <c r="V198" i="4"/>
  <c r="P200" i="4"/>
  <c r="P10" i="4"/>
  <c r="P203" i="4"/>
  <c r="P198" i="4"/>
  <c r="P207" i="4"/>
  <c r="P212" i="4"/>
  <c r="P201" i="4"/>
  <c r="P196" i="4"/>
  <c r="P210" i="4"/>
  <c r="P193" i="4"/>
  <c r="AF80" i="4"/>
  <c r="AA80" i="4"/>
  <c r="AB79" i="4"/>
  <c r="AF78" i="4"/>
  <c r="AA78" i="4"/>
  <c r="AE77" i="4"/>
  <c r="AC76" i="4"/>
  <c r="AC75" i="4"/>
  <c r="AC74" i="4"/>
  <c r="AC73" i="4"/>
  <c r="AC72" i="4"/>
  <c r="AC71" i="4"/>
  <c r="AC70" i="4"/>
  <c r="AE69" i="4"/>
  <c r="AE68" i="4"/>
  <c r="AC67" i="4"/>
  <c r="AC66" i="4"/>
  <c r="AB64" i="4"/>
  <c r="AF62" i="4"/>
  <c r="AE59" i="4"/>
  <c r="AA54" i="4"/>
  <c r="AA48" i="4"/>
  <c r="AB68" i="4"/>
  <c r="AF67" i="4"/>
  <c r="AA67" i="4"/>
  <c r="AF66" i="4"/>
  <c r="AC65" i="4"/>
  <c r="AF64" i="4"/>
  <c r="AE63" i="4"/>
  <c r="AA62" i="4"/>
  <c r="AB60" i="4"/>
  <c r="AC58" i="4"/>
  <c r="AA57" i="4"/>
  <c r="AF56" i="4"/>
  <c r="AE50" i="4"/>
  <c r="D151" i="27"/>
  <c r="D58" i="27"/>
  <c r="D30" i="27"/>
  <c r="V191" i="4"/>
  <c r="V204" i="4"/>
  <c r="V213" i="4"/>
  <c r="V210" i="4"/>
  <c r="V194" i="4"/>
  <c r="V190" i="4"/>
  <c r="V200" i="4"/>
  <c r="V197" i="4"/>
  <c r="V208" i="4"/>
  <c r="P195" i="4"/>
  <c r="P209" i="4"/>
  <c r="P213" i="4"/>
  <c r="D81" i="27"/>
  <c r="D12" i="27"/>
  <c r="P194" i="4"/>
  <c r="AA56" i="4"/>
  <c r="AB55" i="4"/>
  <c r="AB51" i="4"/>
  <c r="AA21" i="4"/>
  <c r="AA33" i="4"/>
  <c r="AB61" i="4"/>
  <c r="AF59" i="4"/>
  <c r="AE58" i="4"/>
  <c r="AC57" i="4"/>
  <c r="AC56" i="4"/>
  <c r="AC55" i="4"/>
  <c r="AB52" i="4"/>
  <c r="AC51" i="4"/>
  <c r="AF49" i="4"/>
  <c r="AF20" i="4"/>
  <c r="AE12" i="4"/>
  <c r="AE49" i="4"/>
  <c r="AA39" i="4"/>
  <c r="AB48" i="4"/>
  <c r="AB47" i="4"/>
  <c r="AB40" i="4"/>
  <c r="AA31" i="4"/>
  <c r="AB17" i="4"/>
  <c r="F171" i="28" l="1"/>
  <c r="I41" i="28"/>
  <c r="L95" i="28"/>
  <c r="L38" i="28"/>
  <c r="L100" i="28"/>
  <c r="H146" i="28"/>
  <c r="L125" i="28"/>
  <c r="E42" i="28"/>
  <c r="L49" i="28"/>
  <c r="I37" i="28"/>
  <c r="I47" i="28"/>
  <c r="F46" i="28"/>
  <c r="H48" i="28"/>
  <c r="H102" i="28"/>
  <c r="F101" i="28"/>
  <c r="F129" i="28"/>
  <c r="I99" i="28"/>
  <c r="L146" i="28"/>
  <c r="H131" i="28"/>
  <c r="H174" i="28"/>
  <c r="I167" i="28"/>
  <c r="H115" i="28"/>
  <c r="H168" i="28"/>
  <c r="I88" i="28"/>
  <c r="I171" i="28"/>
  <c r="H172" i="28"/>
  <c r="F163" i="28"/>
  <c r="H145" i="28"/>
  <c r="I110" i="28"/>
  <c r="F59" i="28"/>
  <c r="L124" i="28"/>
  <c r="H107" i="28"/>
  <c r="H95" i="28"/>
  <c r="E107" i="28"/>
  <c r="F109" i="28"/>
  <c r="E146" i="28"/>
  <c r="I162" i="28"/>
  <c r="F130" i="28"/>
  <c r="I120" i="28"/>
  <c r="I107" i="28"/>
  <c r="I156" i="28"/>
  <c r="I132" i="28"/>
  <c r="H110" i="28"/>
  <c r="E64" i="28"/>
  <c r="AH55" i="4"/>
  <c r="H76" i="28"/>
  <c r="H113" i="28"/>
  <c r="L85" i="28"/>
  <c r="H132" i="28"/>
  <c r="H123" i="28"/>
  <c r="H126" i="28"/>
  <c r="H171" i="28"/>
  <c r="L119" i="28"/>
  <c r="I170" i="28"/>
  <c r="L107" i="28"/>
  <c r="H180" i="28"/>
  <c r="H65" i="28"/>
  <c r="H82" i="28"/>
  <c r="L163" i="28"/>
  <c r="H116" i="28"/>
  <c r="H127" i="28"/>
  <c r="E180" i="28"/>
  <c r="H176" i="28"/>
  <c r="L64" i="28"/>
  <c r="H122" i="28"/>
  <c r="E36" i="28"/>
  <c r="G36" i="28" s="1"/>
  <c r="Z194" i="4"/>
  <c r="H38" i="28"/>
  <c r="F157" i="28"/>
  <c r="F120" i="28"/>
  <c r="I72" i="28"/>
  <c r="H169" i="28"/>
  <c r="H167" i="28"/>
  <c r="H32" i="28"/>
  <c r="L178" i="28"/>
  <c r="F74" i="28"/>
  <c r="F68" i="28"/>
  <c r="L87" i="28"/>
  <c r="H64" i="28"/>
  <c r="I93" i="28"/>
  <c r="L102" i="28"/>
  <c r="L101" i="28"/>
  <c r="F62" i="28"/>
  <c r="L172" i="28"/>
  <c r="L149" i="28"/>
  <c r="L174" i="28"/>
  <c r="L131" i="28"/>
  <c r="H106" i="28"/>
  <c r="L122" i="28"/>
  <c r="I126" i="28"/>
  <c r="L138" i="28"/>
  <c r="H124" i="28"/>
  <c r="H101" i="28"/>
  <c r="I129" i="28"/>
  <c r="L156" i="28"/>
  <c r="L160" i="28"/>
  <c r="H37" i="28"/>
  <c r="H162" i="28"/>
  <c r="I49" i="28"/>
  <c r="L177" i="28"/>
  <c r="H141" i="28"/>
  <c r="I54" i="28"/>
  <c r="F58" i="28"/>
  <c r="I144" i="28"/>
  <c r="I148" i="28"/>
  <c r="I173" i="28"/>
  <c r="E135" i="28"/>
  <c r="I44" i="28"/>
  <c r="I104" i="28"/>
  <c r="H104" i="28"/>
  <c r="L34" i="28"/>
  <c r="M34" i="28" s="1"/>
  <c r="F97" i="28"/>
  <c r="H35" i="28"/>
  <c r="L114" i="28"/>
  <c r="L167" i="28"/>
  <c r="F118" i="28"/>
  <c r="L115" i="28"/>
  <c r="L134" i="28"/>
  <c r="F155" i="28"/>
  <c r="F146" i="28"/>
  <c r="L35" i="28"/>
  <c r="F51" i="28"/>
  <c r="E56" i="28"/>
  <c r="H61" i="28"/>
  <c r="F122" i="28"/>
  <c r="E34" i="28"/>
  <c r="J34" i="28" s="1"/>
  <c r="F104" i="28"/>
  <c r="L98" i="28"/>
  <c r="F41" i="28"/>
  <c r="I112" i="28"/>
  <c r="L43" i="28"/>
  <c r="H98" i="28"/>
  <c r="H34" i="28"/>
  <c r="H158" i="28"/>
  <c r="F134" i="28"/>
  <c r="O218" i="4"/>
  <c r="I133" i="28"/>
  <c r="H163" i="28"/>
  <c r="L46" i="28"/>
  <c r="F38" i="28"/>
  <c r="L33" i="28"/>
  <c r="L147" i="28"/>
  <c r="L162" i="28"/>
  <c r="I177" i="28"/>
  <c r="I111" i="28"/>
  <c r="L72" i="28"/>
  <c r="H46" i="28"/>
  <c r="E178" i="28"/>
  <c r="L97" i="28"/>
  <c r="F136" i="28"/>
  <c r="F158" i="28"/>
  <c r="M217" i="4"/>
  <c r="I33" i="28"/>
  <c r="I57" i="28"/>
  <c r="I82" i="28"/>
  <c r="H170" i="28"/>
  <c r="I176" i="28"/>
  <c r="H157" i="28"/>
  <c r="L176" i="28"/>
  <c r="I143" i="28"/>
  <c r="L139" i="28"/>
  <c r="H129" i="28"/>
  <c r="H83" i="28"/>
  <c r="H177" i="28"/>
  <c r="I127" i="28"/>
  <c r="H173" i="28"/>
  <c r="L116" i="28"/>
  <c r="L29" i="28"/>
  <c r="L99" i="28"/>
  <c r="L170" i="28"/>
  <c r="I123" i="28"/>
  <c r="H136" i="28"/>
  <c r="H112" i="28"/>
  <c r="H45" i="28"/>
  <c r="L56" i="28"/>
  <c r="E97" i="28"/>
  <c r="L168" i="28"/>
  <c r="F31" i="28"/>
  <c r="H41" i="28"/>
  <c r="I181" i="28"/>
  <c r="H165" i="28"/>
  <c r="I179" i="28"/>
  <c r="F154" i="28"/>
  <c r="H148" i="28"/>
  <c r="I32" i="28"/>
  <c r="L112" i="28"/>
  <c r="M112" i="28" s="1"/>
  <c r="H44" i="28"/>
  <c r="I114" i="28"/>
  <c r="L165" i="28"/>
  <c r="E76" i="28"/>
  <c r="L179" i="28"/>
  <c r="H97" i="28"/>
  <c r="I115" i="28"/>
  <c r="F114" i="28"/>
  <c r="F80" i="28"/>
  <c r="I121" i="28"/>
  <c r="L150" i="28"/>
  <c r="L159" i="28"/>
  <c r="I154" i="28"/>
  <c r="L54" i="28"/>
  <c r="N159" i="28"/>
  <c r="L118" i="28"/>
  <c r="I166" i="28"/>
  <c r="H178" i="28"/>
  <c r="I98" i="28"/>
  <c r="L104" i="28"/>
  <c r="H69" i="28"/>
  <c r="V193" i="4"/>
  <c r="V192" i="4"/>
  <c r="F44" i="28"/>
  <c r="F42" i="28"/>
  <c r="L48" i="28"/>
  <c r="L96" i="28"/>
  <c r="L154" i="28"/>
  <c r="I124" i="28"/>
  <c r="F116" i="28"/>
  <c r="L113" i="28"/>
  <c r="L164" i="28"/>
  <c r="I155" i="28"/>
  <c r="I178" i="28"/>
  <c r="H156" i="28"/>
  <c r="L41" i="28"/>
  <c r="M41" i="28" s="1"/>
  <c r="I45" i="28"/>
  <c r="I97" i="28"/>
  <c r="E38" i="28"/>
  <c r="L180" i="28"/>
  <c r="L39" i="28"/>
  <c r="E105" i="28"/>
  <c r="L110" i="28"/>
  <c r="O222" i="4"/>
  <c r="L94" i="28"/>
  <c r="I73" i="28"/>
  <c r="E139" i="28"/>
  <c r="H117" i="28"/>
  <c r="L30" i="28"/>
  <c r="L171" i="28"/>
  <c r="L103" i="28"/>
  <c r="F141" i="28"/>
  <c r="F39" i="28"/>
  <c r="H73" i="28"/>
  <c r="L105" i="28"/>
  <c r="E109" i="28"/>
  <c r="L62" i="28"/>
  <c r="H75" i="28"/>
  <c r="E73" i="28"/>
  <c r="I101" i="28"/>
  <c r="H105" i="28"/>
  <c r="F108" i="28"/>
  <c r="F87" i="28"/>
  <c r="F95" i="28"/>
  <c r="H103" i="28"/>
  <c r="H99" i="28"/>
  <c r="F107" i="28"/>
  <c r="L130" i="28"/>
  <c r="L175" i="28"/>
  <c r="H161" i="28"/>
  <c r="E134" i="28"/>
  <c r="H133" i="28"/>
  <c r="I138" i="28"/>
  <c r="L173" i="28"/>
  <c r="I100" i="28"/>
  <c r="M100" i="28" s="1"/>
  <c r="H125" i="28"/>
  <c r="H155" i="28"/>
  <c r="F124" i="28"/>
  <c r="L117" i="28"/>
  <c r="I164" i="28"/>
  <c r="M222" i="4"/>
  <c r="I139" i="28"/>
  <c r="L108" i="28"/>
  <c r="I116" i="28"/>
  <c r="F131" i="28"/>
  <c r="F84" i="28"/>
  <c r="F165" i="28"/>
  <c r="H33" i="28"/>
  <c r="H120" i="28"/>
  <c r="I46" i="28"/>
  <c r="L161" i="28"/>
  <c r="H152" i="28"/>
  <c r="E161" i="28"/>
  <c r="L32" i="28"/>
  <c r="H100" i="28"/>
  <c r="L106" i="28"/>
  <c r="H94" i="28"/>
  <c r="L157" i="28"/>
  <c r="L120" i="28"/>
  <c r="E78" i="28"/>
  <c r="Z207" i="4"/>
  <c r="H114" i="28"/>
  <c r="I38" i="28"/>
  <c r="E29" i="28"/>
  <c r="H50" i="28"/>
  <c r="E98" i="28"/>
  <c r="F178" i="28"/>
  <c r="I80" i="28"/>
  <c r="E69" i="28"/>
  <c r="L76" i="28"/>
  <c r="E48" i="28"/>
  <c r="L67" i="28"/>
  <c r="E87" i="28"/>
  <c r="E92" i="28"/>
  <c r="H79" i="28"/>
  <c r="L109" i="28"/>
  <c r="H86" i="28"/>
  <c r="H92" i="28"/>
  <c r="I94" i="28"/>
  <c r="L73" i="28"/>
  <c r="I106" i="28"/>
  <c r="H109" i="28"/>
  <c r="I71" i="28"/>
  <c r="L81" i="28"/>
  <c r="L88" i="28"/>
  <c r="F105" i="28"/>
  <c r="G105" i="28" s="1"/>
  <c r="F85" i="28"/>
  <c r="F100" i="28"/>
  <c r="I122" i="28"/>
  <c r="I131" i="28"/>
  <c r="L142" i="28"/>
  <c r="F135" i="28"/>
  <c r="E155" i="28"/>
  <c r="F150" i="28"/>
  <c r="H128" i="28"/>
  <c r="H121" i="28"/>
  <c r="I134" i="28"/>
  <c r="H139" i="28"/>
  <c r="L123" i="28"/>
  <c r="L121" i="28"/>
  <c r="I109" i="28"/>
  <c r="H96" i="28"/>
  <c r="I62" i="28"/>
  <c r="I95" i="28"/>
  <c r="H30" i="28"/>
  <c r="H164" i="28"/>
  <c r="H140" i="28"/>
  <c r="F180" i="28"/>
  <c r="F117" i="28"/>
  <c r="L132" i="28"/>
  <c r="L145" i="28"/>
  <c r="H119" i="28"/>
  <c r="F73" i="28"/>
  <c r="I85" i="28"/>
  <c r="F139" i="28"/>
  <c r="I125" i="28"/>
  <c r="F35" i="28"/>
  <c r="L136" i="28"/>
  <c r="F37" i="28"/>
  <c r="I35" i="28"/>
  <c r="F111" i="28"/>
  <c r="H166" i="28"/>
  <c r="L158" i="28"/>
  <c r="H135" i="28"/>
  <c r="F176" i="28"/>
  <c r="F126" i="28"/>
  <c r="E166" i="28"/>
  <c r="H43" i="28"/>
  <c r="F43" i="28"/>
  <c r="I136" i="28"/>
  <c r="L51" i="28"/>
  <c r="I159" i="28"/>
  <c r="L135" i="28"/>
  <c r="N160" i="28"/>
  <c r="H160" i="28"/>
  <c r="H159" i="28"/>
  <c r="L40" i="28"/>
  <c r="H39" i="28"/>
  <c r="I157" i="28"/>
  <c r="H179" i="28"/>
  <c r="H42" i="28"/>
  <c r="I168" i="28"/>
  <c r="H40" i="28"/>
  <c r="L42" i="28"/>
  <c r="I39" i="28"/>
  <c r="I169" i="28"/>
  <c r="F32" i="28"/>
  <c r="H137" i="28"/>
  <c r="H130" i="28"/>
  <c r="I105" i="28"/>
  <c r="I36" i="28"/>
  <c r="I118" i="28"/>
  <c r="H49" i="28"/>
  <c r="I42" i="28"/>
  <c r="J42" i="28" s="1"/>
  <c r="F112" i="28"/>
  <c r="E41" i="28"/>
  <c r="J41" i="28" s="1"/>
  <c r="E165" i="28"/>
  <c r="L137" i="28"/>
  <c r="I158" i="28"/>
  <c r="H111" i="28"/>
  <c r="L169" i="28"/>
  <c r="L166" i="28"/>
  <c r="L127" i="28"/>
  <c r="I165" i="28"/>
  <c r="H134" i="28"/>
  <c r="H118" i="28"/>
  <c r="F29" i="28"/>
  <c r="L44" i="28"/>
  <c r="I40" i="28"/>
  <c r="I137" i="28"/>
  <c r="I135" i="28"/>
  <c r="E136" i="28"/>
  <c r="L111" i="28"/>
  <c r="L143" i="28"/>
  <c r="I91" i="28"/>
  <c r="H54" i="28"/>
  <c r="F64" i="28"/>
  <c r="L133" i="28"/>
  <c r="L141" i="28"/>
  <c r="I146" i="28"/>
  <c r="L47" i="28"/>
  <c r="M47" i="28" s="1"/>
  <c r="F47" i="28"/>
  <c r="H53" i="28"/>
  <c r="F81" i="28"/>
  <c r="L57" i="28"/>
  <c r="L90" i="28"/>
  <c r="H68" i="28"/>
  <c r="L84" i="28"/>
  <c r="L86" i="28"/>
  <c r="I89" i="28"/>
  <c r="H62" i="28"/>
  <c r="L61" i="28"/>
  <c r="H85" i="28"/>
  <c r="F66" i="28"/>
  <c r="I180" i="28"/>
  <c r="H63" i="28"/>
  <c r="I84" i="28"/>
  <c r="I92" i="28"/>
  <c r="I64" i="28"/>
  <c r="L93" i="28"/>
  <c r="L151" i="28"/>
  <c r="L155" i="28"/>
  <c r="H89" i="28"/>
  <c r="H55" i="28"/>
  <c r="F143" i="28"/>
  <c r="I140" i="28"/>
  <c r="F79" i="28"/>
  <c r="H138" i="28"/>
  <c r="I87" i="28"/>
  <c r="H149" i="28"/>
  <c r="F90" i="28"/>
  <c r="F50" i="28"/>
  <c r="E58" i="28"/>
  <c r="L31" i="28"/>
  <c r="H153" i="28"/>
  <c r="H150" i="28"/>
  <c r="H147" i="28"/>
  <c r="E61" i="28"/>
  <c r="F33" i="28"/>
  <c r="L53" i="28"/>
  <c r="L140" i="28"/>
  <c r="E67" i="28"/>
  <c r="E47" i="28"/>
  <c r="I141" i="28"/>
  <c r="L152" i="28"/>
  <c r="N53" i="28"/>
  <c r="I48" i="28"/>
  <c r="L148" i="28"/>
  <c r="E90" i="28"/>
  <c r="H66" i="28"/>
  <c r="I83" i="28"/>
  <c r="F70" i="28"/>
  <c r="F145" i="28"/>
  <c r="F138" i="28"/>
  <c r="H93" i="28"/>
  <c r="H154" i="28"/>
  <c r="E54" i="28"/>
  <c r="H151" i="28"/>
  <c r="F54" i="28"/>
  <c r="H67" i="28"/>
  <c r="I69" i="28"/>
  <c r="I70" i="28"/>
  <c r="L68" i="28"/>
  <c r="H84" i="28"/>
  <c r="I86" i="28"/>
  <c r="H74" i="28"/>
  <c r="L89" i="28"/>
  <c r="F128" i="28"/>
  <c r="L144" i="28"/>
  <c r="F152" i="28"/>
  <c r="I142" i="28"/>
  <c r="I153" i="28"/>
  <c r="I150" i="28"/>
  <c r="E133" i="28"/>
  <c r="F144" i="28"/>
  <c r="L128" i="28"/>
  <c r="L63" i="28"/>
  <c r="F86" i="28"/>
  <c r="H143" i="28"/>
  <c r="H58" i="28"/>
  <c r="E50" i="28"/>
  <c r="F133" i="28"/>
  <c r="I31" i="28"/>
  <c r="F69" i="28"/>
  <c r="H144" i="28"/>
  <c r="I128" i="28"/>
  <c r="H175" i="28"/>
  <c r="L153" i="28"/>
  <c r="I90" i="28"/>
  <c r="H47" i="28"/>
  <c r="L55" i="28"/>
  <c r="H31" i="28"/>
  <c r="F45" i="28"/>
  <c r="L45" i="28"/>
  <c r="L52" i="28"/>
  <c r="Z198" i="4"/>
  <c r="Z205" i="4"/>
  <c r="I9" i="28"/>
  <c r="L16" i="28"/>
  <c r="L23" i="28"/>
  <c r="F12" i="28"/>
  <c r="L15" i="28"/>
  <c r="L24" i="28"/>
  <c r="I11" i="28"/>
  <c r="I19" i="28"/>
  <c r="F24" i="28"/>
  <c r="F28" i="28"/>
  <c r="Y205" i="4"/>
  <c r="F7" i="28"/>
  <c r="E25" i="28"/>
  <c r="AG44" i="4"/>
  <c r="AH36" i="4"/>
  <c r="H52" i="28"/>
  <c r="AD37" i="4"/>
  <c r="AH37" i="4" s="1"/>
  <c r="E40" i="28"/>
  <c r="AD70" i="4"/>
  <c r="AD12" i="4"/>
  <c r="N29" i="28" s="1"/>
  <c r="Z210" i="4"/>
  <c r="X194" i="4"/>
  <c r="AH65" i="4"/>
  <c r="E53" i="28"/>
  <c r="AD58" i="4"/>
  <c r="AD179" i="4"/>
  <c r="E111" i="28"/>
  <c r="AH178" i="4"/>
  <c r="M218" i="4"/>
  <c r="AG65" i="4"/>
  <c r="H57" i="28"/>
  <c r="AI24" i="4"/>
  <c r="AK24" i="4" s="1"/>
  <c r="AG24" i="4"/>
  <c r="E55" i="28"/>
  <c r="AH40" i="4"/>
  <c r="AH185" i="4"/>
  <c r="AE193" i="4"/>
  <c r="AH23" i="4"/>
  <c r="AH24" i="4"/>
  <c r="AG58" i="4"/>
  <c r="Z195" i="4"/>
  <c r="L217" i="4"/>
  <c r="AG13" i="4"/>
  <c r="L225" i="4"/>
  <c r="L223" i="4"/>
  <c r="AH45" i="4"/>
  <c r="E57" i="28"/>
  <c r="AG185" i="4"/>
  <c r="AG22" i="4"/>
  <c r="AH51" i="4"/>
  <c r="AG43" i="4"/>
  <c r="AH52" i="4"/>
  <c r="Y207" i="4"/>
  <c r="Z201" i="4"/>
  <c r="Z199" i="4"/>
  <c r="Z193" i="4"/>
  <c r="Z211" i="4"/>
  <c r="AG54" i="4"/>
  <c r="AD50" i="4"/>
  <c r="N43" i="28" s="1"/>
  <c r="H181" i="28"/>
  <c r="AD189" i="4"/>
  <c r="N179" i="28" s="1"/>
  <c r="E160" i="28"/>
  <c r="E51" i="28"/>
  <c r="F181" i="28"/>
  <c r="E35" i="28"/>
  <c r="AI23" i="4"/>
  <c r="AK23" i="4" s="1"/>
  <c r="AG30" i="4"/>
  <c r="E104" i="28"/>
  <c r="AG50" i="4"/>
  <c r="I56" i="28"/>
  <c r="O223" i="4"/>
  <c r="E159" i="28"/>
  <c r="L66" i="28"/>
  <c r="AG25" i="4"/>
  <c r="AG27" i="4"/>
  <c r="AI55" i="4"/>
  <c r="AK55" i="4" s="1"/>
  <c r="E112" i="28"/>
  <c r="AG34" i="4"/>
  <c r="Z206" i="4"/>
  <c r="AD63" i="4"/>
  <c r="N55" i="28" s="1"/>
  <c r="AH26" i="4"/>
  <c r="AD184" i="4"/>
  <c r="AH184" i="4" s="1"/>
  <c r="AH42" i="4"/>
  <c r="E28" i="28"/>
  <c r="AD17" i="4"/>
  <c r="AD41" i="4"/>
  <c r="AI41" i="4" s="1"/>
  <c r="E167" i="28"/>
  <c r="AI28" i="4"/>
  <c r="AK28" i="4" s="1"/>
  <c r="Y198" i="4"/>
  <c r="AD72" i="4"/>
  <c r="AD27" i="4"/>
  <c r="AD47" i="4"/>
  <c r="E158" i="28"/>
  <c r="AH188" i="4"/>
  <c r="AI188" i="4"/>
  <c r="AK188" i="4" s="1"/>
  <c r="AG29" i="4"/>
  <c r="AG42" i="4"/>
  <c r="E149" i="28"/>
  <c r="AG53" i="4"/>
  <c r="AG49" i="4"/>
  <c r="AG188" i="4"/>
  <c r="AG41" i="4"/>
  <c r="Z191" i="4"/>
  <c r="AI25" i="4"/>
  <c r="E52" i="28"/>
  <c r="AD53" i="4"/>
  <c r="AH53" i="4" s="1"/>
  <c r="E143" i="28"/>
  <c r="I51" i="28"/>
  <c r="F98" i="28"/>
  <c r="AI14" i="4"/>
  <c r="AH30" i="4"/>
  <c r="H88" i="28"/>
  <c r="AH171" i="4"/>
  <c r="AH167" i="4"/>
  <c r="AI20" i="4"/>
  <c r="AK20" i="4" s="1"/>
  <c r="AD19" i="4"/>
  <c r="AH19" i="4" s="1"/>
  <c r="O217" i="4"/>
  <c r="AH61" i="4"/>
  <c r="AH186" i="4"/>
  <c r="AH20" i="4"/>
  <c r="AG32" i="4"/>
  <c r="AH175" i="4"/>
  <c r="AD16" i="4"/>
  <c r="AH16" i="4" s="1"/>
  <c r="AH169" i="4"/>
  <c r="AH165" i="4"/>
  <c r="AD66" i="4"/>
  <c r="AD38" i="4"/>
  <c r="N32" i="28" s="1"/>
  <c r="E174" i="28"/>
  <c r="AG19" i="4"/>
  <c r="AG66" i="4"/>
  <c r="E147" i="28"/>
  <c r="I43" i="28"/>
  <c r="E151" i="28"/>
  <c r="AH25" i="4"/>
  <c r="AG36" i="4"/>
  <c r="AH43" i="4"/>
  <c r="AG16" i="4"/>
  <c r="F76" i="28"/>
  <c r="F115" i="28"/>
  <c r="AG28" i="4"/>
  <c r="AG37" i="4"/>
  <c r="AG38" i="4"/>
  <c r="I52" i="28"/>
  <c r="AG171" i="4"/>
  <c r="AH162" i="4"/>
  <c r="AH64" i="4"/>
  <c r="F34" i="28"/>
  <c r="E32" i="28"/>
  <c r="E175" i="28"/>
  <c r="E45" i="28"/>
  <c r="AG45" i="4"/>
  <c r="E33" i="28"/>
  <c r="AI35" i="4"/>
  <c r="AI30" i="4"/>
  <c r="AK30" i="4" s="1"/>
  <c r="AI43" i="4"/>
  <c r="AK43" i="4" s="1"/>
  <c r="AI13" i="4"/>
  <c r="AI45" i="4"/>
  <c r="AK45" i="4" s="1"/>
  <c r="H87" i="28"/>
  <c r="AI15" i="4"/>
  <c r="AK15" i="4" s="1"/>
  <c r="E169" i="28"/>
  <c r="E27" i="28"/>
  <c r="E43" i="28"/>
  <c r="E179" i="28"/>
  <c r="AH28" i="4"/>
  <c r="AI26" i="4"/>
  <c r="AK26" i="4" s="1"/>
  <c r="AH22" i="4"/>
  <c r="AI186" i="4"/>
  <c r="AK186" i="4" s="1"/>
  <c r="AD46" i="4"/>
  <c r="AI46" i="4" s="1"/>
  <c r="AK46" i="4" s="1"/>
  <c r="E46" i="28"/>
  <c r="G46" i="28" s="1"/>
  <c r="E6" i="28"/>
  <c r="AI32" i="4"/>
  <c r="AK32" i="4" s="1"/>
  <c r="AG26" i="4"/>
  <c r="AH13" i="4"/>
  <c r="F179" i="28"/>
  <c r="F169" i="28"/>
  <c r="E31" i="28"/>
  <c r="AI22" i="4"/>
  <c r="AK22" i="4" s="1"/>
  <c r="E137" i="28"/>
  <c r="AB192" i="4"/>
  <c r="H142" i="28"/>
  <c r="AG46" i="4"/>
  <c r="AH14" i="4"/>
  <c r="AI187" i="4"/>
  <c r="AK187" i="4" s="1"/>
  <c r="AG186" i="4"/>
  <c r="AG18" i="4"/>
  <c r="AH18" i="4"/>
  <c r="AH15" i="4"/>
  <c r="AG189" i="4"/>
  <c r="AG14" i="4"/>
  <c r="AD182" i="4"/>
  <c r="E163" i="28"/>
  <c r="AG35" i="4"/>
  <c r="F159" i="28"/>
  <c r="AH32" i="4"/>
  <c r="AI18" i="4"/>
  <c r="AH187" i="4"/>
  <c r="E44" i="28"/>
  <c r="AG12" i="4"/>
  <c r="AG57" i="4"/>
  <c r="H60" i="28"/>
  <c r="H72" i="28"/>
  <c r="AH35" i="4"/>
  <c r="AI36" i="4"/>
  <c r="AK36" i="4" s="1"/>
  <c r="AG59" i="4"/>
  <c r="AG20" i="4"/>
  <c r="AI42" i="4"/>
  <c r="AK42" i="4" s="1"/>
  <c r="AG187" i="4"/>
  <c r="AG15" i="4"/>
  <c r="E168" i="28"/>
  <c r="Z212" i="4"/>
  <c r="Z200" i="4"/>
  <c r="Y191" i="4"/>
  <c r="Z196" i="4"/>
  <c r="Z209" i="4"/>
  <c r="Z192" i="4"/>
  <c r="Z190" i="4"/>
  <c r="Z202" i="4"/>
  <c r="Z213" i="4"/>
  <c r="O243" i="4"/>
  <c r="AE199" i="4"/>
  <c r="AF190" i="4"/>
  <c r="L6" i="28" s="1"/>
  <c r="E177" i="28"/>
  <c r="AF209" i="4"/>
  <c r="L25" i="28" s="1"/>
  <c r="L60" i="28"/>
  <c r="I160" i="28"/>
  <c r="AH166" i="4"/>
  <c r="Z203" i="4"/>
  <c r="M219" i="4"/>
  <c r="AF192" i="4"/>
  <c r="L8" i="28" s="1"/>
  <c r="I149" i="28"/>
  <c r="L70" i="28"/>
  <c r="F102" i="28"/>
  <c r="AB193" i="4"/>
  <c r="F9" i="28" s="1"/>
  <c r="V10" i="4"/>
  <c r="F175" i="28"/>
  <c r="Z208" i="4"/>
  <c r="AG112" i="4"/>
  <c r="Z197" i="4"/>
  <c r="I174" i="28"/>
  <c r="M174" i="28" s="1"/>
  <c r="AG159" i="4"/>
  <c r="AF191" i="4"/>
  <c r="L7" i="28" s="1"/>
  <c r="O238" i="4"/>
  <c r="AI178" i="4"/>
  <c r="AG107" i="4"/>
  <c r="AI168" i="4"/>
  <c r="E106" i="28"/>
  <c r="E150" i="28"/>
  <c r="AG155" i="4"/>
  <c r="I147" i="28"/>
  <c r="F140" i="28"/>
  <c r="I102" i="28"/>
  <c r="I161" i="28"/>
  <c r="O221" i="4"/>
  <c r="O219" i="4"/>
  <c r="L83" i="28"/>
  <c r="AG150" i="4"/>
  <c r="AF210" i="4"/>
  <c r="L26" i="28" s="1"/>
  <c r="Z204" i="4"/>
  <c r="L92" i="28"/>
  <c r="AF194" i="4"/>
  <c r="L10" i="28" s="1"/>
  <c r="AE198" i="4"/>
  <c r="I175" i="28"/>
  <c r="M37" i="28"/>
  <c r="AE194" i="4"/>
  <c r="I10" i="28" s="1"/>
  <c r="AF207" i="4"/>
  <c r="O231" i="4"/>
  <c r="E152" i="28"/>
  <c r="E129" i="28"/>
  <c r="F106" i="28"/>
  <c r="AG142" i="4"/>
  <c r="L241" i="4"/>
  <c r="AD112" i="4"/>
  <c r="AG114" i="4"/>
  <c r="AH107" i="4"/>
  <c r="L230" i="4"/>
  <c r="AI153" i="4"/>
  <c r="AK153" i="4" s="1"/>
  <c r="AI64" i="4"/>
  <c r="AK64" i="4" s="1"/>
  <c r="AH153" i="4"/>
  <c r="E132" i="28"/>
  <c r="AD151" i="4"/>
  <c r="AD62" i="4"/>
  <c r="L219" i="4"/>
  <c r="AI158" i="4"/>
  <c r="AH96" i="4"/>
  <c r="O232" i="4"/>
  <c r="AG62" i="4"/>
  <c r="AE208" i="4"/>
  <c r="AE197" i="4"/>
  <c r="I13" i="28" s="1"/>
  <c r="L69" i="28"/>
  <c r="L65" i="28"/>
  <c r="E93" i="28"/>
  <c r="E170" i="28"/>
  <c r="I163" i="28"/>
  <c r="E65" i="28"/>
  <c r="AD114" i="4"/>
  <c r="AH97" i="4"/>
  <c r="E171" i="28"/>
  <c r="G171" i="28" s="1"/>
  <c r="AD54" i="4"/>
  <c r="AH158" i="4"/>
  <c r="AF200" i="4"/>
  <c r="AF212" i="4"/>
  <c r="L28" i="28" s="1"/>
  <c r="L71" i="28"/>
  <c r="E108" i="28"/>
  <c r="H108" i="28"/>
  <c r="AD138" i="4"/>
  <c r="E113" i="28"/>
  <c r="AI167" i="4"/>
  <c r="AK167" i="4" s="1"/>
  <c r="I65" i="28"/>
  <c r="I151" i="28"/>
  <c r="L82" i="28"/>
  <c r="L240" i="4"/>
  <c r="AD135" i="4"/>
  <c r="E164" i="28"/>
  <c r="AE206" i="4"/>
  <c r="I22" i="28" s="1"/>
  <c r="O242" i="4"/>
  <c r="AD157" i="4"/>
  <c r="E142" i="28"/>
  <c r="AD131" i="4"/>
  <c r="E16" i="28"/>
  <c r="E127" i="28"/>
  <c r="AD147" i="4"/>
  <c r="AH147" i="4" s="1"/>
  <c r="E144" i="28"/>
  <c r="AD159" i="4"/>
  <c r="AD155" i="4"/>
  <c r="E140" i="28"/>
  <c r="AD130" i="4"/>
  <c r="E145" i="28"/>
  <c r="AD160" i="4"/>
  <c r="AH160" i="4" s="1"/>
  <c r="AD183" i="4"/>
  <c r="N177" i="28" s="1"/>
  <c r="AG183" i="4"/>
  <c r="AG182" i="4"/>
  <c r="F151" i="28"/>
  <c r="AG167" i="4"/>
  <c r="I145" i="28"/>
  <c r="AD150" i="4"/>
  <c r="E131" i="28"/>
  <c r="AD75" i="4"/>
  <c r="E71" i="28"/>
  <c r="AG177" i="4"/>
  <c r="E157" i="28"/>
  <c r="AD177" i="4"/>
  <c r="AG158" i="4"/>
  <c r="AD152" i="4"/>
  <c r="AI152" i="4" s="1"/>
  <c r="AK152" i="4" s="1"/>
  <c r="E128" i="28"/>
  <c r="AG145" i="4"/>
  <c r="E122" i="28"/>
  <c r="AD143" i="4"/>
  <c r="AI143" i="4" s="1"/>
  <c r="AD141" i="4"/>
  <c r="E120" i="28"/>
  <c r="AG141" i="4"/>
  <c r="L246" i="4"/>
  <c r="AA192" i="4"/>
  <c r="E8" i="28" s="1"/>
  <c r="E172" i="28"/>
  <c r="AD129" i="4"/>
  <c r="AI129" i="4" s="1"/>
  <c r="AD123" i="4"/>
  <c r="F110" i="28"/>
  <c r="M236" i="4"/>
  <c r="AB210" i="4"/>
  <c r="E63" i="28"/>
  <c r="AD92" i="4"/>
  <c r="I117" i="28"/>
  <c r="E148" i="28"/>
  <c r="AD164" i="4"/>
  <c r="AH164" i="4" s="1"/>
  <c r="F125" i="28"/>
  <c r="AG180" i="4"/>
  <c r="AG184" i="4"/>
  <c r="F162" i="28"/>
  <c r="AG181" i="4"/>
  <c r="AD173" i="4"/>
  <c r="AH173" i="4" s="1"/>
  <c r="AG173" i="4"/>
  <c r="F153" i="28"/>
  <c r="AG170" i="4"/>
  <c r="AI166" i="4"/>
  <c r="AG166" i="4"/>
  <c r="AI162" i="4"/>
  <c r="AK162" i="4" s="1"/>
  <c r="F147" i="28"/>
  <c r="AG162" i="4"/>
  <c r="I130" i="28"/>
  <c r="AD146" i="4"/>
  <c r="AG146" i="4"/>
  <c r="E126" i="28"/>
  <c r="AD139" i="4"/>
  <c r="AI139" i="4" s="1"/>
  <c r="E173" i="28"/>
  <c r="AG135" i="4"/>
  <c r="F164" i="28"/>
  <c r="F8" i="28"/>
  <c r="AG130" i="4"/>
  <c r="AF193" i="4"/>
  <c r="L9" i="28" s="1"/>
  <c r="E99" i="28"/>
  <c r="AD101" i="4"/>
  <c r="F161" i="28"/>
  <c r="AG179" i="4"/>
  <c r="AH168" i="4"/>
  <c r="I152" i="28"/>
  <c r="F142" i="28"/>
  <c r="AG157" i="4"/>
  <c r="AH148" i="4"/>
  <c r="AH140" i="4"/>
  <c r="AD137" i="4"/>
  <c r="AG137" i="4"/>
  <c r="E117" i="28"/>
  <c r="AD128" i="4"/>
  <c r="AI128" i="4" s="1"/>
  <c r="AA206" i="4"/>
  <c r="L242" i="4"/>
  <c r="AD119" i="4"/>
  <c r="AD76" i="4"/>
  <c r="E77" i="28"/>
  <c r="O247" i="4"/>
  <c r="AE205" i="4"/>
  <c r="I21" i="28" s="1"/>
  <c r="AI107" i="4"/>
  <c r="F123" i="28"/>
  <c r="AG144" i="4"/>
  <c r="F177" i="28"/>
  <c r="AG175" i="4"/>
  <c r="AI175" i="4"/>
  <c r="E162" i="28"/>
  <c r="AD181" i="4"/>
  <c r="L126" i="28"/>
  <c r="AG169" i="4"/>
  <c r="F174" i="28"/>
  <c r="AI169" i="4"/>
  <c r="AI165" i="4"/>
  <c r="AK165" i="4" s="1"/>
  <c r="AG165" i="4"/>
  <c r="F149" i="28"/>
  <c r="F132" i="28"/>
  <c r="AG151" i="4"/>
  <c r="I113" i="28"/>
  <c r="AD125" i="4"/>
  <c r="I25" i="28"/>
  <c r="AE192" i="4"/>
  <c r="O246" i="4"/>
  <c r="E68" i="28"/>
  <c r="AD73" i="4"/>
  <c r="AG178" i="4"/>
  <c r="F160" i="28"/>
  <c r="AG160" i="4"/>
  <c r="AG153" i="4"/>
  <c r="AD144" i="4"/>
  <c r="E123" i="28"/>
  <c r="E121" i="28"/>
  <c r="AD142" i="4"/>
  <c r="AI142" i="4" s="1"/>
  <c r="AF211" i="4"/>
  <c r="L27" i="28" s="1"/>
  <c r="AA205" i="4"/>
  <c r="E21" i="28" s="1"/>
  <c r="E22" i="28"/>
  <c r="AD127" i="4"/>
  <c r="AI127" i="4" s="1"/>
  <c r="L247" i="4"/>
  <c r="AD113" i="4"/>
  <c r="AH113" i="4" s="1"/>
  <c r="AA191" i="4"/>
  <c r="E7" i="28" s="1"/>
  <c r="F121" i="28"/>
  <c r="AG148" i="4"/>
  <c r="AI148" i="4"/>
  <c r="E138" i="28"/>
  <c r="AI171" i="4"/>
  <c r="AD105" i="4"/>
  <c r="AI105" i="4" s="1"/>
  <c r="E103" i="28"/>
  <c r="L220" i="4"/>
  <c r="F173" i="28"/>
  <c r="AG139" i="4"/>
  <c r="AD145" i="4"/>
  <c r="N137" i="28" s="1"/>
  <c r="E124" i="28"/>
  <c r="AG152" i="4"/>
  <c r="E153" i="28"/>
  <c r="AD170" i="4"/>
  <c r="E156" i="28"/>
  <c r="AD176" i="4"/>
  <c r="AI176" i="4" s="1"/>
  <c r="F137" i="28"/>
  <c r="AI185" i="4"/>
  <c r="AK185" i="4" s="1"/>
  <c r="AD180" i="4"/>
  <c r="E125" i="28"/>
  <c r="AG176" i="4"/>
  <c r="F156" i="28"/>
  <c r="E176" i="28"/>
  <c r="AD174" i="4"/>
  <c r="AG174" i="4"/>
  <c r="E154" i="28"/>
  <c r="AD172" i="4"/>
  <c r="AG172" i="4"/>
  <c r="AG168" i="4"/>
  <c r="F148" i="28"/>
  <c r="AG164" i="4"/>
  <c r="AD161" i="4"/>
  <c r="AI161" i="4" s="1"/>
  <c r="AK161" i="4" s="1"/>
  <c r="AG161" i="4"/>
  <c r="AD154" i="4"/>
  <c r="AG154" i="4"/>
  <c r="F127" i="28"/>
  <c r="AG147" i="4"/>
  <c r="AG140" i="4"/>
  <c r="AI140" i="4"/>
  <c r="F119" i="28"/>
  <c r="M245" i="4"/>
  <c r="AB211" i="4"/>
  <c r="F27" i="28" s="1"/>
  <c r="AD69" i="4"/>
  <c r="E74" i="28"/>
  <c r="AG163" i="4"/>
  <c r="AD163" i="4"/>
  <c r="AI163" i="4" s="1"/>
  <c r="E141" i="28"/>
  <c r="AD156" i="4"/>
  <c r="AI156" i="4" s="1"/>
  <c r="AK156" i="4" s="1"/>
  <c r="AG156" i="4"/>
  <c r="L129" i="28"/>
  <c r="AG149" i="4"/>
  <c r="AG138" i="4"/>
  <c r="F113" i="28"/>
  <c r="AD136" i="4"/>
  <c r="AI136" i="4" s="1"/>
  <c r="AK136" i="4" s="1"/>
  <c r="E116" i="28"/>
  <c r="F16" i="28"/>
  <c r="AG131" i="4"/>
  <c r="M238" i="4"/>
  <c r="AB209" i="4"/>
  <c r="AD77" i="4"/>
  <c r="AH77" i="4" s="1"/>
  <c r="AA201" i="4"/>
  <c r="E17" i="28" s="1"/>
  <c r="L244" i="4"/>
  <c r="AG136" i="4"/>
  <c r="AD149" i="4"/>
  <c r="E130" i="28"/>
  <c r="AA190" i="4"/>
  <c r="AG143" i="4"/>
  <c r="I119" i="28"/>
  <c r="AD60" i="4"/>
  <c r="AI60" i="4" s="1"/>
  <c r="E72" i="28"/>
  <c r="M237" i="4"/>
  <c r="F75" i="28"/>
  <c r="AB196" i="4"/>
  <c r="AD99" i="4"/>
  <c r="E96" i="28"/>
  <c r="AD134" i="4"/>
  <c r="AI134" i="4" s="1"/>
  <c r="AA212" i="4"/>
  <c r="L234" i="4"/>
  <c r="AG134" i="4"/>
  <c r="I14" i="28"/>
  <c r="O237" i="4"/>
  <c r="AE196" i="4"/>
  <c r="I12" i="28" s="1"/>
  <c r="AH126" i="4"/>
  <c r="I77" i="28"/>
  <c r="AD81" i="4"/>
  <c r="E83" i="28"/>
  <c r="E89" i="28"/>
  <c r="AD87" i="4"/>
  <c r="E94" i="28"/>
  <c r="AD94" i="4"/>
  <c r="AD115" i="4"/>
  <c r="AI115" i="4" s="1"/>
  <c r="AA193" i="4"/>
  <c r="E9" i="28" s="1"/>
  <c r="L251" i="4"/>
  <c r="AG119" i="4"/>
  <c r="F10" i="28"/>
  <c r="I67" i="28"/>
  <c r="O251" i="4"/>
  <c r="L22" i="28"/>
  <c r="AF205" i="4"/>
  <c r="L21" i="28" s="1"/>
  <c r="I61" i="28"/>
  <c r="AE203" i="4"/>
  <c r="I79" i="28"/>
  <c r="O239" i="4"/>
  <c r="I30" i="28"/>
  <c r="AF206" i="4"/>
  <c r="AD132" i="4"/>
  <c r="AG132" i="4"/>
  <c r="E12" i="28"/>
  <c r="F53" i="28"/>
  <c r="I68" i="28"/>
  <c r="AD120" i="4"/>
  <c r="AH120" i="4" s="1"/>
  <c r="AA198" i="4"/>
  <c r="AG120" i="4"/>
  <c r="E24" i="28"/>
  <c r="L248" i="4"/>
  <c r="AD124" i="4"/>
  <c r="E30" i="28"/>
  <c r="F20" i="28"/>
  <c r="AG128" i="4"/>
  <c r="M242" i="4"/>
  <c r="AB206" i="4"/>
  <c r="AE202" i="4"/>
  <c r="O249" i="4"/>
  <c r="AB199" i="4"/>
  <c r="M243" i="4"/>
  <c r="F172" i="28"/>
  <c r="AG129" i="4"/>
  <c r="AE211" i="4"/>
  <c r="I27" i="28" s="1"/>
  <c r="O245" i="4"/>
  <c r="AD86" i="4"/>
  <c r="E88" i="28"/>
  <c r="AD103" i="4"/>
  <c r="AI103" i="4" s="1"/>
  <c r="E101" i="28"/>
  <c r="H71" i="28"/>
  <c r="AG70" i="4"/>
  <c r="AD82" i="4"/>
  <c r="AI82" i="4" s="1"/>
  <c r="E84" i="28"/>
  <c r="AG82" i="4"/>
  <c r="E86" i="28"/>
  <c r="AG84" i="4"/>
  <c r="AD84" i="4"/>
  <c r="AI84" i="4" s="1"/>
  <c r="AG89" i="4"/>
  <c r="AI89" i="4"/>
  <c r="M234" i="4"/>
  <c r="AB212" i="4"/>
  <c r="F93" i="28"/>
  <c r="AG93" i="4"/>
  <c r="E75" i="28"/>
  <c r="L237" i="4"/>
  <c r="AD93" i="4"/>
  <c r="AA196" i="4"/>
  <c r="AG99" i="4"/>
  <c r="F96" i="28"/>
  <c r="AD106" i="4"/>
  <c r="AI106" i="4" s="1"/>
  <c r="AG106" i="4"/>
  <c r="AH109" i="4"/>
  <c r="I108" i="28"/>
  <c r="L250" i="4"/>
  <c r="AD117" i="4"/>
  <c r="AI117" i="4" s="1"/>
  <c r="AG117" i="4"/>
  <c r="AA195" i="4"/>
  <c r="E11" i="28" s="1"/>
  <c r="AG122" i="4"/>
  <c r="AD122" i="4"/>
  <c r="AI122" i="4" s="1"/>
  <c r="AG125" i="4"/>
  <c r="M239" i="4"/>
  <c r="AB203" i="4"/>
  <c r="F19" i="28" s="1"/>
  <c r="I172" i="28"/>
  <c r="AG133" i="4"/>
  <c r="L245" i="4"/>
  <c r="AD133" i="4"/>
  <c r="AA211" i="4"/>
  <c r="AE191" i="4"/>
  <c r="I7" i="28" s="1"/>
  <c r="I53" i="28"/>
  <c r="O240" i="4"/>
  <c r="L74" i="28"/>
  <c r="AF195" i="4"/>
  <c r="L11" i="28" s="1"/>
  <c r="M244" i="4"/>
  <c r="F78" i="28"/>
  <c r="AB201" i="4"/>
  <c r="F17" i="28" s="1"/>
  <c r="AG77" i="4"/>
  <c r="F88" i="28"/>
  <c r="AG86" i="4"/>
  <c r="AD90" i="4"/>
  <c r="AI90" i="4" s="1"/>
  <c r="E62" i="28"/>
  <c r="AG90" i="4"/>
  <c r="AG92" i="4"/>
  <c r="F63" i="28"/>
  <c r="I96" i="28"/>
  <c r="M220" i="4"/>
  <c r="F103" i="28"/>
  <c r="AG105" i="4"/>
  <c r="I18" i="28"/>
  <c r="O241" i="4"/>
  <c r="AE190" i="4"/>
  <c r="I6" i="28" s="1"/>
  <c r="O225" i="4"/>
  <c r="I66" i="28"/>
  <c r="O235" i="4"/>
  <c r="AE207" i="4"/>
  <c r="I23" i="28" s="1"/>
  <c r="AD79" i="4"/>
  <c r="E81" i="28"/>
  <c r="AF196" i="4"/>
  <c r="L12" i="28" s="1"/>
  <c r="L75" i="28"/>
  <c r="AG103" i="4"/>
  <c r="AD110" i="4"/>
  <c r="AG110" i="4"/>
  <c r="AB190" i="4"/>
  <c r="F6" i="28" s="1"/>
  <c r="M241" i="4"/>
  <c r="F26" i="28"/>
  <c r="AG115" i="4"/>
  <c r="M251" i="4"/>
  <c r="I24" i="28"/>
  <c r="O248" i="4"/>
  <c r="AG126" i="4"/>
  <c r="AI126" i="4"/>
  <c r="AK126" i="4" s="1"/>
  <c r="I8" i="28"/>
  <c r="E70" i="28"/>
  <c r="AD74" i="4"/>
  <c r="AH74" i="4" s="1"/>
  <c r="AG74" i="4"/>
  <c r="I81" i="28"/>
  <c r="AB207" i="4"/>
  <c r="F23" i="28" s="1"/>
  <c r="AG87" i="4"/>
  <c r="F89" i="28"/>
  <c r="M235" i="4"/>
  <c r="F170" i="28"/>
  <c r="AG96" i="4"/>
  <c r="AI96" i="4"/>
  <c r="AD100" i="4"/>
  <c r="AI100" i="4" s="1"/>
  <c r="AG100" i="4"/>
  <c r="AG109" i="4"/>
  <c r="AI109" i="4"/>
  <c r="I15" i="28"/>
  <c r="I76" i="28"/>
  <c r="F167" i="28"/>
  <c r="F166" i="28"/>
  <c r="M248" i="4"/>
  <c r="AG76" i="4"/>
  <c r="AB198" i="4"/>
  <c r="F14" i="28" s="1"/>
  <c r="AD83" i="4"/>
  <c r="AI83" i="4" s="1"/>
  <c r="E85" i="28"/>
  <c r="AG83" i="4"/>
  <c r="AD85" i="4"/>
  <c r="AI85" i="4" s="1"/>
  <c r="AG85" i="4"/>
  <c r="AD88" i="4"/>
  <c r="AA209" i="4"/>
  <c r="AG88" i="4"/>
  <c r="L238" i="4"/>
  <c r="F94" i="28"/>
  <c r="AG94" i="4"/>
  <c r="AD98" i="4"/>
  <c r="E95" i="28"/>
  <c r="AG98" i="4"/>
  <c r="F15" i="28"/>
  <c r="M240" i="4"/>
  <c r="AB191" i="4"/>
  <c r="AG113" i="4"/>
  <c r="AD116" i="4"/>
  <c r="AG116" i="4"/>
  <c r="AD118" i="4"/>
  <c r="AI118" i="4" s="1"/>
  <c r="AG118" i="4"/>
  <c r="E14" i="28"/>
  <c r="AA199" i="4"/>
  <c r="E15" i="28" s="1"/>
  <c r="AD121" i="4"/>
  <c r="AI121" i="4" s="1"/>
  <c r="L243" i="4"/>
  <c r="AG121" i="4"/>
  <c r="AG123" i="4"/>
  <c r="AG127" i="4"/>
  <c r="M247" i="4"/>
  <c r="AB205" i="4"/>
  <c r="F21" i="28" s="1"/>
  <c r="F22" i="28"/>
  <c r="I16" i="28"/>
  <c r="AE209" i="4"/>
  <c r="AG71" i="4"/>
  <c r="L235" i="4"/>
  <c r="E66" i="28"/>
  <c r="AA207" i="4"/>
  <c r="E23" i="28" s="1"/>
  <c r="AD71" i="4"/>
  <c r="AI71" i="4" s="1"/>
  <c r="AG75" i="4"/>
  <c r="F71" i="28"/>
  <c r="AD91" i="4"/>
  <c r="AA203" i="4"/>
  <c r="E19" i="28" s="1"/>
  <c r="E79" i="28"/>
  <c r="L239" i="4"/>
  <c r="AG91" i="4"/>
  <c r="F65" i="28"/>
  <c r="AI97" i="4"/>
  <c r="AK97" i="4" s="1"/>
  <c r="AG97" i="4"/>
  <c r="AG104" i="4"/>
  <c r="AD104" i="4"/>
  <c r="AI104" i="4" s="1"/>
  <c r="AK104" i="4" s="1"/>
  <c r="E102" i="28"/>
  <c r="L222" i="4"/>
  <c r="F77" i="28"/>
  <c r="AG63" i="4"/>
  <c r="AG69" i="4"/>
  <c r="M250" i="4"/>
  <c r="AB195" i="4"/>
  <c r="F11" i="28" s="1"/>
  <c r="AG73" i="4"/>
  <c r="AF201" i="4"/>
  <c r="L17" i="28" s="1"/>
  <c r="L78" i="28"/>
  <c r="I63" i="28"/>
  <c r="AD102" i="4"/>
  <c r="AI102" i="4" s="1"/>
  <c r="E100" i="28"/>
  <c r="AG102" i="4"/>
  <c r="O220" i="4"/>
  <c r="I103" i="28"/>
  <c r="AD111" i="4"/>
  <c r="AI111" i="4" s="1"/>
  <c r="E110" i="28"/>
  <c r="AG111" i="4"/>
  <c r="L236" i="4"/>
  <c r="AA210" i="4"/>
  <c r="E26" i="28" s="1"/>
  <c r="F25" i="28"/>
  <c r="M246" i="4"/>
  <c r="AF199" i="4"/>
  <c r="L19" i="28"/>
  <c r="F30" i="28"/>
  <c r="AG124" i="4"/>
  <c r="AB202" i="4"/>
  <c r="F18" i="28" s="1"/>
  <c r="M249" i="4"/>
  <c r="AE210" i="4"/>
  <c r="I26" i="28" s="1"/>
  <c r="O236" i="4"/>
  <c r="AD68" i="4"/>
  <c r="E60" i="28"/>
  <c r="F67" i="28"/>
  <c r="AG72" i="4"/>
  <c r="L77" i="28"/>
  <c r="AF198" i="4"/>
  <c r="L14" i="28" s="1"/>
  <c r="AG81" i="4"/>
  <c r="F83" i="28"/>
  <c r="AE212" i="4"/>
  <c r="I28" i="28" s="1"/>
  <c r="O234" i="4"/>
  <c r="AH89" i="4"/>
  <c r="L80" i="28"/>
  <c r="L79" i="28"/>
  <c r="AF203" i="4"/>
  <c r="AG95" i="4"/>
  <c r="AD95" i="4"/>
  <c r="F99" i="28"/>
  <c r="M225" i="4"/>
  <c r="AG101" i="4"/>
  <c r="AD108" i="4"/>
  <c r="AI108" i="4" s="1"/>
  <c r="AG108" i="4"/>
  <c r="AI65" i="4"/>
  <c r="H78" i="28"/>
  <c r="H77" i="28"/>
  <c r="F82" i="28"/>
  <c r="AG79" i="4"/>
  <c r="F91" i="28"/>
  <c r="AA204" i="4"/>
  <c r="E20" i="28" s="1"/>
  <c r="AH34" i="4"/>
  <c r="AI34" i="4"/>
  <c r="M230" i="4"/>
  <c r="AG31" i="4"/>
  <c r="E114" i="28"/>
  <c r="H91" i="28"/>
  <c r="H90" i="28"/>
  <c r="O229" i="4"/>
  <c r="AE200" i="4"/>
  <c r="F72" i="28"/>
  <c r="AG60" i="4"/>
  <c r="F61" i="28"/>
  <c r="AG68" i="4"/>
  <c r="L59" i="28"/>
  <c r="E49" i="28"/>
  <c r="AD48" i="4"/>
  <c r="AI48" i="4" s="1"/>
  <c r="F92" i="28"/>
  <c r="M231" i="4"/>
  <c r="AG64" i="4"/>
  <c r="AB208" i="4"/>
  <c r="I75" i="28"/>
  <c r="AE195" i="4"/>
  <c r="O250" i="4"/>
  <c r="I74" i="28"/>
  <c r="I78" i="28"/>
  <c r="O244" i="4"/>
  <c r="AE201" i="4"/>
  <c r="I17" i="28" s="1"/>
  <c r="E82" i="28"/>
  <c r="AG80" i="4"/>
  <c r="AD80" i="4"/>
  <c r="AI80" i="4" s="1"/>
  <c r="I60" i="28"/>
  <c r="L232" i="4"/>
  <c r="H70" i="28"/>
  <c r="AB200" i="4"/>
  <c r="F55" i="28"/>
  <c r="H81" i="28"/>
  <c r="H80" i="28"/>
  <c r="AD33" i="4"/>
  <c r="E118" i="28"/>
  <c r="L91" i="28"/>
  <c r="AF208" i="4"/>
  <c r="F60" i="28"/>
  <c r="L218" i="4"/>
  <c r="E181" i="28"/>
  <c r="AA202" i="4"/>
  <c r="E18" i="28" s="1"/>
  <c r="AD78" i="4"/>
  <c r="AG78" i="4"/>
  <c r="L249" i="4"/>
  <c r="H59" i="28"/>
  <c r="AA194" i="4"/>
  <c r="E10" i="28" s="1"/>
  <c r="AD57" i="4"/>
  <c r="N51" i="28" s="1"/>
  <c r="E80" i="28"/>
  <c r="I59" i="28"/>
  <c r="I58" i="28"/>
  <c r="AG67" i="4"/>
  <c r="AD67" i="4"/>
  <c r="AI67" i="4" s="1"/>
  <c r="E59" i="28"/>
  <c r="H56" i="28"/>
  <c r="O233" i="4"/>
  <c r="AI59" i="4"/>
  <c r="AH59" i="4"/>
  <c r="AF202" i="4"/>
  <c r="L18" i="28" s="1"/>
  <c r="L181" i="28"/>
  <c r="H51" i="28"/>
  <c r="AB204" i="4"/>
  <c r="E5" i="27"/>
  <c r="D37" i="26" s="1"/>
  <c r="L229" i="4"/>
  <c r="AI29" i="4"/>
  <c r="AH29" i="4"/>
  <c r="AI44" i="4"/>
  <c r="AK44" i="4" s="1"/>
  <c r="AH44" i="4"/>
  <c r="AA213" i="4"/>
  <c r="F56" i="28"/>
  <c r="AG61" i="4"/>
  <c r="M229" i="4"/>
  <c r="AI61" i="4"/>
  <c r="AA200" i="4"/>
  <c r="AG33" i="4"/>
  <c r="E119" i="28"/>
  <c r="AD56" i="4"/>
  <c r="E91" i="28"/>
  <c r="L231" i="4"/>
  <c r="AG56" i="4"/>
  <c r="AI56" i="4"/>
  <c r="AA208" i="4"/>
  <c r="E39" i="28"/>
  <c r="AD39" i="4"/>
  <c r="N33" i="28" s="1"/>
  <c r="AG39" i="4"/>
  <c r="L224" i="4"/>
  <c r="I29" i="28"/>
  <c r="O224" i="4"/>
  <c r="AE10" i="4"/>
  <c r="AE213" i="4"/>
  <c r="AG52" i="4"/>
  <c r="AI52" i="4"/>
  <c r="AK52" i="4" s="1"/>
  <c r="E37" i="28"/>
  <c r="AG21" i="4"/>
  <c r="AD21" i="4"/>
  <c r="L221" i="4"/>
  <c r="I50" i="28"/>
  <c r="AH49" i="4"/>
  <c r="O230" i="4"/>
  <c r="AI49" i="4"/>
  <c r="AE204" i="4"/>
  <c r="I20" i="28" s="1"/>
  <c r="L36" i="28"/>
  <c r="AF213" i="4"/>
  <c r="AF10" i="4"/>
  <c r="I55" i="28"/>
  <c r="F52" i="28"/>
  <c r="AG51" i="4"/>
  <c r="M221" i="4"/>
  <c r="AI51" i="4"/>
  <c r="L50" i="28"/>
  <c r="AF204" i="4"/>
  <c r="L20" i="28" s="1"/>
  <c r="L58" i="28"/>
  <c r="AF197" i="4"/>
  <c r="L13" i="28" s="1"/>
  <c r="F57" i="28"/>
  <c r="AB197" i="4"/>
  <c r="F13" i="28" s="1"/>
  <c r="M233" i="4"/>
  <c r="AG55" i="4"/>
  <c r="F48" i="28"/>
  <c r="AG47" i="4"/>
  <c r="F168" i="28"/>
  <c r="M223" i="4"/>
  <c r="AG17" i="4"/>
  <c r="AB213" i="4"/>
  <c r="AB10" i="4"/>
  <c r="F49" i="28"/>
  <c r="AG48" i="4"/>
  <c r="M232" i="4"/>
  <c r="AB194" i="4"/>
  <c r="AD31" i="4"/>
  <c r="AA197" i="4"/>
  <c r="E13" i="28" s="1"/>
  <c r="E115" i="28"/>
  <c r="L233" i="4"/>
  <c r="AA10" i="4"/>
  <c r="AG40" i="4"/>
  <c r="F40" i="28"/>
  <c r="M224" i="4"/>
  <c r="AI40" i="4"/>
  <c r="M38" i="28" l="1"/>
  <c r="M95" i="28"/>
  <c r="M125" i="28"/>
  <c r="G42" i="28"/>
  <c r="N150" i="28"/>
  <c r="K150" i="28" s="1"/>
  <c r="B154" i="27" s="1"/>
  <c r="M49" i="28"/>
  <c r="N170" i="28"/>
  <c r="K170" i="28" s="1"/>
  <c r="B174" i="27" s="1"/>
  <c r="J47" i="28"/>
  <c r="J88" i="28"/>
  <c r="M180" i="28"/>
  <c r="N40" i="28"/>
  <c r="K40" i="28" s="1"/>
  <c r="B44" i="27" s="1"/>
  <c r="M87" i="28"/>
  <c r="M111" i="28"/>
  <c r="G130" i="28"/>
  <c r="M119" i="28"/>
  <c r="J99" i="28"/>
  <c r="M173" i="28"/>
  <c r="M54" i="28"/>
  <c r="M116" i="28"/>
  <c r="M72" i="28"/>
  <c r="M123" i="28"/>
  <c r="M120" i="28"/>
  <c r="N149" i="28"/>
  <c r="K149" i="28" s="1"/>
  <c r="B153" i="27" s="1"/>
  <c r="N158" i="28"/>
  <c r="K158" i="28" s="1"/>
  <c r="B162" i="27" s="1"/>
  <c r="N44" i="28"/>
  <c r="J64" i="28"/>
  <c r="G109" i="28"/>
  <c r="N118" i="28"/>
  <c r="K118" i="28" s="1"/>
  <c r="B122" i="27" s="1"/>
  <c r="M56" i="28"/>
  <c r="N161" i="28"/>
  <c r="K161" i="28" s="1"/>
  <c r="B165" i="27" s="1"/>
  <c r="G101" i="28"/>
  <c r="N93" i="28"/>
  <c r="K93" i="28" s="1"/>
  <c r="B97" i="27" s="1"/>
  <c r="J167" i="28"/>
  <c r="M171" i="28"/>
  <c r="M99" i="28"/>
  <c r="G59" i="28"/>
  <c r="J156" i="28"/>
  <c r="J162" i="28"/>
  <c r="N147" i="28"/>
  <c r="K147" i="28" s="1"/>
  <c r="B151" i="27" s="1"/>
  <c r="M162" i="28"/>
  <c r="J107" i="28"/>
  <c r="M110" i="28"/>
  <c r="M167" i="28"/>
  <c r="M156" i="28"/>
  <c r="N136" i="28"/>
  <c r="K136" i="28" s="1"/>
  <c r="B140" i="27" s="1"/>
  <c r="G163" i="28"/>
  <c r="N169" i="28"/>
  <c r="K169" i="28" s="1"/>
  <c r="B173" i="27" s="1"/>
  <c r="N167" i="28"/>
  <c r="K167" i="28" s="1"/>
  <c r="B171" i="27" s="1"/>
  <c r="M88" i="28"/>
  <c r="M124" i="28"/>
  <c r="N132" i="28"/>
  <c r="K132" i="28" s="1"/>
  <c r="B136" i="27" s="1"/>
  <c r="N129" i="28"/>
  <c r="N106" i="28"/>
  <c r="K106" i="28" s="1"/>
  <c r="B110" i="27" s="1"/>
  <c r="J132" i="28"/>
  <c r="N104" i="28"/>
  <c r="K104" i="28" s="1"/>
  <c r="B108" i="27" s="1"/>
  <c r="M132" i="28"/>
  <c r="G107" i="28"/>
  <c r="M107" i="28"/>
  <c r="N108" i="28"/>
  <c r="K108" i="28" s="1"/>
  <c r="B112" i="27" s="1"/>
  <c r="N89" i="28"/>
  <c r="K89" i="28" s="1"/>
  <c r="B93" i="27" s="1"/>
  <c r="N65" i="28"/>
  <c r="K65" i="28" s="1"/>
  <c r="B69" i="27" s="1"/>
  <c r="N111" i="28"/>
  <c r="K111" i="28" s="1"/>
  <c r="B115" i="27" s="1"/>
  <c r="N163" i="28"/>
  <c r="K163" i="28" s="1"/>
  <c r="B167" i="27" s="1"/>
  <c r="J146" i="28"/>
  <c r="G146" i="28"/>
  <c r="G64" i="28"/>
  <c r="M170" i="28"/>
  <c r="G180" i="28"/>
  <c r="M163" i="28"/>
  <c r="J170" i="28"/>
  <c r="M85" i="28"/>
  <c r="N139" i="28"/>
  <c r="K139" i="28" s="1"/>
  <c r="B143" i="27" s="1"/>
  <c r="J36" i="28"/>
  <c r="K33" i="28"/>
  <c r="B37" i="27" s="1"/>
  <c r="M129" i="28"/>
  <c r="K129" i="28"/>
  <c r="B133" i="27" s="1"/>
  <c r="M33" i="28"/>
  <c r="G117" i="28"/>
  <c r="M139" i="28"/>
  <c r="G120" i="28"/>
  <c r="G155" i="28"/>
  <c r="G108" i="28"/>
  <c r="G176" i="28"/>
  <c r="G124" i="28"/>
  <c r="J121" i="28"/>
  <c r="G122" i="28"/>
  <c r="J129" i="28"/>
  <c r="K32" i="28"/>
  <c r="B36" i="27" s="1"/>
  <c r="J111" i="28"/>
  <c r="M126" i="28"/>
  <c r="G43" i="28"/>
  <c r="N45" i="28"/>
  <c r="K45" i="28" s="1"/>
  <c r="B49" i="27" s="1"/>
  <c r="G98" i="28"/>
  <c r="J133" i="28"/>
  <c r="M71" i="28"/>
  <c r="M68" i="28"/>
  <c r="M169" i="28"/>
  <c r="M168" i="28"/>
  <c r="M114" i="28"/>
  <c r="M135" i="28"/>
  <c r="M127" i="28"/>
  <c r="M157" i="28"/>
  <c r="M158" i="28"/>
  <c r="M73" i="28"/>
  <c r="M109" i="28"/>
  <c r="M101" i="28"/>
  <c r="M176" i="28"/>
  <c r="J123" i="28"/>
  <c r="J44" i="28"/>
  <c r="G158" i="28"/>
  <c r="G165" i="28"/>
  <c r="G73" i="28"/>
  <c r="J139" i="28"/>
  <c r="M131" i="28"/>
  <c r="M43" i="28"/>
  <c r="G74" i="28"/>
  <c r="M144" i="28"/>
  <c r="M93" i="28"/>
  <c r="M44" i="28"/>
  <c r="M118" i="28"/>
  <c r="K44" i="28"/>
  <c r="B48" i="27" s="1"/>
  <c r="G97" i="28"/>
  <c r="M177" i="28"/>
  <c r="M96" i="28"/>
  <c r="G51" i="28"/>
  <c r="G136" i="28"/>
  <c r="M138" i="28"/>
  <c r="J166" i="28"/>
  <c r="M154" i="28"/>
  <c r="J178" i="28"/>
  <c r="G38" i="28"/>
  <c r="M98" i="28"/>
  <c r="M115" i="28"/>
  <c r="M104" i="28"/>
  <c r="J106" i="28"/>
  <c r="G34" i="28"/>
  <c r="J38" i="28"/>
  <c r="J49" i="28"/>
  <c r="M134" i="28"/>
  <c r="M178" i="28"/>
  <c r="M122" i="28"/>
  <c r="M159" i="28"/>
  <c r="G157" i="28"/>
  <c r="G134" i="28"/>
  <c r="M179" i="28"/>
  <c r="J135" i="28"/>
  <c r="G56" i="28"/>
  <c r="J73" i="28"/>
  <c r="J116" i="28"/>
  <c r="G141" i="28"/>
  <c r="J138" i="28"/>
  <c r="G68" i="28"/>
  <c r="J71" i="28"/>
  <c r="J144" i="28"/>
  <c r="M82" i="28"/>
  <c r="J93" i="28"/>
  <c r="G32" i="28"/>
  <c r="G76" i="28"/>
  <c r="G104" i="28"/>
  <c r="M46" i="28"/>
  <c r="J114" i="28"/>
  <c r="J148" i="28"/>
  <c r="M102" i="28"/>
  <c r="G41" i="28"/>
  <c r="J159" i="28"/>
  <c r="M150" i="28"/>
  <c r="M148" i="28"/>
  <c r="M181" i="28"/>
  <c r="J100" i="28"/>
  <c r="J72" i="28"/>
  <c r="K137" i="28"/>
  <c r="B141" i="27" s="1"/>
  <c r="K179" i="28"/>
  <c r="B183" i="27" s="1"/>
  <c r="G135" i="28"/>
  <c r="N113" i="28"/>
  <c r="K113" i="28" s="1"/>
  <c r="B117" i="27" s="1"/>
  <c r="M42" i="28"/>
  <c r="J136" i="28"/>
  <c r="K159" i="28"/>
  <c r="B163" i="27" s="1"/>
  <c r="M147" i="28"/>
  <c r="J177" i="28"/>
  <c r="G31" i="28"/>
  <c r="G112" i="28"/>
  <c r="J57" i="28"/>
  <c r="G69" i="28"/>
  <c r="J69" i="28"/>
  <c r="J165" i="28"/>
  <c r="J134" i="28"/>
  <c r="J98" i="28"/>
  <c r="M121" i="28"/>
  <c r="M165" i="28"/>
  <c r="M32" i="28"/>
  <c r="M97" i="28"/>
  <c r="N152" i="28"/>
  <c r="K152" i="28" s="1"/>
  <c r="B156" i="27" s="1"/>
  <c r="G178" i="28"/>
  <c r="J97" i="28"/>
  <c r="G29" i="28"/>
  <c r="M106" i="28"/>
  <c r="N144" i="28"/>
  <c r="K144" i="28" s="1"/>
  <c r="B148" i="27" s="1"/>
  <c r="N112" i="28"/>
  <c r="K112" i="28" s="1"/>
  <c r="B116" i="27" s="1"/>
  <c r="N98" i="28"/>
  <c r="K98" i="28" s="1"/>
  <c r="B102" i="27" s="1"/>
  <c r="M164" i="28"/>
  <c r="N119" i="28"/>
  <c r="K119" i="28" s="1"/>
  <c r="B123" i="27" s="1"/>
  <c r="J94" i="28"/>
  <c r="J109" i="28"/>
  <c r="J168" i="28"/>
  <c r="N168" i="28"/>
  <c r="K168" i="28" s="1"/>
  <c r="B172" i="27" s="1"/>
  <c r="D42" i="28"/>
  <c r="E46" i="27" s="1"/>
  <c r="J40" i="28"/>
  <c r="M40" i="28"/>
  <c r="J118" i="28"/>
  <c r="G161" i="28"/>
  <c r="J173" i="28"/>
  <c r="N126" i="28"/>
  <c r="K126" i="28" s="1"/>
  <c r="B130" i="27" s="1"/>
  <c r="J127" i="28"/>
  <c r="N69" i="28"/>
  <c r="K69" i="28" s="1"/>
  <c r="B73" i="27" s="1"/>
  <c r="J179" i="28"/>
  <c r="J33" i="28"/>
  <c r="N166" i="28"/>
  <c r="K166" i="28" s="1"/>
  <c r="B170" i="27" s="1"/>
  <c r="G58" i="28"/>
  <c r="M57" i="28"/>
  <c r="M133" i="28"/>
  <c r="M35" i="28"/>
  <c r="K177" i="28"/>
  <c r="B181" i="27" s="1"/>
  <c r="G87" i="28"/>
  <c r="N143" i="28"/>
  <c r="K143" i="28" s="1"/>
  <c r="B147" i="27" s="1"/>
  <c r="M143" i="28"/>
  <c r="M166" i="28"/>
  <c r="M137" i="28"/>
  <c r="M105" i="28"/>
  <c r="G139" i="28"/>
  <c r="M62" i="28"/>
  <c r="M94" i="28"/>
  <c r="M39" i="28"/>
  <c r="J155" i="28"/>
  <c r="N165" i="28"/>
  <c r="K165" i="28" s="1"/>
  <c r="B169" i="27" s="1"/>
  <c r="N54" i="28"/>
  <c r="K54" i="28" s="1"/>
  <c r="B58" i="27" s="1"/>
  <c r="N151" i="28"/>
  <c r="K151" i="28" s="1"/>
  <c r="B155" i="27" s="1"/>
  <c r="N90" i="28"/>
  <c r="K90" i="28" s="1"/>
  <c r="B94" i="27" s="1"/>
  <c r="J80" i="28"/>
  <c r="M80" i="28"/>
  <c r="N96" i="28"/>
  <c r="K96" i="28" s="1"/>
  <c r="B100" i="27" s="1"/>
  <c r="N117" i="28"/>
  <c r="K117" i="28" s="1"/>
  <c r="B121" i="27" s="1"/>
  <c r="J105" i="28"/>
  <c r="J137" i="28"/>
  <c r="J45" i="28"/>
  <c r="N67" i="28"/>
  <c r="K67" i="28" s="1"/>
  <c r="B71" i="27" s="1"/>
  <c r="AH189" i="4"/>
  <c r="G48" i="28"/>
  <c r="M136" i="28"/>
  <c r="N114" i="28"/>
  <c r="K114" i="28" s="1"/>
  <c r="B118" i="27" s="1"/>
  <c r="J95" i="28"/>
  <c r="G166" i="28"/>
  <c r="G78" i="28"/>
  <c r="N130" i="28"/>
  <c r="K130" i="28" s="1"/>
  <c r="B134" i="27" s="1"/>
  <c r="J125" i="28"/>
  <c r="N131" i="28"/>
  <c r="K131" i="28" s="1"/>
  <c r="B135" i="27" s="1"/>
  <c r="N138" i="28"/>
  <c r="K138" i="28" s="1"/>
  <c r="B142" i="27" s="1"/>
  <c r="J164" i="28"/>
  <c r="D160" i="28"/>
  <c r="E164" i="27" s="1"/>
  <c r="K160" i="28"/>
  <c r="B164" i="27" s="1"/>
  <c r="N41" i="28"/>
  <c r="K41" i="28" s="1"/>
  <c r="B45" i="27" s="1"/>
  <c r="N35" i="28"/>
  <c r="K35" i="28" s="1"/>
  <c r="B39" i="27" s="1"/>
  <c r="J35" i="28"/>
  <c r="N61" i="28"/>
  <c r="K61" i="28" s="1"/>
  <c r="B65" i="27" s="1"/>
  <c r="M45" i="28"/>
  <c r="M142" i="28"/>
  <c r="N31" i="28"/>
  <c r="K31" i="28" s="1"/>
  <c r="B35" i="27" s="1"/>
  <c r="M48" i="28"/>
  <c r="N171" i="28"/>
  <c r="K171" i="28" s="1"/>
  <c r="B175" i="27" s="1"/>
  <c r="N217" i="4"/>
  <c r="N164" i="28"/>
  <c r="K164" i="28" s="1"/>
  <c r="B168" i="27" s="1"/>
  <c r="N76" i="28"/>
  <c r="K76" i="28" s="1"/>
  <c r="B80" i="27" s="1"/>
  <c r="G92" i="28"/>
  <c r="N124" i="28"/>
  <c r="K124" i="28" s="1"/>
  <c r="B128" i="27" s="1"/>
  <c r="N63" i="28"/>
  <c r="K63" i="28" s="1"/>
  <c r="B67" i="27" s="1"/>
  <c r="N120" i="28"/>
  <c r="K120" i="28" s="1"/>
  <c r="B124" i="27" s="1"/>
  <c r="G131" i="28"/>
  <c r="J169" i="28"/>
  <c r="N50" i="28"/>
  <c r="K50" i="28" s="1"/>
  <c r="B54" i="27" s="1"/>
  <c r="M155" i="28"/>
  <c r="J92" i="28"/>
  <c r="N174" i="28"/>
  <c r="K174" i="28" s="1"/>
  <c r="B178" i="27" s="1"/>
  <c r="G152" i="28"/>
  <c r="M86" i="28"/>
  <c r="G54" i="28"/>
  <c r="M128" i="28"/>
  <c r="M61" i="28"/>
  <c r="G145" i="28"/>
  <c r="G50" i="28"/>
  <c r="G133" i="28"/>
  <c r="J87" i="28"/>
  <c r="J180" i="28"/>
  <c r="M140" i="28"/>
  <c r="M89" i="28"/>
  <c r="G47" i="28"/>
  <c r="M64" i="28"/>
  <c r="J48" i="28"/>
  <c r="J142" i="28"/>
  <c r="G66" i="28"/>
  <c r="J89" i="28"/>
  <c r="G143" i="28"/>
  <c r="G90" i="28"/>
  <c r="M141" i="28"/>
  <c r="M92" i="28"/>
  <c r="M153" i="28"/>
  <c r="G24" i="28"/>
  <c r="M70" i="28"/>
  <c r="M31" i="28"/>
  <c r="M63" i="28"/>
  <c r="G70" i="28"/>
  <c r="J150" i="28"/>
  <c r="M90" i="28"/>
  <c r="M84" i="28"/>
  <c r="N60" i="28"/>
  <c r="K60" i="28" s="1"/>
  <c r="B64" i="27" s="1"/>
  <c r="J153" i="28"/>
  <c r="N142" i="28"/>
  <c r="K142" i="28" s="1"/>
  <c r="B146" i="27" s="1"/>
  <c r="K51" i="28"/>
  <c r="B55" i="27" s="1"/>
  <c r="N57" i="28"/>
  <c r="K57" i="28" s="1"/>
  <c r="B61" i="27" s="1"/>
  <c r="J90" i="28"/>
  <c r="G81" i="28"/>
  <c r="N94" i="28"/>
  <c r="K94" i="28" s="1"/>
  <c r="B98" i="27" s="1"/>
  <c r="J83" i="28"/>
  <c r="N68" i="28"/>
  <c r="K68" i="28" s="1"/>
  <c r="B72" i="27" s="1"/>
  <c r="N77" i="28"/>
  <c r="K77" i="28" s="1"/>
  <c r="B81" i="27" s="1"/>
  <c r="G128" i="28"/>
  <c r="N56" i="28"/>
  <c r="K56" i="28" s="1"/>
  <c r="B60" i="27" s="1"/>
  <c r="M69" i="28"/>
  <c r="M146" i="28"/>
  <c r="J54" i="28"/>
  <c r="N180" i="28"/>
  <c r="K180" i="28" s="1"/>
  <c r="B184" i="27" s="1"/>
  <c r="G67" i="28"/>
  <c r="N81" i="28"/>
  <c r="K81" i="28" s="1"/>
  <c r="B85" i="27" s="1"/>
  <c r="J86" i="28"/>
  <c r="N83" i="28"/>
  <c r="K83" i="28" s="1"/>
  <c r="B87" i="27" s="1"/>
  <c r="N74" i="28"/>
  <c r="K74" i="28" s="1"/>
  <c r="B78" i="27" s="1"/>
  <c r="J140" i="28"/>
  <c r="M83" i="28"/>
  <c r="N47" i="28"/>
  <c r="K47" i="28" s="1"/>
  <c r="B51" i="27" s="1"/>
  <c r="N58" i="28"/>
  <c r="K58" i="28" s="1"/>
  <c r="B62" i="27" s="1"/>
  <c r="N49" i="28"/>
  <c r="K49" i="28" s="1"/>
  <c r="B53" i="27" s="1"/>
  <c r="N71" i="28"/>
  <c r="K71" i="28" s="1"/>
  <c r="B75" i="27" s="1"/>
  <c r="M91" i="28"/>
  <c r="G61" i="28"/>
  <c r="N175" i="28"/>
  <c r="K175" i="28" s="1"/>
  <c r="B179" i="27" s="1"/>
  <c r="M9" i="28"/>
  <c r="M19" i="28"/>
  <c r="M27" i="28"/>
  <c r="J10" i="28"/>
  <c r="M10" i="28"/>
  <c r="G28" i="28"/>
  <c r="M11" i="28"/>
  <c r="M23" i="28"/>
  <c r="M28" i="28"/>
  <c r="M7" i="28"/>
  <c r="M6" i="28"/>
  <c r="G18" i="28"/>
  <c r="G27" i="28"/>
  <c r="N25" i="28"/>
  <c r="K25" i="28" s="1"/>
  <c r="B29" i="27" s="1"/>
  <c r="J6" i="28"/>
  <c r="G12" i="28"/>
  <c r="M14" i="28"/>
  <c r="G25" i="28"/>
  <c r="AI58" i="4"/>
  <c r="AI37" i="4"/>
  <c r="N178" i="28"/>
  <c r="K178" i="28" s="1"/>
  <c r="B182" i="27" s="1"/>
  <c r="G53" i="28"/>
  <c r="AI70" i="4"/>
  <c r="AK70" i="4" s="1"/>
  <c r="AH70" i="4"/>
  <c r="AH12" i="4"/>
  <c r="AI12" i="4"/>
  <c r="AK12" i="4" s="1"/>
  <c r="K29" i="28"/>
  <c r="B33" i="27" s="1"/>
  <c r="N135" i="28"/>
  <c r="K135" i="28" s="1"/>
  <c r="B139" i="27" s="1"/>
  <c r="G111" i="28"/>
  <c r="AH17" i="4"/>
  <c r="N223" i="4"/>
  <c r="G55" i="28"/>
  <c r="AH179" i="4"/>
  <c r="AH58" i="4"/>
  <c r="AI179" i="4"/>
  <c r="AH50" i="4"/>
  <c r="G57" i="28"/>
  <c r="AI50" i="4"/>
  <c r="AK50" i="4" s="1"/>
  <c r="G35" i="28"/>
  <c r="AK25" i="4"/>
  <c r="AI17" i="4"/>
  <c r="AK17" i="4" s="1"/>
  <c r="G160" i="28"/>
  <c r="G159" i="28"/>
  <c r="J112" i="28"/>
  <c r="J104" i="28"/>
  <c r="AI189" i="4"/>
  <c r="AK189" i="4" s="1"/>
  <c r="AI72" i="4"/>
  <c r="AH38" i="4"/>
  <c r="AK14" i="4"/>
  <c r="N42" i="28"/>
  <c r="K42" i="28" s="1"/>
  <c r="B46" i="27" s="1"/>
  <c r="AI47" i="4"/>
  <c r="D39" i="28" s="1"/>
  <c r="E43" i="27" s="1"/>
  <c r="AI66" i="4"/>
  <c r="AK66" i="4" s="1"/>
  <c r="J56" i="28"/>
  <c r="AH41" i="4"/>
  <c r="D159" i="28"/>
  <c r="E163" i="27" s="1"/>
  <c r="AH47" i="4"/>
  <c r="K55" i="28"/>
  <c r="B59" i="27" s="1"/>
  <c r="J27" i="28"/>
  <c r="G6" i="28"/>
  <c r="G167" i="28"/>
  <c r="G175" i="28"/>
  <c r="G174" i="28"/>
  <c r="J175" i="28"/>
  <c r="J28" i="28"/>
  <c r="AH62" i="4"/>
  <c r="AH72" i="4"/>
  <c r="AK35" i="4"/>
  <c r="AI38" i="4"/>
  <c r="AK38" i="4" s="1"/>
  <c r="J158" i="28"/>
  <c r="AH27" i="4"/>
  <c r="AH63" i="4"/>
  <c r="N97" i="28"/>
  <c r="K97" i="28" s="1"/>
  <c r="B101" i="27" s="1"/>
  <c r="AI184" i="4"/>
  <c r="AI63" i="4"/>
  <c r="AK63" i="4" s="1"/>
  <c r="AI27" i="4"/>
  <c r="AK27" i="4" s="1"/>
  <c r="G169" i="28"/>
  <c r="AK18" i="4"/>
  <c r="G52" i="28"/>
  <c r="G137" i="28"/>
  <c r="N34" i="28"/>
  <c r="K34" i="28" s="1"/>
  <c r="B38" i="27" s="1"/>
  <c r="G179" i="28"/>
  <c r="M51" i="28"/>
  <c r="G149" i="28"/>
  <c r="J149" i="28"/>
  <c r="G45" i="28"/>
  <c r="AI19" i="4"/>
  <c r="D34" i="28" s="1"/>
  <c r="E38" i="27" s="1"/>
  <c r="AH182" i="4"/>
  <c r="AI16" i="4"/>
  <c r="D97" i="28" s="1"/>
  <c r="E101" i="27" s="1"/>
  <c r="J52" i="28"/>
  <c r="AI112" i="4"/>
  <c r="D103" i="28" s="1"/>
  <c r="E107" i="27" s="1"/>
  <c r="AH112" i="4"/>
  <c r="G168" i="28"/>
  <c r="AH66" i="4"/>
  <c r="AI182" i="4"/>
  <c r="AK182" i="4" s="1"/>
  <c r="J51" i="28"/>
  <c r="G33" i="28"/>
  <c r="N218" i="4"/>
  <c r="J31" i="28"/>
  <c r="J46" i="28"/>
  <c r="AI53" i="4"/>
  <c r="AK53" i="4" s="1"/>
  <c r="N52" i="28"/>
  <c r="K52" i="28" s="1"/>
  <c r="B56" i="27" s="1"/>
  <c r="AK13" i="4"/>
  <c r="G147" i="28"/>
  <c r="J143" i="28"/>
  <c r="M52" i="28"/>
  <c r="D35" i="28"/>
  <c r="E39" i="27" s="1"/>
  <c r="AK41" i="4"/>
  <c r="K43" i="28"/>
  <c r="B47" i="27" s="1"/>
  <c r="J32" i="28"/>
  <c r="J43" i="28"/>
  <c r="G44" i="28"/>
  <c r="G151" i="28"/>
  <c r="M160" i="28"/>
  <c r="AI76" i="4"/>
  <c r="AG192" i="4"/>
  <c r="AH46" i="4"/>
  <c r="N46" i="28"/>
  <c r="K46" i="28" s="1"/>
  <c r="B50" i="27" s="1"/>
  <c r="AH76" i="4"/>
  <c r="AK158" i="4"/>
  <c r="AI92" i="4"/>
  <c r="AK92" i="4" s="1"/>
  <c r="AH92" i="4"/>
  <c r="J65" i="28"/>
  <c r="AI62" i="4"/>
  <c r="AG212" i="4"/>
  <c r="G177" i="28"/>
  <c r="J160" i="28"/>
  <c r="M161" i="28"/>
  <c r="AH132" i="4"/>
  <c r="AI54" i="4"/>
  <c r="D48" i="28" s="1"/>
  <c r="E52" i="27" s="1"/>
  <c r="AH54" i="4"/>
  <c r="AI138" i="4"/>
  <c r="AI159" i="4"/>
  <c r="AK159" i="4" s="1"/>
  <c r="M149" i="28"/>
  <c r="AK178" i="4"/>
  <c r="AI130" i="4"/>
  <c r="AK130" i="4" s="1"/>
  <c r="AH130" i="4"/>
  <c r="G113" i="28"/>
  <c r="AI151" i="4"/>
  <c r="AK151" i="4" s="1"/>
  <c r="J171" i="28"/>
  <c r="J157" i="28"/>
  <c r="AH69" i="4"/>
  <c r="AG201" i="4"/>
  <c r="AH138" i="4"/>
  <c r="AI157" i="4"/>
  <c r="AK157" i="4" s="1"/>
  <c r="AH151" i="4"/>
  <c r="AG193" i="4"/>
  <c r="G150" i="28"/>
  <c r="J141" i="28"/>
  <c r="M151" i="28"/>
  <c r="J174" i="28"/>
  <c r="G65" i="28"/>
  <c r="G13" i="28"/>
  <c r="G106" i="28"/>
  <c r="G63" i="28"/>
  <c r="J147" i="28"/>
  <c r="J161" i="28"/>
  <c r="G102" i="28"/>
  <c r="G22" i="28"/>
  <c r="J124" i="28"/>
  <c r="AG209" i="4"/>
  <c r="AI69" i="4"/>
  <c r="AK69" i="4" s="1"/>
  <c r="J122" i="28"/>
  <c r="M175" i="28"/>
  <c r="G71" i="28"/>
  <c r="AK168" i="4"/>
  <c r="AH73" i="4"/>
  <c r="G16" i="28"/>
  <c r="AI73" i="4"/>
  <c r="AK73" i="4" s="1"/>
  <c r="AG191" i="4"/>
  <c r="AG199" i="4"/>
  <c r="AI132" i="4"/>
  <c r="AI114" i="4"/>
  <c r="AK114" i="4" s="1"/>
  <c r="AI75" i="4"/>
  <c r="AK75" i="4" s="1"/>
  <c r="N70" i="28"/>
  <c r="K70" i="28" s="1"/>
  <c r="B74" i="27" s="1"/>
  <c r="G129" i="28"/>
  <c r="AG195" i="4"/>
  <c r="J101" i="28"/>
  <c r="G77" i="28"/>
  <c r="AH114" i="4"/>
  <c r="AI81" i="4"/>
  <c r="AG196" i="4"/>
  <c r="AD192" i="4"/>
  <c r="AC192" i="4" s="1"/>
  <c r="H8" i="28" s="1"/>
  <c r="AH75" i="4"/>
  <c r="AI135" i="4"/>
  <c r="G148" i="28"/>
  <c r="J120" i="28"/>
  <c r="G49" i="28"/>
  <c r="G96" i="28"/>
  <c r="G20" i="28"/>
  <c r="AH159" i="4"/>
  <c r="AI120" i="4"/>
  <c r="D112" i="28" s="1"/>
  <c r="E116" i="27" s="1"/>
  <c r="AH81" i="4"/>
  <c r="AH150" i="4"/>
  <c r="AH135" i="4"/>
  <c r="G94" i="28"/>
  <c r="G173" i="28"/>
  <c r="AH79" i="4"/>
  <c r="AH131" i="4"/>
  <c r="J102" i="28"/>
  <c r="AI87" i="4"/>
  <c r="G110" i="28"/>
  <c r="G75" i="28"/>
  <c r="M22" i="28"/>
  <c r="G164" i="28"/>
  <c r="M17" i="28"/>
  <c r="G172" i="28"/>
  <c r="G30" i="28"/>
  <c r="G170" i="28"/>
  <c r="G132" i="28"/>
  <c r="G83" i="28"/>
  <c r="M58" i="28"/>
  <c r="G121" i="28"/>
  <c r="J20" i="28"/>
  <c r="G21" i="28"/>
  <c r="M65" i="28"/>
  <c r="G99" i="28"/>
  <c r="G26" i="28"/>
  <c r="M20" i="28"/>
  <c r="J77" i="28"/>
  <c r="G127" i="28"/>
  <c r="J128" i="28"/>
  <c r="J70" i="28"/>
  <c r="J110" i="28"/>
  <c r="G156" i="28"/>
  <c r="G86" i="28"/>
  <c r="G88" i="28"/>
  <c r="AI94" i="4"/>
  <c r="AK94" i="4" s="1"/>
  <c r="AH99" i="4"/>
  <c r="N246" i="4"/>
  <c r="AI137" i="4"/>
  <c r="AK137" i="4" s="1"/>
  <c r="G142" i="28"/>
  <c r="G144" i="28"/>
  <c r="AI77" i="4"/>
  <c r="G72" i="28"/>
  <c r="J176" i="28"/>
  <c r="J131" i="28"/>
  <c r="AI131" i="4"/>
  <c r="AK131" i="4" s="1"/>
  <c r="G93" i="28"/>
  <c r="G103" i="28"/>
  <c r="AI99" i="4"/>
  <c r="D96" i="28" s="1"/>
  <c r="E100" i="27" s="1"/>
  <c r="AH141" i="4"/>
  <c r="AH123" i="4"/>
  <c r="AI141" i="4"/>
  <c r="AK141" i="4" s="1"/>
  <c r="J163" i="28"/>
  <c r="J151" i="28"/>
  <c r="J152" i="28"/>
  <c r="AI123" i="4"/>
  <c r="AK123" i="4" s="1"/>
  <c r="G8" i="28"/>
  <c r="AH137" i="4"/>
  <c r="AI125" i="4"/>
  <c r="G140" i="28"/>
  <c r="AH157" i="4"/>
  <c r="M79" i="28"/>
  <c r="AH105" i="4"/>
  <c r="AI79" i="4"/>
  <c r="AK79" i="4" s="1"/>
  <c r="M77" i="28"/>
  <c r="G15" i="28"/>
  <c r="G10" i="28"/>
  <c r="AH125" i="4"/>
  <c r="N140" i="28"/>
  <c r="K140" i="28" s="1"/>
  <c r="B144" i="27" s="1"/>
  <c r="AI155" i="4"/>
  <c r="AH155" i="4"/>
  <c r="N127" i="28"/>
  <c r="K127" i="28" s="1"/>
  <c r="B131" i="27" s="1"/>
  <c r="AI147" i="4"/>
  <c r="AK163" i="4"/>
  <c r="N154" i="28"/>
  <c r="K154" i="28" s="1"/>
  <c r="B158" i="27" s="1"/>
  <c r="AH172" i="4"/>
  <c r="AI174" i="4"/>
  <c r="D168" i="28" s="1"/>
  <c r="E172" i="27" s="1"/>
  <c r="AH174" i="4"/>
  <c r="N176" i="28"/>
  <c r="K176" i="28" s="1"/>
  <c r="B180" i="27" s="1"/>
  <c r="AK176" i="4"/>
  <c r="AK142" i="4"/>
  <c r="AH145" i="4"/>
  <c r="G123" i="28"/>
  <c r="J21" i="28"/>
  <c r="N20" i="28"/>
  <c r="K20" i="28" s="1"/>
  <c r="B24" i="27" s="1"/>
  <c r="AH128" i="4"/>
  <c r="AD206" i="4"/>
  <c r="AI206" i="4" s="1"/>
  <c r="AK206" i="4" s="1"/>
  <c r="N242" i="4"/>
  <c r="G126" i="28"/>
  <c r="J126" i="28"/>
  <c r="AH149" i="4"/>
  <c r="G153" i="28"/>
  <c r="AK143" i="4"/>
  <c r="N128" i="28"/>
  <c r="K128" i="28" s="1"/>
  <c r="B132" i="27" s="1"/>
  <c r="AH152" i="4"/>
  <c r="M152" i="28"/>
  <c r="AH136" i="4"/>
  <c r="N116" i="28"/>
  <c r="K116" i="28" s="1"/>
  <c r="B120" i="27" s="1"/>
  <c r="AI149" i="4"/>
  <c r="AI172" i="4"/>
  <c r="AH176" i="4"/>
  <c r="N156" i="28"/>
  <c r="K156" i="28" s="1"/>
  <c r="B160" i="27" s="1"/>
  <c r="AK171" i="4"/>
  <c r="AK148" i="4"/>
  <c r="AD205" i="4"/>
  <c r="AC205" i="4" s="1"/>
  <c r="H21" i="28" s="1"/>
  <c r="AH127" i="4"/>
  <c r="N22" i="28"/>
  <c r="K22" i="28" s="1"/>
  <c r="B26" i="27" s="1"/>
  <c r="N247" i="4"/>
  <c r="N123" i="28"/>
  <c r="K123" i="28" s="1"/>
  <c r="B127" i="27" s="1"/>
  <c r="AH144" i="4"/>
  <c r="AH181" i="4"/>
  <c r="N162" i="28"/>
  <c r="K162" i="28" s="1"/>
  <c r="B166" i="27" s="1"/>
  <c r="G116" i="28"/>
  <c r="N99" i="28"/>
  <c r="K99" i="28" s="1"/>
  <c r="B103" i="27" s="1"/>
  <c r="AH101" i="4"/>
  <c r="AI101" i="4"/>
  <c r="N225" i="4"/>
  <c r="AI146" i="4"/>
  <c r="J130" i="28"/>
  <c r="AI173" i="4"/>
  <c r="AI181" i="4"/>
  <c r="AH146" i="4"/>
  <c r="AI145" i="4"/>
  <c r="AI183" i="4"/>
  <c r="D177" i="28" s="1"/>
  <c r="E181" i="27" s="1"/>
  <c r="AH183" i="4"/>
  <c r="N134" i="28"/>
  <c r="K134" i="28" s="1"/>
  <c r="B138" i="27" s="1"/>
  <c r="AG204" i="4"/>
  <c r="AG200" i="4"/>
  <c r="AI68" i="4"/>
  <c r="AK68" i="4" s="1"/>
  <c r="AH156" i="4"/>
  <c r="N141" i="28"/>
  <c r="K141" i="28" s="1"/>
  <c r="B145" i="27" s="1"/>
  <c r="N133" i="28"/>
  <c r="K133" i="28" s="1"/>
  <c r="B137" i="27" s="1"/>
  <c r="AH163" i="4"/>
  <c r="AK140" i="4"/>
  <c r="J154" i="28"/>
  <c r="G154" i="28"/>
  <c r="AH180" i="4"/>
  <c r="AI180" i="4"/>
  <c r="N125" i="28"/>
  <c r="K125" i="28" s="1"/>
  <c r="B129" i="27" s="1"/>
  <c r="N220" i="4"/>
  <c r="N103" i="28"/>
  <c r="K103" i="28" s="1"/>
  <c r="B107" i="27" s="1"/>
  <c r="AD190" i="4"/>
  <c r="N121" i="28"/>
  <c r="K121" i="28" s="1"/>
  <c r="B125" i="27" s="1"/>
  <c r="AH142" i="4"/>
  <c r="J113" i="28"/>
  <c r="M113" i="28"/>
  <c r="AI144" i="4"/>
  <c r="D136" i="28" s="1"/>
  <c r="E140" i="27" s="1"/>
  <c r="AK107" i="4"/>
  <c r="AH154" i="4"/>
  <c r="J22" i="28"/>
  <c r="AK166" i="4"/>
  <c r="G162" i="28"/>
  <c r="G125" i="28"/>
  <c r="AI177" i="4"/>
  <c r="N157" i="28"/>
  <c r="K157" i="28" s="1"/>
  <c r="B161" i="27" s="1"/>
  <c r="AH177" i="4"/>
  <c r="M145" i="28"/>
  <c r="J145" i="28"/>
  <c r="AI160" i="4"/>
  <c r="N145" i="28"/>
  <c r="K145" i="28" s="1"/>
  <c r="B149" i="27" s="1"/>
  <c r="M21" i="28"/>
  <c r="M130" i="28"/>
  <c r="J13" i="28"/>
  <c r="M13" i="28"/>
  <c r="AD201" i="4"/>
  <c r="AC201" i="4" s="1"/>
  <c r="H17" i="28" s="1"/>
  <c r="N78" i="28"/>
  <c r="K78" i="28" s="1"/>
  <c r="B82" i="27" s="1"/>
  <c r="N244" i="4"/>
  <c r="AI154" i="4"/>
  <c r="AH161" i="4"/>
  <c r="N146" i="28"/>
  <c r="K146" i="28" s="1"/>
  <c r="B150" i="27" s="1"/>
  <c r="N155" i="28"/>
  <c r="K155" i="28" s="1"/>
  <c r="B159" i="27" s="1"/>
  <c r="N153" i="28"/>
  <c r="K153" i="28" s="1"/>
  <c r="B157" i="27" s="1"/>
  <c r="AH170" i="4"/>
  <c r="AI170" i="4"/>
  <c r="AK139" i="4"/>
  <c r="N241" i="4"/>
  <c r="AI113" i="4"/>
  <c r="N240" i="4"/>
  <c r="AD191" i="4"/>
  <c r="N7" i="28" s="1"/>
  <c r="K7" i="28" s="1"/>
  <c r="B11" i="27" s="1"/>
  <c r="J25" i="28"/>
  <c r="AK169" i="4"/>
  <c r="AK175" i="4"/>
  <c r="M25" i="28"/>
  <c r="N10" i="28"/>
  <c r="K10" i="28" s="1"/>
  <c r="B14" i="27" s="1"/>
  <c r="AI119" i="4"/>
  <c r="AH119" i="4"/>
  <c r="N173" i="28"/>
  <c r="K173" i="28" s="1"/>
  <c r="B177" i="27" s="1"/>
  <c r="AH139" i="4"/>
  <c r="N148" i="28"/>
  <c r="K148" i="28" s="1"/>
  <c r="B152" i="27" s="1"/>
  <c r="AI164" i="4"/>
  <c r="D156" i="28" s="1"/>
  <c r="E160" i="27" s="1"/>
  <c r="J117" i="28"/>
  <c r="AH129" i="4"/>
  <c r="N172" i="28"/>
  <c r="K172" i="28" s="1"/>
  <c r="B176" i="27" s="1"/>
  <c r="AH143" i="4"/>
  <c r="N122" i="28"/>
  <c r="K122" i="28" s="1"/>
  <c r="B126" i="27" s="1"/>
  <c r="AI150" i="4"/>
  <c r="M117" i="28"/>
  <c r="G138" i="28"/>
  <c r="G89" i="28"/>
  <c r="AG206" i="4"/>
  <c r="J30" i="28"/>
  <c r="M30" i="28"/>
  <c r="AH60" i="4"/>
  <c r="N72" i="28"/>
  <c r="K72" i="28" s="1"/>
  <c r="B76" i="27" s="1"/>
  <c r="AI124" i="4"/>
  <c r="N30" i="28"/>
  <c r="K30" i="28" s="1"/>
  <c r="B34" i="27" s="1"/>
  <c r="AK134" i="4"/>
  <c r="AH134" i="4"/>
  <c r="AD212" i="4"/>
  <c r="N234" i="4"/>
  <c r="M26" i="28"/>
  <c r="J26" i="28"/>
  <c r="N251" i="4"/>
  <c r="AD193" i="4"/>
  <c r="N9" i="28" s="1"/>
  <c r="K9" i="28" s="1"/>
  <c r="B13" i="27" s="1"/>
  <c r="AI33" i="4"/>
  <c r="AD200" i="4"/>
  <c r="AI200" i="4" s="1"/>
  <c r="AK200" i="4" s="1"/>
  <c r="AG198" i="4"/>
  <c r="N248" i="4"/>
  <c r="AD198" i="4"/>
  <c r="AI198" i="4" s="1"/>
  <c r="AK198" i="4" s="1"/>
  <c r="N24" i="28"/>
  <c r="K24" i="28" s="1"/>
  <c r="B28" i="27" s="1"/>
  <c r="J67" i="28"/>
  <c r="M67" i="28"/>
  <c r="AH94" i="4"/>
  <c r="AH87" i="4"/>
  <c r="N101" i="28"/>
  <c r="K101" i="28" s="1"/>
  <c r="B105" i="27" s="1"/>
  <c r="AH103" i="4"/>
  <c r="J61" i="28"/>
  <c r="N229" i="4"/>
  <c r="AH33" i="4"/>
  <c r="G60" i="28"/>
  <c r="AI74" i="4"/>
  <c r="AK74" i="4" s="1"/>
  <c r="N88" i="28"/>
  <c r="K88" i="28" s="1"/>
  <c r="B92" i="27" s="1"/>
  <c r="AH86" i="4"/>
  <c r="AI86" i="4"/>
  <c r="AK128" i="4"/>
  <c r="J68" i="28"/>
  <c r="AH124" i="4"/>
  <c r="AH115" i="4"/>
  <c r="J11" i="28"/>
  <c r="G11" i="28"/>
  <c r="AK108" i="4"/>
  <c r="AK82" i="4"/>
  <c r="AK121" i="4"/>
  <c r="J12" i="28"/>
  <c r="M12" i="28"/>
  <c r="J103" i="28"/>
  <c r="AD203" i="4"/>
  <c r="AI203" i="4" s="1"/>
  <c r="AK203" i="4" s="1"/>
  <c r="N79" i="28"/>
  <c r="K79" i="28" s="1"/>
  <c r="B83" i="27" s="1"/>
  <c r="AH91" i="4"/>
  <c r="AI91" i="4"/>
  <c r="N239" i="4"/>
  <c r="AK71" i="4"/>
  <c r="J16" i="28"/>
  <c r="M16" i="28"/>
  <c r="G14" i="28"/>
  <c r="J14" i="28"/>
  <c r="AH88" i="4"/>
  <c r="N238" i="4"/>
  <c r="N92" i="28"/>
  <c r="K92" i="28" s="1"/>
  <c r="B96" i="27" s="1"/>
  <c r="AD209" i="4"/>
  <c r="AI88" i="4"/>
  <c r="AK83" i="4"/>
  <c r="AK109" i="4"/>
  <c r="AH100" i="4"/>
  <c r="N73" i="28"/>
  <c r="K73" i="28" s="1"/>
  <c r="B77" i="27" s="1"/>
  <c r="AG207" i="4"/>
  <c r="AK103" i="4"/>
  <c r="M53" i="28"/>
  <c r="J53" i="28"/>
  <c r="AK129" i="4"/>
  <c r="AH122" i="4"/>
  <c r="J108" i="28"/>
  <c r="M108" i="28"/>
  <c r="AK106" i="4"/>
  <c r="AK89" i="4"/>
  <c r="G95" i="28"/>
  <c r="AH102" i="4"/>
  <c r="N100" i="28"/>
  <c r="K100" i="28" s="1"/>
  <c r="B104" i="27" s="1"/>
  <c r="N66" i="28"/>
  <c r="K66" i="28" s="1"/>
  <c r="B70" i="27" s="1"/>
  <c r="AD207" i="4"/>
  <c r="N235" i="4"/>
  <c r="AK127" i="4"/>
  <c r="D22" i="28"/>
  <c r="E26" i="27" s="1"/>
  <c r="J19" i="28"/>
  <c r="G19" i="28"/>
  <c r="AH116" i="4"/>
  <c r="AI116" i="4"/>
  <c r="AH98" i="4"/>
  <c r="N95" i="28"/>
  <c r="K95" i="28" s="1"/>
  <c r="B99" i="27" s="1"/>
  <c r="AH68" i="4"/>
  <c r="J76" i="28"/>
  <c r="AK96" i="4"/>
  <c r="M81" i="28"/>
  <c r="J81" i="28"/>
  <c r="J24" i="28"/>
  <c r="M24" i="28"/>
  <c r="AG190" i="4"/>
  <c r="J66" i="28"/>
  <c r="M66" i="28"/>
  <c r="G100" i="28"/>
  <c r="M18" i="28"/>
  <c r="J18" i="28"/>
  <c r="J62" i="28"/>
  <c r="G62" i="28"/>
  <c r="N23" i="28"/>
  <c r="K23" i="28" s="1"/>
  <c r="B27" i="27" s="1"/>
  <c r="N250" i="4"/>
  <c r="AH117" i="4"/>
  <c r="AD195" i="4"/>
  <c r="AC195" i="4" s="1"/>
  <c r="H11" i="28" s="1"/>
  <c r="AI93" i="4"/>
  <c r="D87" i="28" s="1"/>
  <c r="E91" i="27" s="1"/>
  <c r="N237" i="4"/>
  <c r="N75" i="28"/>
  <c r="K75" i="28" s="1"/>
  <c r="B79" i="27" s="1"/>
  <c r="AH93" i="4"/>
  <c r="AD196" i="4"/>
  <c r="N12" i="28" s="1"/>
  <c r="K12" i="28" s="1"/>
  <c r="B16" i="27" s="1"/>
  <c r="N84" i="28"/>
  <c r="K84" i="28" s="1"/>
  <c r="B88" i="27" s="1"/>
  <c r="AH82" i="4"/>
  <c r="AH108" i="4"/>
  <c r="N107" i="28"/>
  <c r="K107" i="28" s="1"/>
  <c r="B111" i="27" s="1"/>
  <c r="N64" i="28"/>
  <c r="K64" i="28" s="1"/>
  <c r="B68" i="27" s="1"/>
  <c r="AH95" i="4"/>
  <c r="AI95" i="4"/>
  <c r="AG210" i="4"/>
  <c r="AK111" i="4"/>
  <c r="AK102" i="4"/>
  <c r="D100" i="28"/>
  <c r="E104" i="27" s="1"/>
  <c r="G79" i="28"/>
  <c r="J79" i="28"/>
  <c r="AH118" i="4"/>
  <c r="N14" i="28"/>
  <c r="K14" i="28" s="1"/>
  <c r="B18" i="27" s="1"/>
  <c r="AI98" i="4"/>
  <c r="AK85" i="4"/>
  <c r="G85" i="28"/>
  <c r="J85" i="28"/>
  <c r="M103" i="28"/>
  <c r="J15" i="28"/>
  <c r="M15" i="28"/>
  <c r="AK100" i="4"/>
  <c r="AK115" i="4"/>
  <c r="AK105" i="4"/>
  <c r="J96" i="28"/>
  <c r="AH90" i="4"/>
  <c r="N62" i="28"/>
  <c r="K62" i="28" s="1"/>
  <c r="B66" i="27" s="1"/>
  <c r="AG211" i="4"/>
  <c r="G17" i="28"/>
  <c r="J17" i="28"/>
  <c r="AG203" i="4"/>
  <c r="AK122" i="4"/>
  <c r="AK117" i="4"/>
  <c r="G23" i="28"/>
  <c r="J23" i="28"/>
  <c r="AK84" i="4"/>
  <c r="AK65" i="4"/>
  <c r="D53" i="28"/>
  <c r="E57" i="27" s="1"/>
  <c r="N236" i="4"/>
  <c r="N110" i="28"/>
  <c r="K110" i="28" s="1"/>
  <c r="B114" i="27" s="1"/>
  <c r="AD210" i="4"/>
  <c r="AC210" i="4" s="1"/>
  <c r="H26" i="28" s="1"/>
  <c r="AH111" i="4"/>
  <c r="J63" i="28"/>
  <c r="N222" i="4"/>
  <c r="AH104" i="4"/>
  <c r="N102" i="28"/>
  <c r="K102" i="28" s="1"/>
  <c r="B106" i="27" s="1"/>
  <c r="AG205" i="4"/>
  <c r="AH121" i="4"/>
  <c r="N243" i="4"/>
  <c r="N19" i="28"/>
  <c r="K19" i="28" s="1"/>
  <c r="B23" i="27" s="1"/>
  <c r="AD199" i="4"/>
  <c r="N15" i="28" s="1"/>
  <c r="K15" i="28" s="1"/>
  <c r="B19" i="27" s="1"/>
  <c r="AK118" i="4"/>
  <c r="D14" i="28"/>
  <c r="E18" i="27" s="1"/>
  <c r="G9" i="28"/>
  <c r="J9" i="28"/>
  <c r="N87" i="28"/>
  <c r="K87" i="28" s="1"/>
  <c r="B91" i="27" s="1"/>
  <c r="AH85" i="4"/>
  <c r="AH83" i="4"/>
  <c r="N85" i="28"/>
  <c r="K85" i="28" s="1"/>
  <c r="B89" i="27" s="1"/>
  <c r="M8" i="28"/>
  <c r="J8" i="28"/>
  <c r="AI110" i="4"/>
  <c r="D102" i="28" s="1"/>
  <c r="E106" i="27" s="1"/>
  <c r="AH110" i="4"/>
  <c r="N109" i="28"/>
  <c r="K109" i="28" s="1"/>
  <c r="B113" i="27" s="1"/>
  <c r="N219" i="4"/>
  <c r="AH71" i="4"/>
  <c r="M76" i="28"/>
  <c r="AK90" i="4"/>
  <c r="AI133" i="4"/>
  <c r="AD211" i="4"/>
  <c r="AH133" i="4"/>
  <c r="N17" i="28"/>
  <c r="K17" i="28" s="1"/>
  <c r="B21" i="27" s="1"/>
  <c r="N245" i="4"/>
  <c r="J172" i="28"/>
  <c r="M172" i="28"/>
  <c r="G7" i="28"/>
  <c r="J7" i="28"/>
  <c r="AH106" i="4"/>
  <c r="N105" i="28"/>
  <c r="K105" i="28" s="1"/>
  <c r="B109" i="27" s="1"/>
  <c r="AH84" i="4"/>
  <c r="N86" i="28"/>
  <c r="K86" i="28" s="1"/>
  <c r="B90" i="27" s="1"/>
  <c r="J84" i="28"/>
  <c r="G84" i="28"/>
  <c r="K53" i="28"/>
  <c r="B57" i="27" s="1"/>
  <c r="AI31" i="4"/>
  <c r="AK67" i="4"/>
  <c r="G118" i="28"/>
  <c r="AI21" i="4"/>
  <c r="D36" i="28" s="1"/>
  <c r="E40" i="27" s="1"/>
  <c r="N36" i="28"/>
  <c r="K36" i="28" s="1"/>
  <c r="B40" i="27" s="1"/>
  <c r="AI39" i="4"/>
  <c r="D38" i="28" s="1"/>
  <c r="E42" i="27" s="1"/>
  <c r="N38" i="28"/>
  <c r="K38" i="28" s="1"/>
  <c r="B42" i="27" s="1"/>
  <c r="N181" i="28"/>
  <c r="K181" i="28" s="1"/>
  <c r="B185" i="27" s="1"/>
  <c r="AH78" i="4"/>
  <c r="N249" i="4"/>
  <c r="AD202" i="4"/>
  <c r="AI202" i="4" s="1"/>
  <c r="AK202" i="4" s="1"/>
  <c r="AK80" i="4"/>
  <c r="M74" i="28"/>
  <c r="J74" i="28"/>
  <c r="M59" i="28"/>
  <c r="AK59" i="4"/>
  <c r="J58" i="28"/>
  <c r="AH57" i="4"/>
  <c r="AD204" i="4"/>
  <c r="AC204" i="4" s="1"/>
  <c r="H20" i="28" s="1"/>
  <c r="N230" i="4"/>
  <c r="N80" i="28"/>
  <c r="K80" i="28" s="1"/>
  <c r="B84" i="27" s="1"/>
  <c r="AI78" i="4"/>
  <c r="AG202" i="4"/>
  <c r="J60" i="28"/>
  <c r="M75" i="28"/>
  <c r="J75" i="28"/>
  <c r="AK60" i="4"/>
  <c r="AK34" i="4"/>
  <c r="G82" i="28"/>
  <c r="J59" i="28"/>
  <c r="J181" i="28"/>
  <c r="G181" i="28"/>
  <c r="J82" i="28"/>
  <c r="M78" i="28"/>
  <c r="J78" i="28"/>
  <c r="N48" i="28"/>
  <c r="K48" i="28" s="1"/>
  <c r="B52" i="27" s="1"/>
  <c r="AH48" i="4"/>
  <c r="AD194" i="4"/>
  <c r="AI194" i="4" s="1"/>
  <c r="AK194" i="4" s="1"/>
  <c r="N232" i="4"/>
  <c r="G114" i="28"/>
  <c r="G80" i="28"/>
  <c r="AH67" i="4"/>
  <c r="N59" i="28"/>
  <c r="K59" i="28" s="1"/>
  <c r="B63" i="27" s="1"/>
  <c r="AI57" i="4"/>
  <c r="D49" i="28" s="1"/>
  <c r="E53" i="27" s="1"/>
  <c r="N82" i="28"/>
  <c r="K82" i="28" s="1"/>
  <c r="B86" i="27" s="1"/>
  <c r="AH80" i="4"/>
  <c r="M60" i="28"/>
  <c r="I3" i="28"/>
  <c r="AK29" i="4"/>
  <c r="M50" i="28"/>
  <c r="M36" i="28"/>
  <c r="L3" i="28"/>
  <c r="L4" i="28"/>
  <c r="J29" i="28"/>
  <c r="M29" i="28"/>
  <c r="I4" i="28"/>
  <c r="M11" i="26" s="1"/>
  <c r="N39" i="28"/>
  <c r="K39" i="28" s="1"/>
  <c r="B43" i="27" s="1"/>
  <c r="AH39" i="4"/>
  <c r="N224" i="4"/>
  <c r="AG208" i="4"/>
  <c r="G91" i="28"/>
  <c r="J91" i="28"/>
  <c r="J55" i="28"/>
  <c r="M55" i="28"/>
  <c r="J50" i="28"/>
  <c r="G37" i="28"/>
  <c r="J37" i="28"/>
  <c r="J39" i="28"/>
  <c r="G39" i="28"/>
  <c r="AK56" i="4"/>
  <c r="AH56" i="4"/>
  <c r="N231" i="4"/>
  <c r="AD208" i="4"/>
  <c r="N91" i="28"/>
  <c r="K91" i="28" s="1"/>
  <c r="B95" i="27" s="1"/>
  <c r="AK49" i="4"/>
  <c r="D37" i="28"/>
  <c r="E41" i="27" s="1"/>
  <c r="D119" i="28"/>
  <c r="E123" i="27" s="1"/>
  <c r="AK61" i="4"/>
  <c r="AK51" i="4"/>
  <c r="AH21" i="4"/>
  <c r="N221" i="4"/>
  <c r="N37" i="28"/>
  <c r="K37" i="28" s="1"/>
  <c r="B41" i="27" s="1"/>
  <c r="AD213" i="4"/>
  <c r="G119" i="28"/>
  <c r="J119" i="28"/>
  <c r="AG197" i="4"/>
  <c r="AG194" i="4"/>
  <c r="AK40" i="4"/>
  <c r="J115" i="28"/>
  <c r="G115" i="28"/>
  <c r="E4" i="28"/>
  <c r="AG213" i="4"/>
  <c r="G40" i="28"/>
  <c r="F4" i="28"/>
  <c r="F3" i="28"/>
  <c r="N115" i="28"/>
  <c r="K115" i="28" s="1"/>
  <c r="B119" i="27" s="1"/>
  <c r="AH31" i="4"/>
  <c r="AD197" i="4"/>
  <c r="N13" i="28" s="1"/>
  <c r="K13" i="28" s="1"/>
  <c r="B17" i="27" s="1"/>
  <c r="N233" i="4"/>
  <c r="AD10" i="4"/>
  <c r="AH10" i="4" s="1"/>
  <c r="AK48" i="4"/>
  <c r="AG10" i="4"/>
  <c r="E3" i="28"/>
  <c r="D108" i="28" l="1"/>
  <c r="E112" i="27" s="1"/>
  <c r="F112" i="27" s="1"/>
  <c r="D73" i="28"/>
  <c r="E77" i="27" s="1"/>
  <c r="F77" i="27" s="1"/>
  <c r="D118" i="28"/>
  <c r="E122" i="27" s="1"/>
  <c r="F122" i="27" s="1"/>
  <c r="D44" i="28"/>
  <c r="E48" i="27" s="1"/>
  <c r="F48" i="27" s="1"/>
  <c r="D110" i="28"/>
  <c r="E114" i="27" s="1"/>
  <c r="F114" i="27" s="1"/>
  <c r="D113" i="28"/>
  <c r="E117" i="27" s="1"/>
  <c r="F117" i="27" s="1"/>
  <c r="D82" i="28"/>
  <c r="E86" i="27" s="1"/>
  <c r="F86" i="27" s="1"/>
  <c r="D151" i="28"/>
  <c r="E155" i="27" s="1"/>
  <c r="F155" i="27" s="1"/>
  <c r="D51" i="28"/>
  <c r="E55" i="27" s="1"/>
  <c r="F55" i="27" s="1"/>
  <c r="D175" i="28"/>
  <c r="E179" i="27" s="1"/>
  <c r="F179" i="27" s="1"/>
  <c r="D158" i="28"/>
  <c r="E162" i="27" s="1"/>
  <c r="F162" i="27" s="1"/>
  <c r="D47" i="28"/>
  <c r="E51" i="27" s="1"/>
  <c r="F51" i="27" s="1"/>
  <c r="D178" i="28"/>
  <c r="E182" i="27" s="1"/>
  <c r="F182" i="27" s="1"/>
  <c r="D121" i="28"/>
  <c r="E125" i="27" s="1"/>
  <c r="F125" i="27" s="1"/>
  <c r="D172" i="28"/>
  <c r="E176" i="27" s="1"/>
  <c r="F176" i="27" s="1"/>
  <c r="D114" i="28"/>
  <c r="E118" i="27" s="1"/>
  <c r="F118" i="27" s="1"/>
  <c r="D90" i="28"/>
  <c r="E94" i="27" s="1"/>
  <c r="F94" i="27" s="1"/>
  <c r="D116" i="28"/>
  <c r="E120" i="27" s="1"/>
  <c r="F120" i="27" s="1"/>
  <c r="D169" i="28"/>
  <c r="E173" i="27" s="1"/>
  <c r="F173" i="27" s="1"/>
  <c r="D137" i="28"/>
  <c r="E141" i="27" s="1"/>
  <c r="F141" i="27" s="1"/>
  <c r="D141" i="28"/>
  <c r="E145" i="27" s="1"/>
  <c r="F145" i="27" s="1"/>
  <c r="D170" i="28"/>
  <c r="E174" i="27" s="1"/>
  <c r="F174" i="27" s="1"/>
  <c r="D150" i="28"/>
  <c r="E154" i="27" s="1"/>
  <c r="F154" i="27" s="1"/>
  <c r="D101" i="28"/>
  <c r="E105" i="27" s="1"/>
  <c r="F105" i="27" s="1"/>
  <c r="D107" i="28"/>
  <c r="E111" i="27" s="1"/>
  <c r="F111" i="27" s="1"/>
  <c r="D179" i="28"/>
  <c r="E183" i="27" s="1"/>
  <c r="F183" i="27" s="1"/>
  <c r="D167" i="28"/>
  <c r="E171" i="27" s="1"/>
  <c r="F171" i="27" s="1"/>
  <c r="D105" i="28"/>
  <c r="E109" i="27" s="1"/>
  <c r="F109" i="27" s="1"/>
  <c r="D72" i="28"/>
  <c r="E76" i="27" s="1"/>
  <c r="F76" i="27" s="1"/>
  <c r="D173" i="28"/>
  <c r="E177" i="27" s="1"/>
  <c r="F177" i="27" s="1"/>
  <c r="D85" i="28"/>
  <c r="E89" i="27" s="1"/>
  <c r="F89" i="27" s="1"/>
  <c r="D128" i="28"/>
  <c r="E132" i="27" s="1"/>
  <c r="F132" i="27" s="1"/>
  <c r="D111" i="28"/>
  <c r="E115" i="27" s="1"/>
  <c r="F115" i="27" s="1"/>
  <c r="D138" i="28"/>
  <c r="E142" i="27" s="1"/>
  <c r="F142" i="27" s="1"/>
  <c r="D77" i="28"/>
  <c r="E81" i="27" s="1"/>
  <c r="F81" i="27" s="1"/>
  <c r="D104" i="28"/>
  <c r="E108" i="27" s="1"/>
  <c r="F108" i="27" s="1"/>
  <c r="D161" i="28"/>
  <c r="E165" i="27" s="1"/>
  <c r="F165" i="27" s="1"/>
  <c r="D57" i="28"/>
  <c r="E61" i="27" s="1"/>
  <c r="F61" i="27" s="1"/>
  <c r="D122" i="28"/>
  <c r="E126" i="27" s="1"/>
  <c r="F126" i="27" s="1"/>
  <c r="D135" i="28"/>
  <c r="E139" i="27" s="1"/>
  <c r="F139" i="27" s="1"/>
  <c r="D84" i="28"/>
  <c r="E88" i="27" s="1"/>
  <c r="F88" i="27" s="1"/>
  <c r="D143" i="28"/>
  <c r="E147" i="27" s="1"/>
  <c r="F147" i="27" s="1"/>
  <c r="D86" i="28"/>
  <c r="E90" i="27" s="1"/>
  <c r="F90" i="27" s="1"/>
  <c r="D171" i="28"/>
  <c r="E175" i="27" s="1"/>
  <c r="F175" i="27" s="1"/>
  <c r="F163" i="27"/>
  <c r="F181" i="27"/>
  <c r="F116" i="27"/>
  <c r="D93" i="28"/>
  <c r="E97" i="27" s="1"/>
  <c r="F97" i="27" s="1"/>
  <c r="F164" i="27"/>
  <c r="D40" i="28"/>
  <c r="E44" i="27" s="1"/>
  <c r="F44" i="27" s="1"/>
  <c r="D55" i="28"/>
  <c r="E59" i="27" s="1"/>
  <c r="F59" i="27" s="1"/>
  <c r="D174" i="28"/>
  <c r="E178" i="27" s="1"/>
  <c r="F178" i="27" s="1"/>
  <c r="F140" i="27"/>
  <c r="D69" i="28"/>
  <c r="E73" i="27" s="1"/>
  <c r="F73" i="27" s="1"/>
  <c r="F46" i="27"/>
  <c r="D43" i="28"/>
  <c r="E47" i="27" s="1"/>
  <c r="F47" i="27" s="1"/>
  <c r="D106" i="28"/>
  <c r="E110" i="27" s="1"/>
  <c r="F110" i="27" s="1"/>
  <c r="D129" i="28"/>
  <c r="E133" i="27" s="1"/>
  <c r="F133" i="27" s="1"/>
  <c r="D65" i="28"/>
  <c r="E69" i="27" s="1"/>
  <c r="F69" i="27" s="1"/>
  <c r="D152" i="28"/>
  <c r="E156" i="27" s="1"/>
  <c r="F156" i="27" s="1"/>
  <c r="D62" i="28"/>
  <c r="E66" i="27" s="1"/>
  <c r="F66" i="27" s="1"/>
  <c r="D33" i="28"/>
  <c r="E37" i="27" s="1"/>
  <c r="F37" i="27" s="1"/>
  <c r="D45" i="28"/>
  <c r="E49" i="27" s="1"/>
  <c r="F49" i="27" s="1"/>
  <c r="D66" i="28"/>
  <c r="E70" i="27" s="1"/>
  <c r="F70" i="27" s="1"/>
  <c r="D133" i="28"/>
  <c r="E137" i="27" s="1"/>
  <c r="F137" i="27" s="1"/>
  <c r="D78" i="28"/>
  <c r="E82" i="27" s="1"/>
  <c r="F82" i="27" s="1"/>
  <c r="D67" i="28"/>
  <c r="E71" i="27" s="1"/>
  <c r="F71" i="27" s="1"/>
  <c r="D31" i="28"/>
  <c r="E35" i="27" s="1"/>
  <c r="F35" i="27" s="1"/>
  <c r="D32" i="28"/>
  <c r="E36" i="27" s="1"/>
  <c r="F36" i="27" s="1"/>
  <c r="D115" i="28"/>
  <c r="E119" i="27" s="1"/>
  <c r="F119" i="27" s="1"/>
  <c r="F172" i="27"/>
  <c r="D147" i="28"/>
  <c r="E151" i="27" s="1"/>
  <c r="F151" i="27" s="1"/>
  <c r="D164" i="28"/>
  <c r="E168" i="27" s="1"/>
  <c r="F168" i="27" s="1"/>
  <c r="D83" i="28"/>
  <c r="E87" i="27" s="1"/>
  <c r="F87" i="27" s="1"/>
  <c r="D46" i="28"/>
  <c r="E50" i="27" s="1"/>
  <c r="F50" i="27" s="1"/>
  <c r="F39" i="27"/>
  <c r="F101" i="27"/>
  <c r="F53" i="27"/>
  <c r="D56" i="28"/>
  <c r="E60" i="27" s="1"/>
  <c r="F60" i="27" s="1"/>
  <c r="D54" i="28"/>
  <c r="E58" i="27" s="1"/>
  <c r="F58" i="27" s="1"/>
  <c r="D91" i="28"/>
  <c r="E95" i="27" s="1"/>
  <c r="F95" i="27" s="1"/>
  <c r="D180" i="28"/>
  <c r="E184" i="27" s="1"/>
  <c r="F184" i="27" s="1"/>
  <c r="D59" i="28"/>
  <c r="E63" i="27" s="1"/>
  <c r="F63" i="27" s="1"/>
  <c r="N26" i="28"/>
  <c r="K26" i="28" s="1"/>
  <c r="B30" i="27" s="1"/>
  <c r="N16" i="28"/>
  <c r="K16" i="28" s="1"/>
  <c r="B20" i="27" s="1"/>
  <c r="N18" i="28"/>
  <c r="K18" i="28" s="1"/>
  <c r="B22" i="27" s="1"/>
  <c r="AI211" i="4"/>
  <c r="N27" i="28"/>
  <c r="K27" i="28" s="1"/>
  <c r="B31" i="27" s="1"/>
  <c r="AC212" i="4"/>
  <c r="H28" i="28" s="1"/>
  <c r="N28" i="28"/>
  <c r="K28" i="28" s="1"/>
  <c r="B32" i="27" s="1"/>
  <c r="D19" i="28"/>
  <c r="E23" i="27" s="1"/>
  <c r="F23" i="27" s="1"/>
  <c r="N11" i="28"/>
  <c r="K11" i="28" s="1"/>
  <c r="B15" i="27" s="1"/>
  <c r="AC190" i="4"/>
  <c r="H6" i="28" s="1"/>
  <c r="N6" i="28"/>
  <c r="K6" i="28" s="1"/>
  <c r="B10" i="27" s="1"/>
  <c r="D18" i="28"/>
  <c r="E22" i="27" s="1"/>
  <c r="N21" i="28"/>
  <c r="K21" i="28" s="1"/>
  <c r="B25" i="27" s="1"/>
  <c r="N8" i="28"/>
  <c r="K8" i="28" s="1"/>
  <c r="B12" i="27" s="1"/>
  <c r="AK58" i="4"/>
  <c r="D61" i="28"/>
  <c r="E65" i="27" s="1"/>
  <c r="F65" i="27" s="1"/>
  <c r="AK37" i="4"/>
  <c r="D29" i="28"/>
  <c r="E33" i="27" s="1"/>
  <c r="F33" i="27" s="1"/>
  <c r="AK179" i="4"/>
  <c r="D50" i="28"/>
  <c r="E54" i="27" s="1"/>
  <c r="F54" i="27" s="1"/>
  <c r="D165" i="28"/>
  <c r="E169" i="27" s="1"/>
  <c r="F169" i="27" s="1"/>
  <c r="D166" i="28"/>
  <c r="E170" i="27" s="1"/>
  <c r="F170" i="27" s="1"/>
  <c r="AK47" i="4"/>
  <c r="AK72" i="4"/>
  <c r="D98" i="28"/>
  <c r="E102" i="27" s="1"/>
  <c r="F102" i="27" s="1"/>
  <c r="D41" i="28"/>
  <c r="E45" i="27" s="1"/>
  <c r="F45" i="27" s="1"/>
  <c r="D76" i="28"/>
  <c r="E80" i="27" s="1"/>
  <c r="F80" i="27" s="1"/>
  <c r="AK184" i="4"/>
  <c r="D52" i="28"/>
  <c r="E56" i="27" s="1"/>
  <c r="F56" i="27" s="1"/>
  <c r="D58" i="28"/>
  <c r="E62" i="27" s="1"/>
  <c r="F62" i="27" s="1"/>
  <c r="AK112" i="4"/>
  <c r="D163" i="28"/>
  <c r="E167" i="27" s="1"/>
  <c r="F167" i="27" s="1"/>
  <c r="AK19" i="4"/>
  <c r="F38" i="27"/>
  <c r="D63" i="28"/>
  <c r="E67" i="27" s="1"/>
  <c r="F67" i="27" s="1"/>
  <c r="AK16" i="4"/>
  <c r="AK76" i="4"/>
  <c r="AC200" i="4"/>
  <c r="H16" i="28" s="1"/>
  <c r="AH200" i="4"/>
  <c r="AK62" i="4"/>
  <c r="AK54" i="4"/>
  <c r="AI201" i="4"/>
  <c r="AK201" i="4" s="1"/>
  <c r="D144" i="28"/>
  <c r="E148" i="27" s="1"/>
  <c r="F148" i="27" s="1"/>
  <c r="AK138" i="4"/>
  <c r="D142" i="28"/>
  <c r="E146" i="27" s="1"/>
  <c r="F146" i="27" s="1"/>
  <c r="D71" i="28"/>
  <c r="E75" i="27" s="1"/>
  <c r="F75" i="27" s="1"/>
  <c r="D60" i="28"/>
  <c r="E64" i="27" s="1"/>
  <c r="F64" i="27" s="1"/>
  <c r="AH201" i="4"/>
  <c r="AK81" i="4"/>
  <c r="AK135" i="4"/>
  <c r="D68" i="28"/>
  <c r="E72" i="27" s="1"/>
  <c r="F72" i="27" s="1"/>
  <c r="AK120" i="4"/>
  <c r="AK99" i="4"/>
  <c r="D74" i="28"/>
  <c r="E78" i="27" s="1"/>
  <c r="F78" i="27" s="1"/>
  <c r="D25" i="28"/>
  <c r="E29" i="27" s="1"/>
  <c r="F29" i="27" s="1"/>
  <c r="AK132" i="4"/>
  <c r="AK33" i="4"/>
  <c r="D21" i="28"/>
  <c r="E25" i="27" s="1"/>
  <c r="AK125" i="4"/>
  <c r="AH192" i="4"/>
  <c r="AH195" i="4"/>
  <c r="AI192" i="4"/>
  <c r="AK192" i="4" s="1"/>
  <c r="AI195" i="4"/>
  <c r="D120" i="28"/>
  <c r="E124" i="27" s="1"/>
  <c r="F124" i="27" s="1"/>
  <c r="AI205" i="4"/>
  <c r="AK205" i="4" s="1"/>
  <c r="F160" i="27"/>
  <c r="AK77" i="4"/>
  <c r="D16" i="28"/>
  <c r="E20" i="27" s="1"/>
  <c r="AK31" i="4"/>
  <c r="D117" i="28"/>
  <c r="E121" i="27" s="1"/>
  <c r="F121" i="27" s="1"/>
  <c r="AK21" i="4"/>
  <c r="D70" i="28"/>
  <c r="E74" i="27" s="1"/>
  <c r="F74" i="27" s="1"/>
  <c r="AI190" i="4"/>
  <c r="D94" i="28"/>
  <c r="E98" i="27" s="1"/>
  <c r="F98" i="27" s="1"/>
  <c r="AK87" i="4"/>
  <c r="D89" i="28"/>
  <c r="E93" i="27" s="1"/>
  <c r="F93" i="27" s="1"/>
  <c r="F107" i="27"/>
  <c r="F26" i="27"/>
  <c r="F106" i="27"/>
  <c r="F104" i="27"/>
  <c r="BJ25" i="4"/>
  <c r="BJ8" i="4" s="1"/>
  <c r="D140" i="28"/>
  <c r="E144" i="27" s="1"/>
  <c r="F144" i="27" s="1"/>
  <c r="AK155" i="4"/>
  <c r="D127" i="28"/>
  <c r="E131" i="27" s="1"/>
  <c r="F131" i="27" s="1"/>
  <c r="AK147" i="4"/>
  <c r="AK154" i="4"/>
  <c r="D139" i="28"/>
  <c r="E143" i="27" s="1"/>
  <c r="F143" i="27" s="1"/>
  <c r="AK177" i="4"/>
  <c r="D157" i="28"/>
  <c r="E161" i="27" s="1"/>
  <c r="F161" i="27" s="1"/>
  <c r="AK144" i="4"/>
  <c r="D123" i="28"/>
  <c r="E127" i="27" s="1"/>
  <c r="F127" i="27" s="1"/>
  <c r="AC206" i="4"/>
  <c r="H22" i="28" s="1"/>
  <c r="AH206" i="4"/>
  <c r="AK39" i="4"/>
  <c r="AK113" i="4"/>
  <c r="AK181" i="4"/>
  <c r="D162" i="28"/>
  <c r="E166" i="27" s="1"/>
  <c r="F166" i="27" s="1"/>
  <c r="AK146" i="4"/>
  <c r="D126" i="28"/>
  <c r="E130" i="27" s="1"/>
  <c r="F130" i="27" s="1"/>
  <c r="AK172" i="4"/>
  <c r="D154" i="28"/>
  <c r="E158" i="27" s="1"/>
  <c r="F158" i="27" s="1"/>
  <c r="AH190" i="4"/>
  <c r="AH205" i="4"/>
  <c r="D149" i="28"/>
  <c r="E153" i="27" s="1"/>
  <c r="F153" i="27" s="1"/>
  <c r="AK164" i="4"/>
  <c r="D148" i="28"/>
  <c r="E152" i="27" s="1"/>
  <c r="F152" i="27" s="1"/>
  <c r="AK119" i="4"/>
  <c r="D10" i="28"/>
  <c r="E14" i="27" s="1"/>
  <c r="F14" i="27" s="1"/>
  <c r="D153" i="28"/>
  <c r="E157" i="27" s="1"/>
  <c r="F157" i="27" s="1"/>
  <c r="AK170" i="4"/>
  <c r="D125" i="28"/>
  <c r="E129" i="27" s="1"/>
  <c r="F129" i="27" s="1"/>
  <c r="AK180" i="4"/>
  <c r="AK183" i="4"/>
  <c r="D134" i="28"/>
  <c r="E138" i="27" s="1"/>
  <c r="F138" i="27" s="1"/>
  <c r="AK173" i="4"/>
  <c r="D155" i="28"/>
  <c r="E159" i="27" s="1"/>
  <c r="F159" i="27" s="1"/>
  <c r="AK149" i="4"/>
  <c r="D130" i="28"/>
  <c r="E134" i="27" s="1"/>
  <c r="F134" i="27" s="1"/>
  <c r="AK174" i="4"/>
  <c r="D176" i="28"/>
  <c r="E180" i="27" s="1"/>
  <c r="F180" i="27" s="1"/>
  <c r="AI212" i="4"/>
  <c r="D132" i="28"/>
  <c r="E136" i="27" s="1"/>
  <c r="F136" i="27" s="1"/>
  <c r="D131" i="28"/>
  <c r="E135" i="27" s="1"/>
  <c r="F135" i="27" s="1"/>
  <c r="AK150" i="4"/>
  <c r="AC191" i="4"/>
  <c r="H7" i="28" s="1"/>
  <c r="AI191" i="4"/>
  <c r="AH191" i="4"/>
  <c r="D146" i="28"/>
  <c r="E150" i="27" s="1"/>
  <c r="F150" i="27" s="1"/>
  <c r="AK160" i="4"/>
  <c r="D145" i="28"/>
  <c r="E149" i="27" s="1"/>
  <c r="F149" i="27" s="1"/>
  <c r="D124" i="28"/>
  <c r="E128" i="27" s="1"/>
  <c r="F128" i="27" s="1"/>
  <c r="AK145" i="4"/>
  <c r="AK101" i="4"/>
  <c r="D99" i="28"/>
  <c r="E103" i="27" s="1"/>
  <c r="F103" i="27" s="1"/>
  <c r="D88" i="28"/>
  <c r="E92" i="27" s="1"/>
  <c r="F92" i="27" s="1"/>
  <c r="AK86" i="4"/>
  <c r="AH210" i="4"/>
  <c r="AC193" i="4"/>
  <c r="H9" i="28" s="1"/>
  <c r="AH193" i="4"/>
  <c r="AI193" i="4"/>
  <c r="AK193" i="4" s="1"/>
  <c r="AC198" i="4"/>
  <c r="H14" i="28" s="1"/>
  <c r="AH198" i="4"/>
  <c r="D30" i="28"/>
  <c r="E34" i="27" s="1"/>
  <c r="F34" i="27" s="1"/>
  <c r="AK124" i="4"/>
  <c r="AH212" i="4"/>
  <c r="F57" i="27"/>
  <c r="D109" i="28"/>
  <c r="E113" i="27" s="1"/>
  <c r="F113" i="27" s="1"/>
  <c r="AK110" i="4"/>
  <c r="AK98" i="4"/>
  <c r="D95" i="28"/>
  <c r="E99" i="27" s="1"/>
  <c r="F99" i="27" s="1"/>
  <c r="F100" i="27"/>
  <c r="AK116" i="4"/>
  <c r="D9" i="28"/>
  <c r="E13" i="27" s="1"/>
  <c r="F13" i="27" s="1"/>
  <c r="AI207" i="4"/>
  <c r="AC207" i="4"/>
  <c r="H23" i="28" s="1"/>
  <c r="AH207" i="4"/>
  <c r="F18" i="27"/>
  <c r="BI25" i="4"/>
  <c r="AC211" i="4"/>
  <c r="H27" i="28" s="1"/>
  <c r="AH211" i="4"/>
  <c r="F91" i="27"/>
  <c r="AI196" i="4"/>
  <c r="AK196" i="4" s="1"/>
  <c r="AC196" i="4"/>
  <c r="H12" i="28" s="1"/>
  <c r="AH196" i="4"/>
  <c r="AK93" i="4"/>
  <c r="D75" i="28"/>
  <c r="E79" i="27" s="1"/>
  <c r="F79" i="27" s="1"/>
  <c r="D92" i="28"/>
  <c r="E96" i="27" s="1"/>
  <c r="F96" i="27" s="1"/>
  <c r="AK88" i="4"/>
  <c r="AC203" i="4"/>
  <c r="H19" i="28" s="1"/>
  <c r="AH203" i="4"/>
  <c r="D17" i="28"/>
  <c r="E21" i="27" s="1"/>
  <c r="F21" i="27" s="1"/>
  <c r="AK133" i="4"/>
  <c r="AC199" i="4"/>
  <c r="H15" i="28" s="1"/>
  <c r="AH199" i="4"/>
  <c r="AI199" i="4"/>
  <c r="AK199" i="4" s="1"/>
  <c r="AI210" i="4"/>
  <c r="D64" i="28"/>
  <c r="E68" i="27" s="1"/>
  <c r="F68" i="27" s="1"/>
  <c r="AK95" i="4"/>
  <c r="AC209" i="4"/>
  <c r="H25" i="28" s="1"/>
  <c r="AH209" i="4"/>
  <c r="AI209" i="4"/>
  <c r="AK209" i="4" s="1"/>
  <c r="D79" i="28"/>
  <c r="E83" i="27" s="1"/>
  <c r="F83" i="27" s="1"/>
  <c r="AK91" i="4"/>
  <c r="AH197" i="4"/>
  <c r="AC197" i="4"/>
  <c r="H13" i="28" s="1"/>
  <c r="AH213" i="4"/>
  <c r="AC213" i="4"/>
  <c r="AH202" i="4"/>
  <c r="AC202" i="4"/>
  <c r="H18" i="28" s="1"/>
  <c r="AH208" i="4"/>
  <c r="AC208" i="4"/>
  <c r="H24" i="28" s="1"/>
  <c r="AH194" i="4"/>
  <c r="AC194" i="4"/>
  <c r="H10" i="28" s="1"/>
  <c r="F52" i="27"/>
  <c r="F42" i="27"/>
  <c r="F40" i="27"/>
  <c r="D81" i="28"/>
  <c r="E85" i="27" s="1"/>
  <c r="F85" i="27" s="1"/>
  <c r="AK57" i="4"/>
  <c r="D80" i="28"/>
  <c r="E84" i="27" s="1"/>
  <c r="F84" i="27" s="1"/>
  <c r="AH204" i="4"/>
  <c r="AI204" i="4"/>
  <c r="BG25" i="4"/>
  <c r="AK78" i="4"/>
  <c r="D181" i="28"/>
  <c r="E185" i="27" s="1"/>
  <c r="F185" i="27" s="1"/>
  <c r="BH25" i="4"/>
  <c r="J3" i="28"/>
  <c r="AI213" i="4"/>
  <c r="AK213" i="4" s="1"/>
  <c r="F123" i="27"/>
  <c r="F41" i="27"/>
  <c r="G3" i="28"/>
  <c r="AI208" i="4"/>
  <c r="AK208" i="4" s="1"/>
  <c r="M3" i="28"/>
  <c r="F43" i="27"/>
  <c r="Q11" i="26"/>
  <c r="R11" i="26" s="1"/>
  <c r="M4" i="28"/>
  <c r="AI10" i="4"/>
  <c r="I11" i="26"/>
  <c r="G4" i="28"/>
  <c r="J11" i="26" s="1"/>
  <c r="AI197" i="4"/>
  <c r="AK197" i="4" s="1"/>
  <c r="H11" i="26"/>
  <c r="J4" i="28"/>
  <c r="N11" i="26" s="1"/>
  <c r="F20" i="27" l="1"/>
  <c r="F25" i="27"/>
  <c r="F22" i="27"/>
  <c r="AK210" i="4"/>
  <c r="D26" i="28"/>
  <c r="E30" i="27" s="1"/>
  <c r="F30" i="27" s="1"/>
  <c r="D24" i="28"/>
  <c r="E28" i="27" s="1"/>
  <c r="F28" i="27" s="1"/>
  <c r="N4" i="28"/>
  <c r="H4" i="28" s="1"/>
  <c r="E11" i="26" s="1"/>
  <c r="F11" i="26" s="1"/>
  <c r="AK204" i="4"/>
  <c r="D20" i="28"/>
  <c r="E24" i="27" s="1"/>
  <c r="F24" i="27" s="1"/>
  <c r="D12" i="28"/>
  <c r="E16" i="27" s="1"/>
  <c r="F16" i="27" s="1"/>
  <c r="D13" i="28"/>
  <c r="E17" i="27" s="1"/>
  <c r="F17" i="27" s="1"/>
  <c r="AK212" i="4"/>
  <c r="D28" i="28"/>
  <c r="E32" i="27" s="1"/>
  <c r="F32" i="27" s="1"/>
  <c r="AK207" i="4"/>
  <c r="D23" i="28"/>
  <c r="E27" i="27" s="1"/>
  <c r="F27" i="27" s="1"/>
  <c r="AK211" i="4"/>
  <c r="D27" i="28"/>
  <c r="E31" i="27" s="1"/>
  <c r="F31" i="27" s="1"/>
  <c r="D15" i="28"/>
  <c r="E19" i="27" s="1"/>
  <c r="F19" i="27" s="1"/>
  <c r="AK190" i="4"/>
  <c r="D6" i="28"/>
  <c r="E10" i="27" s="1"/>
  <c r="F10" i="27" s="1"/>
  <c r="AK195" i="4"/>
  <c r="D11" i="28"/>
  <c r="E15" i="27" s="1"/>
  <c r="F15" i="27" s="1"/>
  <c r="D8" i="28"/>
  <c r="E12" i="27" s="1"/>
  <c r="F12" i="27" s="1"/>
  <c r="K3" i="28"/>
  <c r="AK191" i="4"/>
  <c r="D7" i="28"/>
  <c r="E11" i="27" s="1"/>
  <c r="F11" i="27" s="1"/>
  <c r="H3" i="28"/>
  <c r="G59" i="27" l="1"/>
  <c r="H59" i="27" s="1"/>
  <c r="P59" i="27" s="1"/>
  <c r="G50" i="27"/>
  <c r="H50" i="27" s="1"/>
  <c r="J50" i="27" s="1"/>
  <c r="G116" i="27"/>
  <c r="H116" i="27" s="1"/>
  <c r="J116" i="27" s="1"/>
  <c r="G125" i="27"/>
  <c r="H125" i="27" s="1"/>
  <c r="L125" i="27" s="1"/>
  <c r="G98" i="27"/>
  <c r="H98" i="27" s="1"/>
  <c r="N98" i="27" s="1"/>
  <c r="G93" i="27"/>
  <c r="H93" i="27" s="1"/>
  <c r="M93" i="27" s="1"/>
  <c r="G131" i="27"/>
  <c r="H131" i="27" s="1"/>
  <c r="N131" i="27" s="1"/>
  <c r="G107" i="27"/>
  <c r="H107" i="27" s="1"/>
  <c r="N107" i="27" s="1"/>
  <c r="G143" i="27"/>
  <c r="H143" i="27" s="1"/>
  <c r="N143" i="27" s="1"/>
  <c r="G24" i="27"/>
  <c r="H24" i="27" s="1"/>
  <c r="T24" i="27" s="1"/>
  <c r="G46" i="27"/>
  <c r="H46" i="27" s="1"/>
  <c r="Q46" i="27" s="1"/>
  <c r="G106" i="27"/>
  <c r="H106" i="27" s="1"/>
  <c r="K106" i="27" s="1"/>
  <c r="G71" i="27"/>
  <c r="H71" i="27" s="1"/>
  <c r="N71" i="27" s="1"/>
  <c r="G51" i="27"/>
  <c r="H51" i="27" s="1"/>
  <c r="S51" i="27" s="1"/>
  <c r="G112" i="27"/>
  <c r="H112" i="27" s="1"/>
  <c r="L112" i="27" s="1"/>
  <c r="G140" i="27"/>
  <c r="H140" i="27" s="1"/>
  <c r="N140" i="27" s="1"/>
  <c r="G146" i="27"/>
  <c r="H146" i="27" s="1"/>
  <c r="O146" i="27" s="1"/>
  <c r="G62" i="27"/>
  <c r="H62" i="27" s="1"/>
  <c r="S62" i="27" s="1"/>
  <c r="G26" i="27"/>
  <c r="H26" i="27" s="1"/>
  <c r="M26" i="27" s="1"/>
  <c r="G128" i="27"/>
  <c r="H128" i="27" s="1"/>
  <c r="M128" i="27" s="1"/>
  <c r="G183" i="27"/>
  <c r="H183" i="27" s="1"/>
  <c r="T183" i="27" s="1"/>
  <c r="G95" i="27"/>
  <c r="H95" i="27" s="1"/>
  <c r="P95" i="27" s="1"/>
  <c r="G167" i="27"/>
  <c r="H167" i="27" s="1"/>
  <c r="K167" i="27" s="1"/>
  <c r="G142" i="27"/>
  <c r="H142" i="27" s="1"/>
  <c r="G68" i="27"/>
  <c r="H68" i="27" s="1"/>
  <c r="R68" i="27" s="1"/>
  <c r="G144" i="27"/>
  <c r="H144" i="27" s="1"/>
  <c r="T144" i="27" s="1"/>
  <c r="G36" i="27"/>
  <c r="H36" i="27" s="1"/>
  <c r="R36" i="27" s="1"/>
  <c r="G17" i="27"/>
  <c r="H17" i="27" s="1"/>
  <c r="G19" i="27"/>
  <c r="H19" i="27" s="1"/>
  <c r="K19" i="27" s="1"/>
  <c r="G56" i="27"/>
  <c r="H56" i="27" s="1"/>
  <c r="N56" i="27" s="1"/>
  <c r="G94" i="27"/>
  <c r="H94" i="27" s="1"/>
  <c r="L94" i="27" s="1"/>
  <c r="G156" i="27"/>
  <c r="H156" i="27" s="1"/>
  <c r="Q156" i="27" s="1"/>
  <c r="G83" i="27"/>
  <c r="H83" i="27" s="1"/>
  <c r="L83" i="27" s="1"/>
  <c r="G182" i="27"/>
  <c r="H182" i="27" s="1"/>
  <c r="N182" i="27" s="1"/>
  <c r="G64" i="27"/>
  <c r="H64" i="27" s="1"/>
  <c r="Q64" i="27" s="1"/>
  <c r="G10" i="27"/>
  <c r="H10" i="27" s="1"/>
  <c r="G11" i="27"/>
  <c r="H11" i="27" s="1"/>
  <c r="N11" i="27" s="1"/>
  <c r="G18" i="27"/>
  <c r="H18" i="27" s="1"/>
  <c r="L18" i="27" s="1"/>
  <c r="G72" i="27"/>
  <c r="H72" i="27" s="1"/>
  <c r="Q72" i="27" s="1"/>
  <c r="G134" i="27"/>
  <c r="H134" i="27" s="1"/>
  <c r="G153" i="27"/>
  <c r="H153" i="27" s="1"/>
  <c r="S153" i="27" s="1"/>
  <c r="G130" i="27"/>
  <c r="H130" i="27" s="1"/>
  <c r="L130" i="27" s="1"/>
  <c r="G35" i="27"/>
  <c r="H35" i="27" s="1"/>
  <c r="K35" i="27" s="1"/>
  <c r="G60" i="27"/>
  <c r="H60" i="27" s="1"/>
  <c r="G147" i="27"/>
  <c r="H147" i="27" s="1"/>
  <c r="O147" i="27" s="1"/>
  <c r="G168" i="27"/>
  <c r="H168" i="27" s="1"/>
  <c r="S168" i="27" s="1"/>
  <c r="G160" i="27"/>
  <c r="H160" i="27" s="1"/>
  <c r="G180" i="27"/>
  <c r="H180" i="27" s="1"/>
  <c r="G89" i="27"/>
  <c r="H89" i="27" s="1"/>
  <c r="R89" i="27" s="1"/>
  <c r="G97" i="27"/>
  <c r="H97" i="27" s="1"/>
  <c r="J97" i="27" s="1"/>
  <c r="G37" i="27"/>
  <c r="H37" i="27" s="1"/>
  <c r="R37" i="27" s="1"/>
  <c r="G165" i="27"/>
  <c r="H165" i="27" s="1"/>
  <c r="G39" i="27"/>
  <c r="H39" i="27" s="1"/>
  <c r="P39" i="27" s="1"/>
  <c r="G123" i="27"/>
  <c r="H123" i="27" s="1"/>
  <c r="K123" i="27" s="1"/>
  <c r="G117" i="27"/>
  <c r="H117" i="27" s="1"/>
  <c r="R117" i="27" s="1"/>
  <c r="G32" i="27"/>
  <c r="H32" i="27" s="1"/>
  <c r="S32" i="27" s="1"/>
  <c r="G103" i="27"/>
  <c r="H103" i="27" s="1"/>
  <c r="O103" i="27" s="1"/>
  <c r="G49" i="27"/>
  <c r="H49" i="27" s="1"/>
  <c r="P49" i="27" s="1"/>
  <c r="G159" i="27"/>
  <c r="H159" i="27" s="1"/>
  <c r="M159" i="27" s="1"/>
  <c r="G152" i="27"/>
  <c r="H152" i="27" s="1"/>
  <c r="T152" i="27" s="1"/>
  <c r="G171" i="27"/>
  <c r="H171" i="27" s="1"/>
  <c r="N171" i="27" s="1"/>
  <c r="G124" i="27"/>
  <c r="H124" i="27" s="1"/>
  <c r="L124" i="27" s="1"/>
  <c r="G13" i="27"/>
  <c r="H13" i="27" s="1"/>
  <c r="J13" i="27" s="1"/>
  <c r="G113" i="27"/>
  <c r="H113" i="27" s="1"/>
  <c r="S113" i="27" s="1"/>
  <c r="G14" i="27"/>
  <c r="H14" i="27" s="1"/>
  <c r="Q14" i="27" s="1"/>
  <c r="G66" i="27"/>
  <c r="H66" i="27" s="1"/>
  <c r="G70" i="27"/>
  <c r="H70" i="27" s="1"/>
  <c r="R70" i="27" s="1"/>
  <c r="G81" i="27"/>
  <c r="H81" i="27" s="1"/>
  <c r="J81" i="27" s="1"/>
  <c r="G44" i="27"/>
  <c r="H44" i="27" s="1"/>
  <c r="S44" i="27" s="1"/>
  <c r="G149" i="27"/>
  <c r="H149" i="27" s="1"/>
  <c r="G111" i="27"/>
  <c r="H111" i="27" s="1"/>
  <c r="P111" i="27" s="1"/>
  <c r="G177" i="27"/>
  <c r="H177" i="27" s="1"/>
  <c r="J177" i="27" s="1"/>
  <c r="G129" i="27"/>
  <c r="H129" i="27" s="1"/>
  <c r="N129" i="27" s="1"/>
  <c r="G21" i="27"/>
  <c r="H21" i="27" s="1"/>
  <c r="G174" i="27"/>
  <c r="H174" i="27" s="1"/>
  <c r="N174" i="27" s="1"/>
  <c r="G161" i="27"/>
  <c r="H161" i="27" s="1"/>
  <c r="R161" i="27" s="1"/>
  <c r="G99" i="27"/>
  <c r="H99" i="27" s="1"/>
  <c r="P99" i="27" s="1"/>
  <c r="G91" i="27"/>
  <c r="H91" i="27" s="1"/>
  <c r="L91" i="27" s="1"/>
  <c r="G163" i="27"/>
  <c r="H163" i="27" s="1"/>
  <c r="S163" i="27" s="1"/>
  <c r="G172" i="27"/>
  <c r="H172" i="27" s="1"/>
  <c r="N172" i="27" s="1"/>
  <c r="G184" i="27"/>
  <c r="H184" i="27" s="1"/>
  <c r="M184" i="27" s="1"/>
  <c r="G38" i="27"/>
  <c r="H38" i="27" s="1"/>
  <c r="M38" i="27" s="1"/>
  <c r="G47" i="27"/>
  <c r="H47" i="27" s="1"/>
  <c r="P47" i="27" s="1"/>
  <c r="G31" i="27"/>
  <c r="H31" i="27" s="1"/>
  <c r="S31" i="27" s="1"/>
  <c r="G90" i="27"/>
  <c r="H90" i="27" s="1"/>
  <c r="G82" i="27"/>
  <c r="H82" i="27" s="1"/>
  <c r="P82" i="27" s="1"/>
  <c r="G101" i="27"/>
  <c r="H101" i="27" s="1"/>
  <c r="K101" i="27" s="1"/>
  <c r="G136" i="27"/>
  <c r="H136" i="27" s="1"/>
  <c r="N136" i="27" s="1"/>
  <c r="G145" i="27"/>
  <c r="H145" i="27" s="1"/>
  <c r="J145" i="27" s="1"/>
  <c r="G85" i="27"/>
  <c r="H85" i="27" s="1"/>
  <c r="G42" i="27"/>
  <c r="H42" i="27" s="1"/>
  <c r="N42" i="27" s="1"/>
  <c r="G73" i="27"/>
  <c r="H73" i="27" s="1"/>
  <c r="O73" i="27" s="1"/>
  <c r="G88" i="27"/>
  <c r="H88" i="27" s="1"/>
  <c r="G28" i="27"/>
  <c r="H28" i="27" s="1"/>
  <c r="G92" i="27"/>
  <c r="H92" i="27" s="1"/>
  <c r="P92" i="27" s="1"/>
  <c r="G34" i="27"/>
  <c r="H34" i="27" s="1"/>
  <c r="Q34" i="27" s="1"/>
  <c r="G169" i="27"/>
  <c r="H169" i="27" s="1"/>
  <c r="S169" i="27" s="1"/>
  <c r="G155" i="27"/>
  <c r="H155" i="27" s="1"/>
  <c r="G150" i="27"/>
  <c r="H150" i="27" s="1"/>
  <c r="S150" i="27" s="1"/>
  <c r="G175" i="27"/>
  <c r="H175" i="27" s="1"/>
  <c r="P175" i="27" s="1"/>
  <c r="G120" i="27"/>
  <c r="H120" i="27" s="1"/>
  <c r="S120" i="27" s="1"/>
  <c r="G139" i="27"/>
  <c r="H139" i="27" s="1"/>
  <c r="G41" i="27"/>
  <c r="H41" i="27" s="1"/>
  <c r="M41" i="27" s="1"/>
  <c r="G79" i="27"/>
  <c r="H79" i="27" s="1"/>
  <c r="O79" i="27" s="1"/>
  <c r="G84" i="27"/>
  <c r="H84" i="27" s="1"/>
  <c r="G158" i="27"/>
  <c r="H158" i="27" s="1"/>
  <c r="G57" i="27"/>
  <c r="H57" i="27" s="1"/>
  <c r="J57" i="27" s="1"/>
  <c r="G86" i="27"/>
  <c r="H86" i="27" s="1"/>
  <c r="J86" i="27" s="1"/>
  <c r="G178" i="27"/>
  <c r="H178" i="27" s="1"/>
  <c r="M178" i="27" s="1"/>
  <c r="G122" i="27"/>
  <c r="H122" i="27" s="1"/>
  <c r="K122" i="27" s="1"/>
  <c r="G29" i="27"/>
  <c r="H29" i="27" s="1"/>
  <c r="S29" i="27" s="1"/>
  <c r="G121" i="27"/>
  <c r="H121" i="27" s="1"/>
  <c r="S121" i="27" s="1"/>
  <c r="G78" i="27"/>
  <c r="H78" i="27" s="1"/>
  <c r="T78" i="27" s="1"/>
  <c r="G16" i="27"/>
  <c r="H16" i="27" s="1"/>
  <c r="O16" i="27" s="1"/>
  <c r="G55" i="27"/>
  <c r="H55" i="27" s="1"/>
  <c r="T55" i="27" s="1"/>
  <c r="G76" i="27"/>
  <c r="H76" i="27" s="1"/>
  <c r="O76" i="27" s="1"/>
  <c r="G162" i="27"/>
  <c r="H162" i="27" s="1"/>
  <c r="N162" i="27" s="1"/>
  <c r="G77" i="27"/>
  <c r="H77" i="27" s="1"/>
  <c r="G151" i="27"/>
  <c r="H151" i="27" s="1"/>
  <c r="R151" i="27" s="1"/>
  <c r="G63" i="27"/>
  <c r="H63" i="27" s="1"/>
  <c r="S63" i="27" s="1"/>
  <c r="G104" i="27"/>
  <c r="H104" i="27" s="1"/>
  <c r="J104" i="27" s="1"/>
  <c r="G69" i="27"/>
  <c r="H69" i="27" s="1"/>
  <c r="L69" i="27" s="1"/>
  <c r="G80" i="27"/>
  <c r="H80" i="27" s="1"/>
  <c r="P80" i="27" s="1"/>
  <c r="G105" i="27"/>
  <c r="H105" i="27" s="1"/>
  <c r="Q105" i="27" s="1"/>
  <c r="G115" i="27"/>
  <c r="H115" i="27" s="1"/>
  <c r="T115" i="27" s="1"/>
  <c r="G53" i="27"/>
  <c r="H53" i="27" s="1"/>
  <c r="R53" i="27" s="1"/>
  <c r="G22" i="27"/>
  <c r="H22" i="27" s="1"/>
  <c r="Q22" i="27" s="1"/>
  <c r="G61" i="27"/>
  <c r="H61" i="27" s="1"/>
  <c r="O61" i="27" s="1"/>
  <c r="G157" i="27"/>
  <c r="H157" i="27" s="1"/>
  <c r="Q157" i="27" s="1"/>
  <c r="G170" i="27"/>
  <c r="H170" i="27" s="1"/>
  <c r="K170" i="27" s="1"/>
  <c r="G132" i="27"/>
  <c r="H132" i="27" s="1"/>
  <c r="P132" i="27" s="1"/>
  <c r="G185" i="27"/>
  <c r="H185" i="27" s="1"/>
  <c r="L185" i="27" s="1"/>
  <c r="G65" i="27"/>
  <c r="H65" i="27" s="1"/>
  <c r="S65" i="27" s="1"/>
  <c r="G25" i="27"/>
  <c r="H25" i="27" s="1"/>
  <c r="J25" i="27" s="1"/>
  <c r="G96" i="27"/>
  <c r="H96" i="27" s="1"/>
  <c r="R96" i="27" s="1"/>
  <c r="G119" i="27"/>
  <c r="H119" i="27" s="1"/>
  <c r="Q119" i="27" s="1"/>
  <c r="G45" i="27"/>
  <c r="H45" i="27" s="1"/>
  <c r="R45" i="27" s="1"/>
  <c r="G164" i="27"/>
  <c r="H164" i="27" s="1"/>
  <c r="G138" i="27"/>
  <c r="H138" i="27" s="1"/>
  <c r="R138" i="27" s="1"/>
  <c r="G176" i="27"/>
  <c r="H176" i="27" s="1"/>
  <c r="P176" i="27" s="1"/>
  <c r="G74" i="27"/>
  <c r="H74" i="27" s="1"/>
  <c r="M74" i="27" s="1"/>
  <c r="G12" i="27"/>
  <c r="H12" i="27" s="1"/>
  <c r="S12" i="27" s="1"/>
  <c r="G126" i="27"/>
  <c r="H126" i="27" s="1"/>
  <c r="T126" i="27" s="1"/>
  <c r="G108" i="27"/>
  <c r="H108" i="27" s="1"/>
  <c r="O108" i="27" s="1"/>
  <c r="G118" i="27"/>
  <c r="H118" i="27" s="1"/>
  <c r="R118" i="27" s="1"/>
  <c r="G114" i="27"/>
  <c r="H114" i="27" s="1"/>
  <c r="G179" i="27"/>
  <c r="H179" i="27" s="1"/>
  <c r="M179" i="27" s="1"/>
  <c r="G141" i="27"/>
  <c r="H141" i="27" s="1"/>
  <c r="M141" i="27" s="1"/>
  <c r="G102" i="27"/>
  <c r="H102" i="27" s="1"/>
  <c r="L102" i="27" s="1"/>
  <c r="G48" i="27"/>
  <c r="H48" i="27" s="1"/>
  <c r="G110" i="27"/>
  <c r="H110" i="27" s="1"/>
  <c r="R110" i="27" s="1"/>
  <c r="G52" i="27"/>
  <c r="H52" i="27" s="1"/>
  <c r="S52" i="27" s="1"/>
  <c r="G27" i="27"/>
  <c r="H27" i="27" s="1"/>
  <c r="M27" i="27" s="1"/>
  <c r="G33" i="27"/>
  <c r="H33" i="27" s="1"/>
  <c r="O33" i="27" s="1"/>
  <c r="G40" i="27"/>
  <c r="H40" i="27" s="1"/>
  <c r="M40" i="27" s="1"/>
  <c r="G87" i="27"/>
  <c r="H87" i="27" s="1"/>
  <c r="O87" i="27" s="1"/>
  <c r="G148" i="27"/>
  <c r="H148" i="27" s="1"/>
  <c r="M148" i="27" s="1"/>
  <c r="G23" i="27"/>
  <c r="H23" i="27" s="1"/>
  <c r="Q23" i="27" s="1"/>
  <c r="G58" i="27"/>
  <c r="H58" i="27" s="1"/>
  <c r="Q58" i="27" s="1"/>
  <c r="G173" i="27"/>
  <c r="H173" i="27" s="1"/>
  <c r="L173" i="27" s="1"/>
  <c r="G20" i="27"/>
  <c r="H20" i="27" s="1"/>
  <c r="P20" i="27" s="1"/>
  <c r="G15" i="27"/>
  <c r="H15" i="27" s="1"/>
  <c r="P15" i="27" s="1"/>
  <c r="G75" i="27"/>
  <c r="H75" i="27" s="1"/>
  <c r="T75" i="27" s="1"/>
  <c r="G100" i="27"/>
  <c r="H100" i="27" s="1"/>
  <c r="J100" i="27" s="1"/>
  <c r="G135" i="27"/>
  <c r="H135" i="27" s="1"/>
  <c r="R135" i="27" s="1"/>
  <c r="G30" i="27"/>
  <c r="H30" i="27" s="1"/>
  <c r="G109" i="27"/>
  <c r="H109" i="27" s="1"/>
  <c r="S109" i="27" s="1"/>
  <c r="G67" i="27"/>
  <c r="H67" i="27" s="1"/>
  <c r="K67" i="27" s="1"/>
  <c r="G127" i="27"/>
  <c r="H127" i="27" s="1"/>
  <c r="G43" i="27"/>
  <c r="H43" i="27" s="1"/>
  <c r="R43" i="27" s="1"/>
  <c r="G137" i="27"/>
  <c r="H137" i="27" s="1"/>
  <c r="N137" i="27" s="1"/>
  <c r="G133" i="27"/>
  <c r="H133" i="27" s="1"/>
  <c r="O133" i="27" s="1"/>
  <c r="G166" i="27"/>
  <c r="H166" i="27" s="1"/>
  <c r="P166" i="27" s="1"/>
  <c r="G54" i="27"/>
  <c r="H54" i="27" s="1"/>
  <c r="G154" i="27"/>
  <c r="H154" i="27" s="1"/>
  <c r="T154" i="27" s="1"/>
  <c r="G181" i="27"/>
  <c r="H181" i="27" s="1"/>
  <c r="J181" i="27" s="1"/>
  <c r="L11" i="26"/>
  <c r="K4" i="28"/>
  <c r="O11" i="26" s="1"/>
  <c r="M101" i="27" l="1"/>
  <c r="R136" i="27"/>
  <c r="L153" i="27"/>
  <c r="S19" i="27"/>
  <c r="K39" i="27"/>
  <c r="K147" i="27"/>
  <c r="M59" i="27"/>
  <c r="N32" i="27"/>
  <c r="O59" i="27"/>
  <c r="J98" i="27"/>
  <c r="N111" i="27"/>
  <c r="P83" i="27"/>
  <c r="P19" i="27"/>
  <c r="J32" i="27"/>
  <c r="Q42" i="27"/>
  <c r="K183" i="27"/>
  <c r="N19" i="27"/>
  <c r="N113" i="27"/>
  <c r="R41" i="27"/>
  <c r="L146" i="27"/>
  <c r="Q19" i="27"/>
  <c r="L113" i="27"/>
  <c r="T89" i="27"/>
  <c r="R11" i="27"/>
  <c r="T146" i="27"/>
  <c r="S59" i="27"/>
  <c r="Q68" i="27"/>
  <c r="J39" i="27"/>
  <c r="Q174" i="27"/>
  <c r="Q11" i="27"/>
  <c r="L11" i="27"/>
  <c r="K71" i="27"/>
  <c r="N146" i="27"/>
  <c r="N59" i="27"/>
  <c r="M98" i="27"/>
  <c r="K83" i="27"/>
  <c r="T19" i="27"/>
  <c r="L147" i="27"/>
  <c r="Q39" i="27"/>
  <c r="M113" i="27"/>
  <c r="N39" i="27"/>
  <c r="R83" i="27"/>
  <c r="S11" i="27"/>
  <c r="K151" i="27"/>
  <c r="P113" i="27"/>
  <c r="K143" i="27"/>
  <c r="P71" i="27"/>
  <c r="S101" i="27"/>
  <c r="T47" i="27"/>
  <c r="J183" i="27"/>
  <c r="R19" i="27"/>
  <c r="N68" i="27"/>
  <c r="P147" i="27"/>
  <c r="P32" i="27"/>
  <c r="J89" i="27"/>
  <c r="R153" i="27"/>
  <c r="K153" i="27"/>
  <c r="M11" i="27"/>
  <c r="S39" i="27"/>
  <c r="J146" i="27"/>
  <c r="R143" i="27"/>
  <c r="O143" i="27"/>
  <c r="Q59" i="27"/>
  <c r="O98" i="27"/>
  <c r="T68" i="27"/>
  <c r="T83" i="27"/>
  <c r="L183" i="27"/>
  <c r="O163" i="27"/>
  <c r="S147" i="27"/>
  <c r="O32" i="27"/>
  <c r="M174" i="27"/>
  <c r="S89" i="27"/>
  <c r="L163" i="27"/>
  <c r="S183" i="27"/>
  <c r="N153" i="27"/>
  <c r="J11" i="27"/>
  <c r="O41" i="27"/>
  <c r="R59" i="27"/>
  <c r="T143" i="27"/>
  <c r="L143" i="27"/>
  <c r="Q143" i="27"/>
  <c r="S92" i="27"/>
  <c r="O70" i="27"/>
  <c r="L174" i="27"/>
  <c r="L111" i="27"/>
  <c r="L92" i="27"/>
  <c r="P42" i="27"/>
  <c r="J150" i="27"/>
  <c r="T92" i="27"/>
  <c r="L150" i="27"/>
  <c r="M32" i="27"/>
  <c r="R39" i="27"/>
  <c r="S70" i="27"/>
  <c r="N163" i="27"/>
  <c r="K113" i="27"/>
  <c r="R163" i="27"/>
  <c r="M57" i="27"/>
  <c r="N150" i="27"/>
  <c r="J101" i="27"/>
  <c r="K59" i="27"/>
  <c r="P98" i="27"/>
  <c r="R98" i="27"/>
  <c r="M19" i="27"/>
  <c r="M83" i="27"/>
  <c r="N183" i="27"/>
  <c r="O68" i="27"/>
  <c r="L70" i="27"/>
  <c r="J147" i="27"/>
  <c r="T39" i="27"/>
  <c r="R32" i="27"/>
  <c r="T70" i="27"/>
  <c r="T111" i="27"/>
  <c r="O113" i="27"/>
  <c r="K32" i="27"/>
  <c r="M111" i="27"/>
  <c r="T163" i="27"/>
  <c r="Q83" i="27"/>
  <c r="P68" i="27"/>
  <c r="Q153" i="27"/>
  <c r="K11" i="27"/>
  <c r="Q92" i="27"/>
  <c r="N41" i="27"/>
  <c r="T41" i="27"/>
  <c r="T113" i="27"/>
  <c r="S71" i="27"/>
  <c r="P143" i="27"/>
  <c r="R71" i="27"/>
  <c r="O89" i="27"/>
  <c r="Q71" i="27"/>
  <c r="K42" i="27"/>
  <c r="R42" i="27"/>
  <c r="L98" i="27"/>
  <c r="J59" i="27"/>
  <c r="T98" i="27"/>
  <c r="K98" i="27"/>
  <c r="R183" i="27"/>
  <c r="K68" i="27"/>
  <c r="N83" i="27"/>
  <c r="O19" i="27"/>
  <c r="L68" i="27"/>
  <c r="M47" i="27"/>
  <c r="K163" i="27"/>
  <c r="T147" i="27"/>
  <c r="Q147" i="27"/>
  <c r="L39" i="27"/>
  <c r="L32" i="27"/>
  <c r="P70" i="27"/>
  <c r="P174" i="27"/>
  <c r="K89" i="27"/>
  <c r="P89" i="27"/>
  <c r="N89" i="27"/>
  <c r="R147" i="27"/>
  <c r="J111" i="27"/>
  <c r="P163" i="27"/>
  <c r="J83" i="27"/>
  <c r="L19" i="27"/>
  <c r="T153" i="27"/>
  <c r="M153" i="27"/>
  <c r="P11" i="27"/>
  <c r="J174" i="27"/>
  <c r="O92" i="27"/>
  <c r="T150" i="27"/>
  <c r="P41" i="27"/>
  <c r="N29" i="27"/>
  <c r="N147" i="27"/>
  <c r="J143" i="27"/>
  <c r="L71" i="27"/>
  <c r="R146" i="27"/>
  <c r="M143" i="27"/>
  <c r="M146" i="27"/>
  <c r="S143" i="27"/>
  <c r="O71" i="27"/>
  <c r="S136" i="27"/>
  <c r="M42" i="27"/>
  <c r="R152" i="27"/>
  <c r="N47" i="27"/>
  <c r="Q47" i="27"/>
  <c r="R111" i="27"/>
  <c r="J152" i="27"/>
  <c r="K70" i="27"/>
  <c r="N70" i="27"/>
  <c r="R174" i="27"/>
  <c r="J113" i="27"/>
  <c r="S111" i="27"/>
  <c r="Q152" i="27"/>
  <c r="O111" i="27"/>
  <c r="Q163" i="27"/>
  <c r="J92" i="27"/>
  <c r="L57" i="27"/>
  <c r="J41" i="27"/>
  <c r="O150" i="27"/>
  <c r="S41" i="27"/>
  <c r="M29" i="27"/>
  <c r="R113" i="27"/>
  <c r="R101" i="27"/>
  <c r="L101" i="27"/>
  <c r="N101" i="27"/>
  <c r="P152" i="27"/>
  <c r="M152" i="27"/>
  <c r="S152" i="27"/>
  <c r="S73" i="27"/>
  <c r="N132" i="27"/>
  <c r="L132" i="27"/>
  <c r="Q73" i="27"/>
  <c r="R47" i="27"/>
  <c r="M183" i="27"/>
  <c r="L59" i="27"/>
  <c r="T59" i="27"/>
  <c r="Q98" i="27"/>
  <c r="S98" i="27"/>
  <c r="M68" i="27"/>
  <c r="J19" i="27"/>
  <c r="P183" i="27"/>
  <c r="O83" i="27"/>
  <c r="Q183" i="27"/>
  <c r="S68" i="27"/>
  <c r="J68" i="27"/>
  <c r="L47" i="27"/>
  <c r="K174" i="27"/>
  <c r="Q89" i="27"/>
  <c r="Q113" i="27"/>
  <c r="M147" i="27"/>
  <c r="O39" i="27"/>
  <c r="M39" i="27"/>
  <c r="Q32" i="27"/>
  <c r="T32" i="27"/>
  <c r="J70" i="27"/>
  <c r="Q70" i="27"/>
  <c r="S174" i="27"/>
  <c r="O174" i="27"/>
  <c r="L152" i="27"/>
  <c r="T171" i="27"/>
  <c r="M89" i="27"/>
  <c r="L89" i="27"/>
  <c r="T174" i="27"/>
  <c r="O152" i="27"/>
  <c r="K111" i="27"/>
  <c r="Q111" i="27"/>
  <c r="M163" i="27"/>
  <c r="J163" i="27"/>
  <c r="S83" i="27"/>
  <c r="O183" i="27"/>
  <c r="O153" i="27"/>
  <c r="P153" i="27"/>
  <c r="J153" i="27"/>
  <c r="T11" i="27"/>
  <c r="O11" i="27"/>
  <c r="O55" i="27"/>
  <c r="K92" i="27"/>
  <c r="R57" i="27"/>
  <c r="P150" i="27"/>
  <c r="K150" i="27"/>
  <c r="M150" i="27"/>
  <c r="Q41" i="27"/>
  <c r="K29" i="27"/>
  <c r="N152" i="27"/>
  <c r="M70" i="27"/>
  <c r="M71" i="27"/>
  <c r="Q146" i="27"/>
  <c r="J71" i="27"/>
  <c r="S146" i="27"/>
  <c r="T71" i="27"/>
  <c r="K152" i="27"/>
  <c r="P146" i="27"/>
  <c r="L93" i="27"/>
  <c r="K146" i="27"/>
  <c r="O101" i="27"/>
  <c r="T101" i="27"/>
  <c r="L42" i="27"/>
  <c r="Q136" i="27"/>
  <c r="T42" i="27"/>
  <c r="O75" i="27"/>
  <c r="J40" i="27"/>
  <c r="Q80" i="27"/>
  <c r="O47" i="27"/>
  <c r="J47" i="27"/>
  <c r="S47" i="27"/>
  <c r="K47" i="27"/>
  <c r="R132" i="27"/>
  <c r="P22" i="27"/>
  <c r="S22" i="27"/>
  <c r="S151" i="27"/>
  <c r="P96" i="27"/>
  <c r="M55" i="27"/>
  <c r="M92" i="27"/>
  <c r="R92" i="27"/>
  <c r="T57" i="27"/>
  <c r="R29" i="27"/>
  <c r="R150" i="27"/>
  <c r="Q150" i="27"/>
  <c r="L41" i="27"/>
  <c r="K41" i="27"/>
  <c r="L29" i="27"/>
  <c r="O42" i="27"/>
  <c r="P101" i="27"/>
  <c r="S42" i="27"/>
  <c r="Q101" i="27"/>
  <c r="J42" i="27"/>
  <c r="N92" i="27"/>
  <c r="N80" i="27"/>
  <c r="S132" i="27"/>
  <c r="M22" i="27"/>
  <c r="L179" i="27"/>
  <c r="J80" i="27"/>
  <c r="L96" i="27"/>
  <c r="Q55" i="27"/>
  <c r="P151" i="27"/>
  <c r="S144" i="27"/>
  <c r="K58" i="27"/>
  <c r="S18" i="27"/>
  <c r="N34" i="27"/>
  <c r="J151" i="27"/>
  <c r="T80" i="27"/>
  <c r="J119" i="27"/>
  <c r="J96" i="27"/>
  <c r="N55" i="27"/>
  <c r="S55" i="27"/>
  <c r="O151" i="27"/>
  <c r="K55" i="27"/>
  <c r="O80" i="27"/>
  <c r="Q40" i="27"/>
  <c r="R95" i="27"/>
  <c r="S105" i="27"/>
  <c r="M96" i="27"/>
  <c r="S96" i="27"/>
  <c r="O132" i="27"/>
  <c r="M34" i="27"/>
  <c r="Q24" i="27"/>
  <c r="Q62" i="27"/>
  <c r="P50" i="27"/>
  <c r="J108" i="27"/>
  <c r="T108" i="27"/>
  <c r="Q51" i="27"/>
  <c r="R133" i="27"/>
  <c r="L133" i="27"/>
  <c r="Q168" i="27"/>
  <c r="O130" i="27"/>
  <c r="T79" i="27"/>
  <c r="K86" i="27"/>
  <c r="M67" i="27"/>
  <c r="K182" i="27"/>
  <c r="T172" i="27"/>
  <c r="Q171" i="27"/>
  <c r="P62" i="27"/>
  <c r="K61" i="27"/>
  <c r="J182" i="27"/>
  <c r="L56" i="27"/>
  <c r="P81" i="27"/>
  <c r="M168" i="27"/>
  <c r="M97" i="27"/>
  <c r="T97" i="27"/>
  <c r="R177" i="27"/>
  <c r="P103" i="27"/>
  <c r="R130" i="27"/>
  <c r="J18" i="27"/>
  <c r="R79" i="27"/>
  <c r="M177" i="27"/>
  <c r="M62" i="27"/>
  <c r="L67" i="27"/>
  <c r="K93" i="27"/>
  <c r="L95" i="27"/>
  <c r="S50" i="27"/>
  <c r="L50" i="27"/>
  <c r="O182" i="27"/>
  <c r="R182" i="27"/>
  <c r="N31" i="27"/>
  <c r="R105" i="27"/>
  <c r="S95" i="27"/>
  <c r="T168" i="27"/>
  <c r="M172" i="27"/>
  <c r="R81" i="27"/>
  <c r="T182" i="27"/>
  <c r="P34" i="27"/>
  <c r="M76" i="27"/>
  <c r="J51" i="27"/>
  <c r="O24" i="27"/>
  <c r="M51" i="27"/>
  <c r="T133" i="27"/>
  <c r="M24" i="27"/>
  <c r="K62" i="27"/>
  <c r="P73" i="27"/>
  <c r="J31" i="27"/>
  <c r="R63" i="27"/>
  <c r="M144" i="27"/>
  <c r="K52" i="27"/>
  <c r="Q50" i="27"/>
  <c r="L171" i="27"/>
  <c r="O177" i="27"/>
  <c r="L103" i="27"/>
  <c r="N123" i="27"/>
  <c r="K130" i="27"/>
  <c r="N61" i="27"/>
  <c r="N18" i="27"/>
  <c r="J175" i="27"/>
  <c r="O51" i="27"/>
  <c r="Q108" i="27"/>
  <c r="K181" i="27"/>
  <c r="M181" i="27"/>
  <c r="M31" i="27"/>
  <c r="N50" i="27"/>
  <c r="N173" i="27"/>
  <c r="O56" i="27"/>
  <c r="N87" i="27"/>
  <c r="M182" i="27"/>
  <c r="K56" i="27"/>
  <c r="M50" i="27"/>
  <c r="T50" i="27"/>
  <c r="K95" i="27"/>
  <c r="R97" i="27"/>
  <c r="O161" i="27"/>
  <c r="S171" i="27"/>
  <c r="J130" i="27"/>
  <c r="K144" i="27"/>
  <c r="M119" i="27"/>
  <c r="M56" i="27"/>
  <c r="L175" i="27"/>
  <c r="L63" i="27"/>
  <c r="M175" i="27"/>
  <c r="T93" i="27"/>
  <c r="N93" i="27"/>
  <c r="L51" i="27"/>
  <c r="R176" i="27"/>
  <c r="K63" i="27"/>
  <c r="Q118" i="27"/>
  <c r="R87" i="27"/>
  <c r="L61" i="27"/>
  <c r="P185" i="27"/>
  <c r="R175" i="27"/>
  <c r="L86" i="27"/>
  <c r="R67" i="27"/>
  <c r="J179" i="27"/>
  <c r="J22" i="27"/>
  <c r="T22" i="27"/>
  <c r="J110" i="27"/>
  <c r="L22" i="27"/>
  <c r="N151" i="27"/>
  <c r="S80" i="27"/>
  <c r="M151" i="27"/>
  <c r="O110" i="27"/>
  <c r="N96" i="27"/>
  <c r="M132" i="27"/>
  <c r="K132" i="27"/>
  <c r="Q151" i="27"/>
  <c r="L151" i="27"/>
  <c r="J55" i="27"/>
  <c r="K57" i="27"/>
  <c r="S57" i="27"/>
  <c r="T29" i="27"/>
  <c r="O29" i="27"/>
  <c r="Q29" i="27"/>
  <c r="R55" i="27"/>
  <c r="J109" i="27"/>
  <c r="S154" i="27"/>
  <c r="R40" i="27"/>
  <c r="R80" i="27"/>
  <c r="N179" i="27"/>
  <c r="R22" i="27"/>
  <c r="K22" i="27"/>
  <c r="O22" i="27"/>
  <c r="M80" i="27"/>
  <c r="K80" i="27"/>
  <c r="T151" i="27"/>
  <c r="Q132" i="27"/>
  <c r="N22" i="27"/>
  <c r="K96" i="27"/>
  <c r="Q96" i="27"/>
  <c r="T132" i="27"/>
  <c r="L80" i="27"/>
  <c r="L55" i="27"/>
  <c r="P55" i="27"/>
  <c r="Q57" i="27"/>
  <c r="N57" i="27"/>
  <c r="P57" i="27"/>
  <c r="J29" i="27"/>
  <c r="P29" i="27"/>
  <c r="O57" i="27"/>
  <c r="K75" i="27"/>
  <c r="J141" i="27"/>
  <c r="K173" i="27"/>
  <c r="K100" i="27"/>
  <c r="Q144" i="27"/>
  <c r="P144" i="27"/>
  <c r="O144" i="27"/>
  <c r="J144" i="27"/>
  <c r="R31" i="27"/>
  <c r="P31" i="27"/>
  <c r="K176" i="27"/>
  <c r="S173" i="27"/>
  <c r="R108" i="27"/>
  <c r="S56" i="27"/>
  <c r="P52" i="27"/>
  <c r="R56" i="27"/>
  <c r="J105" i="27"/>
  <c r="K168" i="27"/>
  <c r="S161" i="27"/>
  <c r="K171" i="27"/>
  <c r="K161" i="27"/>
  <c r="P168" i="27"/>
  <c r="T123" i="27"/>
  <c r="M81" i="27"/>
  <c r="Q182" i="27"/>
  <c r="S182" i="27"/>
  <c r="T18" i="27"/>
  <c r="O34" i="27"/>
  <c r="S79" i="27"/>
  <c r="R121" i="27"/>
  <c r="P105" i="27"/>
  <c r="K79" i="27"/>
  <c r="P100" i="27"/>
  <c r="L181" i="27"/>
  <c r="O168" i="27"/>
  <c r="S103" i="27"/>
  <c r="P133" i="27"/>
  <c r="O86" i="27"/>
  <c r="M86" i="27"/>
  <c r="O105" i="27"/>
  <c r="J176" i="27"/>
  <c r="S108" i="27"/>
  <c r="Q63" i="27"/>
  <c r="T105" i="27"/>
  <c r="N63" i="27"/>
  <c r="J185" i="27"/>
  <c r="Q61" i="27"/>
  <c r="K76" i="27"/>
  <c r="Q121" i="27"/>
  <c r="S100" i="27"/>
  <c r="S133" i="27"/>
  <c r="Q126" i="27"/>
  <c r="R126" i="27"/>
  <c r="M58" i="27"/>
  <c r="K40" i="27"/>
  <c r="Q179" i="27"/>
  <c r="L126" i="27"/>
  <c r="J138" i="27"/>
  <c r="N126" i="27"/>
  <c r="P75" i="27"/>
  <c r="Q176" i="27"/>
  <c r="R58" i="27"/>
  <c r="N108" i="27"/>
  <c r="J58" i="27"/>
  <c r="J173" i="27"/>
  <c r="S40" i="27"/>
  <c r="N58" i="27"/>
  <c r="O176" i="27"/>
  <c r="K87" i="27"/>
  <c r="T87" i="27"/>
  <c r="P141" i="27"/>
  <c r="Q110" i="27"/>
  <c r="T61" i="27"/>
  <c r="S110" i="27"/>
  <c r="N138" i="27"/>
  <c r="Q31" i="27"/>
  <c r="O63" i="27"/>
  <c r="N177" i="27"/>
  <c r="Q97" i="27"/>
  <c r="J103" i="27"/>
  <c r="L161" i="27"/>
  <c r="K172" i="27"/>
  <c r="J171" i="27"/>
  <c r="S81" i="27"/>
  <c r="S185" i="27"/>
  <c r="S87" i="27"/>
  <c r="J76" i="27"/>
  <c r="R34" i="27"/>
  <c r="J79" i="27"/>
  <c r="R86" i="27"/>
  <c r="L121" i="27"/>
  <c r="R100" i="27"/>
  <c r="O154" i="27"/>
  <c r="M154" i="27"/>
  <c r="L100" i="27"/>
  <c r="L154" i="27"/>
  <c r="K109" i="27"/>
  <c r="L109" i="27"/>
  <c r="J154" i="27"/>
  <c r="R109" i="27"/>
  <c r="P136" i="27"/>
  <c r="S138" i="27"/>
  <c r="O138" i="27"/>
  <c r="P138" i="27"/>
  <c r="M138" i="27"/>
  <c r="P40" i="27"/>
  <c r="T40" i="27"/>
  <c r="M126" i="27"/>
  <c r="O58" i="27"/>
  <c r="T58" i="27"/>
  <c r="O179" i="27"/>
  <c r="K179" i="27"/>
  <c r="L110" i="27"/>
  <c r="J126" i="27"/>
  <c r="M110" i="27"/>
  <c r="O109" i="27"/>
  <c r="Q154" i="27"/>
  <c r="Q109" i="27"/>
  <c r="L75" i="27"/>
  <c r="N154" i="27"/>
  <c r="K137" i="27"/>
  <c r="L138" i="27"/>
  <c r="T138" i="27"/>
  <c r="S126" i="27"/>
  <c r="L58" i="27"/>
  <c r="L40" i="27"/>
  <c r="P137" i="27"/>
  <c r="S58" i="27"/>
  <c r="R154" i="27"/>
  <c r="O137" i="27"/>
  <c r="N109" i="27"/>
  <c r="M75" i="27"/>
  <c r="Q137" i="27"/>
  <c r="O126" i="27"/>
  <c r="K126" i="27"/>
  <c r="N40" i="27"/>
  <c r="P126" i="27"/>
  <c r="K138" i="27"/>
  <c r="P58" i="27"/>
  <c r="O40" i="27"/>
  <c r="P179" i="27"/>
  <c r="K110" i="27"/>
  <c r="R179" i="27"/>
  <c r="P110" i="27"/>
  <c r="N110" i="27"/>
  <c r="Q138" i="27"/>
  <c r="T179" i="27"/>
  <c r="O96" i="27"/>
  <c r="T96" i="27"/>
  <c r="J132" i="27"/>
  <c r="N75" i="27"/>
  <c r="J137" i="27"/>
  <c r="P109" i="27"/>
  <c r="S75" i="27"/>
  <c r="S137" i="27"/>
  <c r="R137" i="27"/>
  <c r="M109" i="27"/>
  <c r="P154" i="27"/>
  <c r="T109" i="27"/>
  <c r="Q45" i="27"/>
  <c r="M157" i="27"/>
  <c r="L166" i="27"/>
  <c r="Q181" i="27"/>
  <c r="N36" i="27"/>
  <c r="P104" i="27"/>
  <c r="L31" i="27"/>
  <c r="L105" i="27"/>
  <c r="O95" i="27"/>
  <c r="S176" i="27"/>
  <c r="T116" i="27"/>
  <c r="M173" i="27"/>
  <c r="P56" i="27"/>
  <c r="O141" i="27"/>
  <c r="N144" i="27"/>
  <c r="Q87" i="27"/>
  <c r="J61" i="27"/>
  <c r="R50" i="27"/>
  <c r="T56" i="27"/>
  <c r="L141" i="27"/>
  <c r="K50" i="27"/>
  <c r="O52" i="27"/>
  <c r="T52" i="27"/>
  <c r="T36" i="27"/>
  <c r="T95" i="27"/>
  <c r="J95" i="27"/>
  <c r="J161" i="27"/>
  <c r="P123" i="27"/>
  <c r="K97" i="27"/>
  <c r="K81" i="27"/>
  <c r="O123" i="27"/>
  <c r="R171" i="27"/>
  <c r="M130" i="27"/>
  <c r="P119" i="27"/>
  <c r="O185" i="27"/>
  <c r="Q56" i="27"/>
  <c r="R76" i="27"/>
  <c r="M121" i="27"/>
  <c r="Q175" i="27"/>
  <c r="T86" i="27"/>
  <c r="K24" i="27"/>
  <c r="M100" i="27"/>
  <c r="P24" i="27"/>
  <c r="M116" i="27"/>
  <c r="P157" i="27"/>
  <c r="T135" i="27"/>
  <c r="L74" i="27"/>
  <c r="N148" i="27"/>
  <c r="Q100" i="27"/>
  <c r="Q104" i="27"/>
  <c r="L87" i="27"/>
  <c r="T173" i="27"/>
  <c r="K108" i="27"/>
  <c r="L108" i="27"/>
  <c r="N176" i="27"/>
  <c r="R173" i="27"/>
  <c r="Q173" i="27"/>
  <c r="T176" i="27"/>
  <c r="R64" i="27"/>
  <c r="S141" i="27"/>
  <c r="K141" i="27"/>
  <c r="K94" i="27"/>
  <c r="P27" i="27"/>
  <c r="M108" i="27"/>
  <c r="N105" i="27"/>
  <c r="O184" i="27"/>
  <c r="P184" i="27"/>
  <c r="R119" i="27"/>
  <c r="T63" i="27"/>
  <c r="P63" i="27"/>
  <c r="K105" i="27"/>
  <c r="O145" i="27"/>
  <c r="M33" i="27"/>
  <c r="L104" i="27"/>
  <c r="R20" i="27"/>
  <c r="M118" i="27"/>
  <c r="O181" i="27"/>
  <c r="T181" i="27"/>
  <c r="P181" i="27"/>
  <c r="O100" i="27"/>
  <c r="N100" i="27"/>
  <c r="T100" i="27"/>
  <c r="L81" i="27"/>
  <c r="O81" i="27"/>
  <c r="T81" i="27"/>
  <c r="P171" i="27"/>
  <c r="M171" i="27"/>
  <c r="R103" i="27"/>
  <c r="T103" i="27"/>
  <c r="Q103" i="27"/>
  <c r="K103" i="27"/>
  <c r="M103" i="27"/>
  <c r="M123" i="27"/>
  <c r="J123" i="27"/>
  <c r="L123" i="27"/>
  <c r="S97" i="27"/>
  <c r="N97" i="27"/>
  <c r="P97" i="27"/>
  <c r="K84" i="27"/>
  <c r="Q84" i="27"/>
  <c r="O160" i="27"/>
  <c r="Q160" i="27"/>
  <c r="S27" i="27"/>
  <c r="S156" i="27"/>
  <c r="O36" i="27"/>
  <c r="R184" i="27"/>
  <c r="N99" i="27"/>
  <c r="M133" i="27"/>
  <c r="Q133" i="27"/>
  <c r="N133" i="27"/>
  <c r="Q67" i="27"/>
  <c r="O67" i="27"/>
  <c r="J67" i="27"/>
  <c r="N67" i="27"/>
  <c r="P67" i="27"/>
  <c r="Q52" i="27"/>
  <c r="L52" i="27"/>
  <c r="S119" i="27"/>
  <c r="L119" i="27"/>
  <c r="K119" i="27"/>
  <c r="N119" i="27"/>
  <c r="M185" i="27"/>
  <c r="K185" i="27"/>
  <c r="N185" i="27"/>
  <c r="Q185" i="27"/>
  <c r="S61" i="27"/>
  <c r="M61" i="27"/>
  <c r="Q76" i="27"/>
  <c r="T76" i="27"/>
  <c r="P76" i="27"/>
  <c r="S76" i="27"/>
  <c r="T121" i="27"/>
  <c r="P121" i="27"/>
  <c r="K121" i="27"/>
  <c r="Q86" i="27"/>
  <c r="S86" i="27"/>
  <c r="P86" i="27"/>
  <c r="L79" i="27"/>
  <c r="N79" i="27"/>
  <c r="Q79" i="27"/>
  <c r="O175" i="27"/>
  <c r="N175" i="27"/>
  <c r="T175" i="27"/>
  <c r="K175" i="27"/>
  <c r="L34" i="27"/>
  <c r="K34" i="27"/>
  <c r="T34" i="27"/>
  <c r="S34" i="27"/>
  <c r="M73" i="27"/>
  <c r="J73" i="27"/>
  <c r="N73" i="27"/>
  <c r="T73" i="27"/>
  <c r="L73" i="27"/>
  <c r="T136" i="27"/>
  <c r="J136" i="27"/>
  <c r="O136" i="27"/>
  <c r="M136" i="27"/>
  <c r="O172" i="27"/>
  <c r="L172" i="27"/>
  <c r="S172" i="27"/>
  <c r="Q172" i="27"/>
  <c r="Q161" i="27"/>
  <c r="M161" i="27"/>
  <c r="N161" i="27"/>
  <c r="P161" i="27"/>
  <c r="K177" i="27"/>
  <c r="S177" i="27"/>
  <c r="L177" i="27"/>
  <c r="Q177" i="27"/>
  <c r="L168" i="27"/>
  <c r="N168" i="27"/>
  <c r="R168" i="27"/>
  <c r="Q130" i="27"/>
  <c r="P130" i="27"/>
  <c r="T130" i="27"/>
  <c r="M18" i="27"/>
  <c r="P18" i="27"/>
  <c r="Q18" i="27"/>
  <c r="K18" i="27"/>
  <c r="R144" i="27"/>
  <c r="L144" i="27"/>
  <c r="T62" i="27"/>
  <c r="J62" i="27"/>
  <c r="N51" i="27"/>
  <c r="T51" i="27"/>
  <c r="L24" i="27"/>
  <c r="R24" i="27"/>
  <c r="J24" i="27"/>
  <c r="P93" i="27"/>
  <c r="Q93" i="27"/>
  <c r="O93" i="27"/>
  <c r="O31" i="27"/>
  <c r="T31" i="27"/>
  <c r="M63" i="27"/>
  <c r="O167" i="27"/>
  <c r="M87" i="27"/>
  <c r="K131" i="27"/>
  <c r="L148" i="27"/>
  <c r="P108" i="27"/>
  <c r="T20" i="27"/>
  <c r="L176" i="27"/>
  <c r="P173" i="27"/>
  <c r="O173" i="27"/>
  <c r="M176" i="27"/>
  <c r="P61" i="27"/>
  <c r="T141" i="27"/>
  <c r="R61" i="27"/>
  <c r="J87" i="27"/>
  <c r="J56" i="27"/>
  <c r="L182" i="27"/>
  <c r="M52" i="27"/>
  <c r="N141" i="27"/>
  <c r="L167" i="27"/>
  <c r="R141" i="27"/>
  <c r="P87" i="27"/>
  <c r="J27" i="27"/>
  <c r="R52" i="27"/>
  <c r="J52" i="27"/>
  <c r="O50" i="27"/>
  <c r="K31" i="27"/>
  <c r="J63" i="27"/>
  <c r="N95" i="27"/>
  <c r="M105" i="27"/>
  <c r="Q95" i="27"/>
  <c r="R172" i="27"/>
  <c r="M95" i="27"/>
  <c r="J168" i="27"/>
  <c r="L97" i="27"/>
  <c r="O97" i="27"/>
  <c r="N44" i="27"/>
  <c r="P177" i="27"/>
  <c r="Q129" i="27"/>
  <c r="O171" i="27"/>
  <c r="N103" i="27"/>
  <c r="T161" i="27"/>
  <c r="P172" i="27"/>
  <c r="T177" i="27"/>
  <c r="Q123" i="27"/>
  <c r="R123" i="27"/>
  <c r="S123" i="27"/>
  <c r="Q81" i="27"/>
  <c r="N81" i="27"/>
  <c r="S130" i="27"/>
  <c r="N130" i="27"/>
  <c r="P182" i="27"/>
  <c r="O119" i="27"/>
  <c r="T119" i="27"/>
  <c r="R185" i="27"/>
  <c r="N52" i="27"/>
  <c r="R18" i="27"/>
  <c r="O18" i="27"/>
  <c r="Q141" i="27"/>
  <c r="J172" i="27"/>
  <c r="O121" i="27"/>
  <c r="N76" i="27"/>
  <c r="J34" i="27"/>
  <c r="K169" i="27"/>
  <c r="S175" i="27"/>
  <c r="P79" i="27"/>
  <c r="M79" i="27"/>
  <c r="J121" i="27"/>
  <c r="N86" i="27"/>
  <c r="N121" i="27"/>
  <c r="L76" i="27"/>
  <c r="S93" i="27"/>
  <c r="R51" i="27"/>
  <c r="S67" i="27"/>
  <c r="R93" i="27"/>
  <c r="K51" i="27"/>
  <c r="R62" i="27"/>
  <c r="K133" i="27"/>
  <c r="S24" i="27"/>
  <c r="J93" i="27"/>
  <c r="P51" i="27"/>
  <c r="N62" i="27"/>
  <c r="R181" i="27"/>
  <c r="T67" i="27"/>
  <c r="T185" i="27"/>
  <c r="S181" i="27"/>
  <c r="N24" i="27"/>
  <c r="O62" i="27"/>
  <c r="L62" i="27"/>
  <c r="L136" i="27"/>
  <c r="R73" i="27"/>
  <c r="K73" i="27"/>
  <c r="K136" i="27"/>
  <c r="J128" i="27"/>
  <c r="Q159" i="27"/>
  <c r="R38" i="27"/>
  <c r="O115" i="27"/>
  <c r="Q148" i="27"/>
  <c r="S20" i="27"/>
  <c r="T23" i="27"/>
  <c r="T27" i="27"/>
  <c r="R170" i="27"/>
  <c r="J118" i="27"/>
  <c r="T104" i="27"/>
  <c r="R115" i="27"/>
  <c r="O44" i="27"/>
  <c r="P14" i="27"/>
  <c r="R35" i="27"/>
  <c r="J35" i="27"/>
  <c r="M72" i="27"/>
  <c r="N120" i="27"/>
  <c r="L156" i="27"/>
  <c r="S135" i="27"/>
  <c r="N181" i="27"/>
  <c r="J133" i="27"/>
  <c r="L135" i="27"/>
  <c r="O48" i="27"/>
  <c r="P48" i="27"/>
  <c r="S114" i="27"/>
  <c r="T114" i="27"/>
  <c r="L164" i="27"/>
  <c r="K164" i="27"/>
  <c r="N77" i="27"/>
  <c r="M77" i="27"/>
  <c r="N139" i="27"/>
  <c r="P139" i="27"/>
  <c r="T155" i="27"/>
  <c r="J155" i="27"/>
  <c r="S85" i="27"/>
  <c r="L85" i="27"/>
  <c r="Q149" i="27"/>
  <c r="R149" i="27"/>
  <c r="M66" i="27"/>
  <c r="O66" i="27"/>
  <c r="T66" i="27"/>
  <c r="N165" i="27"/>
  <c r="Q165" i="27"/>
  <c r="J60" i="27"/>
  <c r="K60" i="27"/>
  <c r="T10" i="27"/>
  <c r="Q10" i="27"/>
  <c r="J10" i="27"/>
  <c r="R15" i="27"/>
  <c r="K125" i="27"/>
  <c r="J48" i="27"/>
  <c r="N166" i="27"/>
  <c r="T166" i="27"/>
  <c r="Q166" i="27"/>
  <c r="S148" i="27"/>
  <c r="J148" i="27"/>
  <c r="J102" i="27"/>
  <c r="R102" i="27"/>
  <c r="P102" i="27"/>
  <c r="T102" i="27"/>
  <c r="O74" i="27"/>
  <c r="K74" i="27"/>
  <c r="R65" i="27"/>
  <c r="K65" i="27"/>
  <c r="N65" i="27"/>
  <c r="M65" i="27"/>
  <c r="P65" i="27"/>
  <c r="L65" i="27"/>
  <c r="T65" i="27"/>
  <c r="O65" i="27"/>
  <c r="J65" i="27"/>
  <c r="J115" i="27"/>
  <c r="Q115" i="27"/>
  <c r="K115" i="27"/>
  <c r="L115" i="27"/>
  <c r="S115" i="27"/>
  <c r="L162" i="27"/>
  <c r="J162" i="27"/>
  <c r="S162" i="27"/>
  <c r="M162" i="27"/>
  <c r="R162" i="27"/>
  <c r="P162" i="27"/>
  <c r="Q162" i="27"/>
  <c r="K162" i="27"/>
  <c r="T162" i="27"/>
  <c r="S178" i="27"/>
  <c r="R178" i="27"/>
  <c r="T178" i="27"/>
  <c r="J178" i="27"/>
  <c r="K178" i="27"/>
  <c r="Q178" i="27"/>
  <c r="L178" i="27"/>
  <c r="O178" i="27"/>
  <c r="Q120" i="27"/>
  <c r="L120" i="27"/>
  <c r="T120" i="27"/>
  <c r="J120" i="27"/>
  <c r="M120" i="27"/>
  <c r="O120" i="27"/>
  <c r="K120" i="27"/>
  <c r="R120" i="27"/>
  <c r="Q88" i="27"/>
  <c r="O88" i="27"/>
  <c r="J88" i="27"/>
  <c r="S88" i="27"/>
  <c r="L88" i="27"/>
  <c r="R88" i="27"/>
  <c r="N88" i="27"/>
  <c r="K88" i="27"/>
  <c r="M88" i="27"/>
  <c r="T88" i="27"/>
  <c r="N90" i="27"/>
  <c r="T90" i="27"/>
  <c r="L90" i="27"/>
  <c r="O90" i="27"/>
  <c r="S90" i="27"/>
  <c r="K90" i="27"/>
  <c r="P90" i="27"/>
  <c r="M90" i="27"/>
  <c r="Q90" i="27"/>
  <c r="R90" i="27"/>
  <c r="J90" i="27"/>
  <c r="K99" i="27"/>
  <c r="L99" i="27"/>
  <c r="J99" i="27"/>
  <c r="Q99" i="27"/>
  <c r="O99" i="27"/>
  <c r="M99" i="27"/>
  <c r="T99" i="27"/>
  <c r="R99" i="27"/>
  <c r="L129" i="27"/>
  <c r="T129" i="27"/>
  <c r="M129" i="27"/>
  <c r="P129" i="27"/>
  <c r="S129" i="27"/>
  <c r="K129" i="27"/>
  <c r="J129" i="27"/>
  <c r="T44" i="27"/>
  <c r="J44" i="27"/>
  <c r="R44" i="27"/>
  <c r="P44" i="27"/>
  <c r="M44" i="27"/>
  <c r="O124" i="27"/>
  <c r="T124" i="27"/>
  <c r="S124" i="27"/>
  <c r="Q124" i="27"/>
  <c r="J124" i="27"/>
  <c r="P124" i="27"/>
  <c r="M124" i="27"/>
  <c r="R124" i="27"/>
  <c r="P117" i="27"/>
  <c r="J117" i="27"/>
  <c r="N117" i="27"/>
  <c r="M117" i="27"/>
  <c r="T117" i="27"/>
  <c r="L117" i="27"/>
  <c r="O117" i="27"/>
  <c r="S117" i="27"/>
  <c r="T160" i="27"/>
  <c r="R160" i="27"/>
  <c r="L160" i="27"/>
  <c r="M160" i="27"/>
  <c r="P160" i="27"/>
  <c r="J160" i="27"/>
  <c r="S160" i="27"/>
  <c r="N160" i="27"/>
  <c r="J72" i="27"/>
  <c r="N72" i="27"/>
  <c r="T72" i="27"/>
  <c r="L72" i="27"/>
  <c r="R72" i="27"/>
  <c r="O72" i="27"/>
  <c r="P72" i="27"/>
  <c r="S72" i="27"/>
  <c r="S94" i="27"/>
  <c r="T94" i="27"/>
  <c r="Q94" i="27"/>
  <c r="R94" i="27"/>
  <c r="M94" i="27"/>
  <c r="M36" i="27"/>
  <c r="S36" i="27"/>
  <c r="Q36" i="27"/>
  <c r="J36" i="27"/>
  <c r="L36" i="27"/>
  <c r="T167" i="27"/>
  <c r="P167" i="27"/>
  <c r="R167" i="27"/>
  <c r="J112" i="27"/>
  <c r="K112" i="27"/>
  <c r="M112" i="27"/>
  <c r="Q112" i="27"/>
  <c r="N112" i="27"/>
  <c r="S112" i="27"/>
  <c r="O112" i="27"/>
  <c r="P112" i="27"/>
  <c r="R112" i="27"/>
  <c r="S46" i="27"/>
  <c r="N46" i="27"/>
  <c r="J46" i="27"/>
  <c r="P46" i="27"/>
  <c r="M46" i="27"/>
  <c r="K46" i="27"/>
  <c r="R46" i="27"/>
  <c r="T46" i="27"/>
  <c r="L46" i="27"/>
  <c r="Q116" i="27"/>
  <c r="R116" i="27"/>
  <c r="P116" i="27"/>
  <c r="S116" i="27"/>
  <c r="L116" i="27"/>
  <c r="N116" i="27"/>
  <c r="Q69" i="27"/>
  <c r="N115" i="27"/>
  <c r="S74" i="27"/>
  <c r="Q15" i="27"/>
  <c r="J20" i="27"/>
  <c r="Q12" i="27"/>
  <c r="P74" i="27"/>
  <c r="J74" i="27"/>
  <c r="P148" i="27"/>
  <c r="T148" i="27"/>
  <c r="S102" i="27"/>
  <c r="J167" i="27"/>
  <c r="L53" i="27"/>
  <c r="P36" i="27"/>
  <c r="P114" i="27"/>
  <c r="M167" i="27"/>
  <c r="N94" i="27"/>
  <c r="P94" i="27"/>
  <c r="S167" i="27"/>
  <c r="O102" i="27"/>
  <c r="K36" i="27"/>
  <c r="P115" i="27"/>
  <c r="R129" i="27"/>
  <c r="Q44" i="27"/>
  <c r="N159" i="27"/>
  <c r="N124" i="27"/>
  <c r="O129" i="27"/>
  <c r="K160" i="27"/>
  <c r="Q65" i="27"/>
  <c r="O94" i="27"/>
  <c r="O162" i="27"/>
  <c r="N178" i="27"/>
  <c r="R131" i="27"/>
  <c r="P88" i="27"/>
  <c r="S54" i="27"/>
  <c r="M54" i="27"/>
  <c r="N158" i="27"/>
  <c r="L158" i="27"/>
  <c r="P28" i="27"/>
  <c r="J28" i="27"/>
  <c r="P21" i="27"/>
  <c r="T21" i="27"/>
  <c r="M180" i="27"/>
  <c r="J180" i="27"/>
  <c r="S180" i="27"/>
  <c r="L180" i="27"/>
  <c r="T134" i="27"/>
  <c r="K134" i="27"/>
  <c r="Q134" i="27"/>
  <c r="N17" i="27"/>
  <c r="Q17" i="27"/>
  <c r="T15" i="27"/>
  <c r="N12" i="27"/>
  <c r="K53" i="27"/>
  <c r="S48" i="27"/>
  <c r="R17" i="27"/>
  <c r="P13" i="27"/>
  <c r="M127" i="27"/>
  <c r="S127" i="27"/>
  <c r="T127" i="27"/>
  <c r="P127" i="27"/>
  <c r="J127" i="27"/>
  <c r="N127" i="27"/>
  <c r="K127" i="27"/>
  <c r="O127" i="27"/>
  <c r="Q127" i="27"/>
  <c r="L127" i="27"/>
  <c r="O135" i="27"/>
  <c r="Q135" i="27"/>
  <c r="N135" i="27"/>
  <c r="M135" i="27"/>
  <c r="J135" i="27"/>
  <c r="N27" i="27"/>
  <c r="O27" i="27"/>
  <c r="K27" i="27"/>
  <c r="L27" i="27"/>
  <c r="R27" i="27"/>
  <c r="N118" i="27"/>
  <c r="P118" i="27"/>
  <c r="O118" i="27"/>
  <c r="K45" i="27"/>
  <c r="M45" i="27"/>
  <c r="T45" i="27"/>
  <c r="O45" i="27"/>
  <c r="J45" i="27"/>
  <c r="P45" i="27"/>
  <c r="S45" i="27"/>
  <c r="S157" i="27"/>
  <c r="N157" i="27"/>
  <c r="J157" i="27"/>
  <c r="T157" i="27"/>
  <c r="O157" i="27"/>
  <c r="R157" i="27"/>
  <c r="K157" i="27"/>
  <c r="S104" i="27"/>
  <c r="N104" i="27"/>
  <c r="R104" i="27"/>
  <c r="M104" i="27"/>
  <c r="O104" i="27"/>
  <c r="L78" i="27"/>
  <c r="K78" i="27"/>
  <c r="O78" i="27"/>
  <c r="P78" i="27"/>
  <c r="N78" i="27"/>
  <c r="S78" i="27"/>
  <c r="Q78" i="27"/>
  <c r="M78" i="27"/>
  <c r="J78" i="27"/>
  <c r="J84" i="27"/>
  <c r="T84" i="27"/>
  <c r="L84" i="27"/>
  <c r="S84" i="27"/>
  <c r="M84" i="27"/>
  <c r="O84" i="27"/>
  <c r="P84" i="27"/>
  <c r="R84" i="27"/>
  <c r="J169" i="27"/>
  <c r="R169" i="27"/>
  <c r="Q169" i="27"/>
  <c r="T169" i="27"/>
  <c r="M169" i="27"/>
  <c r="N169" i="27"/>
  <c r="P169" i="27"/>
  <c r="L169" i="27"/>
  <c r="O169" i="27"/>
  <c r="N145" i="27"/>
  <c r="K145" i="27"/>
  <c r="M145" i="27"/>
  <c r="T145" i="27"/>
  <c r="P145" i="27"/>
  <c r="S145" i="27"/>
  <c r="L145" i="27"/>
  <c r="Q145" i="27"/>
  <c r="R145" i="27"/>
  <c r="J184" i="27"/>
  <c r="Q184" i="27"/>
  <c r="K184" i="27"/>
  <c r="N184" i="27"/>
  <c r="S184" i="27"/>
  <c r="R14" i="27"/>
  <c r="S14" i="27"/>
  <c r="K14" i="27"/>
  <c r="L14" i="27"/>
  <c r="M14" i="27"/>
  <c r="N14" i="27"/>
  <c r="J14" i="27"/>
  <c r="O14" i="27"/>
  <c r="Q49" i="27"/>
  <c r="K49" i="27"/>
  <c r="N49" i="27"/>
  <c r="T49" i="27"/>
  <c r="O49" i="27"/>
  <c r="L49" i="27"/>
  <c r="M49" i="27"/>
  <c r="S49" i="27"/>
  <c r="J49" i="27"/>
  <c r="Q37" i="27"/>
  <c r="T37" i="27"/>
  <c r="P37" i="27"/>
  <c r="S37" i="27"/>
  <c r="L37" i="27"/>
  <c r="J37" i="27"/>
  <c r="N37" i="27"/>
  <c r="O37" i="27"/>
  <c r="M37" i="27"/>
  <c r="P35" i="27"/>
  <c r="N35" i="27"/>
  <c r="Q35" i="27"/>
  <c r="T35" i="27"/>
  <c r="M35" i="27"/>
  <c r="O35" i="27"/>
  <c r="L35" i="27"/>
  <c r="M64" i="27"/>
  <c r="K64" i="27"/>
  <c r="P64" i="27"/>
  <c r="L64" i="27"/>
  <c r="T64" i="27"/>
  <c r="O64" i="27"/>
  <c r="S64" i="27"/>
  <c r="P26" i="27"/>
  <c r="T26" i="27"/>
  <c r="J26" i="27"/>
  <c r="O26" i="27"/>
  <c r="L26" i="27"/>
  <c r="N26" i="27"/>
  <c r="S26" i="27"/>
  <c r="K26" i="27"/>
  <c r="Q26" i="27"/>
  <c r="R26" i="27"/>
  <c r="Q131" i="27"/>
  <c r="P131" i="27"/>
  <c r="T131" i="27"/>
  <c r="S131" i="27"/>
  <c r="J131" i="27"/>
  <c r="L131" i="27"/>
  <c r="M131" i="27"/>
  <c r="T33" i="27"/>
  <c r="P128" i="27"/>
  <c r="N167" i="27"/>
  <c r="K118" i="27"/>
  <c r="O131" i="27"/>
  <c r="M20" i="27"/>
  <c r="K116" i="27"/>
  <c r="J23" i="27"/>
  <c r="N20" i="27"/>
  <c r="L20" i="27"/>
  <c r="N74" i="27"/>
  <c r="R74" i="27"/>
  <c r="Q74" i="27"/>
  <c r="O116" i="27"/>
  <c r="K20" i="27"/>
  <c r="T74" i="27"/>
  <c r="O148" i="27"/>
  <c r="J64" i="27"/>
  <c r="K114" i="27"/>
  <c r="L118" i="27"/>
  <c r="T118" i="27"/>
  <c r="J94" i="27"/>
  <c r="Q114" i="27"/>
  <c r="S118" i="27"/>
  <c r="O170" i="27"/>
  <c r="M156" i="27"/>
  <c r="L157" i="27"/>
  <c r="N102" i="27"/>
  <c r="M115" i="27"/>
  <c r="K104" i="27"/>
  <c r="T184" i="27"/>
  <c r="K44" i="27"/>
  <c r="L184" i="27"/>
  <c r="L44" i="27"/>
  <c r="R91" i="27"/>
  <c r="K117" i="27"/>
  <c r="K124" i="27"/>
  <c r="L60" i="27"/>
  <c r="Q117" i="27"/>
  <c r="L159" i="27"/>
  <c r="S35" i="27"/>
  <c r="K37" i="27"/>
  <c r="R49" i="27"/>
  <c r="T14" i="27"/>
  <c r="S99" i="27"/>
  <c r="K72" i="27"/>
  <c r="Q102" i="27"/>
  <c r="N64" i="27"/>
  <c r="Q25" i="27"/>
  <c r="Q167" i="27"/>
  <c r="R78" i="27"/>
  <c r="P120" i="27"/>
  <c r="N84" i="27"/>
  <c r="P178" i="27"/>
  <c r="P135" i="27"/>
  <c r="T112" i="27"/>
  <c r="S166" i="27"/>
  <c r="O46" i="27"/>
  <c r="S30" i="27"/>
  <c r="R30" i="27"/>
  <c r="P30" i="27"/>
  <c r="N30" i="27"/>
  <c r="K30" i="27"/>
  <c r="T30" i="27"/>
  <c r="O30" i="27"/>
  <c r="L30" i="27"/>
  <c r="Q30" i="27"/>
  <c r="J33" i="27"/>
  <c r="K33" i="27"/>
  <c r="L25" i="27"/>
  <c r="T25" i="27"/>
  <c r="K25" i="27"/>
  <c r="O69" i="27"/>
  <c r="R69" i="27"/>
  <c r="M69" i="27"/>
  <c r="K69" i="27"/>
  <c r="J69" i="27"/>
  <c r="O122" i="27"/>
  <c r="L122" i="27"/>
  <c r="R122" i="27"/>
  <c r="M122" i="27"/>
  <c r="T122" i="27"/>
  <c r="R139" i="27"/>
  <c r="M139" i="27"/>
  <c r="Q139" i="27"/>
  <c r="S139" i="27"/>
  <c r="O139" i="27"/>
  <c r="L82" i="27"/>
  <c r="R82" i="27"/>
  <c r="T82" i="27"/>
  <c r="Q82" i="27"/>
  <c r="M82" i="27"/>
  <c r="N82" i="27"/>
  <c r="J82" i="27"/>
  <c r="O82" i="27"/>
  <c r="M91" i="27"/>
  <c r="T91" i="27"/>
  <c r="J91" i="27"/>
  <c r="Q66" i="27"/>
  <c r="S66" i="27"/>
  <c r="P66" i="27"/>
  <c r="K66" i="27"/>
  <c r="N134" i="27"/>
  <c r="J134" i="27"/>
  <c r="O134" i="27"/>
  <c r="M134" i="27"/>
  <c r="T142" i="27"/>
  <c r="K142" i="27"/>
  <c r="K38" i="27"/>
  <c r="S128" i="27"/>
  <c r="Q33" i="27"/>
  <c r="Q128" i="27"/>
  <c r="P33" i="27"/>
  <c r="L12" i="27"/>
  <c r="K23" i="27"/>
  <c r="O15" i="27"/>
  <c r="N142" i="27"/>
  <c r="N53" i="27"/>
  <c r="P156" i="27"/>
  <c r="O17" i="27"/>
  <c r="J114" i="27"/>
  <c r="M17" i="27"/>
  <c r="S142" i="27"/>
  <c r="M48" i="27"/>
  <c r="Q48" i="27"/>
  <c r="S53" i="27"/>
  <c r="P69" i="27"/>
  <c r="N13" i="27"/>
  <c r="K91" i="27"/>
  <c r="R159" i="27"/>
  <c r="S60" i="27"/>
  <c r="P60" i="27"/>
  <c r="R165" i="27"/>
  <c r="O159" i="27"/>
  <c r="R66" i="27"/>
  <c r="K149" i="27"/>
  <c r="K21" i="27"/>
  <c r="J21" i="27"/>
  <c r="L21" i="27"/>
  <c r="S164" i="27"/>
  <c r="R134" i="27"/>
  <c r="L134" i="27"/>
  <c r="P164" i="27"/>
  <c r="M25" i="27"/>
  <c r="R10" i="27"/>
  <c r="P10" i="27"/>
  <c r="N156" i="27"/>
  <c r="N122" i="27"/>
  <c r="K155" i="27"/>
  <c r="M155" i="27"/>
  <c r="T139" i="27"/>
  <c r="M16" i="27"/>
  <c r="M158" i="27"/>
  <c r="J159" i="27"/>
  <c r="P122" i="27"/>
  <c r="O107" i="27"/>
  <c r="P23" i="27"/>
  <c r="L23" i="27"/>
  <c r="R23" i="27"/>
  <c r="N23" i="27"/>
  <c r="P12" i="27"/>
  <c r="J12" i="27"/>
  <c r="M12" i="27"/>
  <c r="O53" i="27"/>
  <c r="J53" i="27"/>
  <c r="Q53" i="27"/>
  <c r="M53" i="27"/>
  <c r="T53" i="27"/>
  <c r="Q77" i="27"/>
  <c r="L77" i="27"/>
  <c r="T77" i="27"/>
  <c r="S77" i="27"/>
  <c r="J77" i="27"/>
  <c r="K28" i="27"/>
  <c r="N28" i="27"/>
  <c r="R28" i="27"/>
  <c r="O28" i="27"/>
  <c r="Q28" i="27"/>
  <c r="T28" i="27"/>
  <c r="S28" i="27"/>
  <c r="M28" i="27"/>
  <c r="L28" i="27"/>
  <c r="O38" i="27"/>
  <c r="S38" i="27"/>
  <c r="T38" i="27"/>
  <c r="L38" i="27"/>
  <c r="M13" i="27"/>
  <c r="R13" i="27"/>
  <c r="Q13" i="27"/>
  <c r="T13" i="27"/>
  <c r="L13" i="27"/>
  <c r="N180" i="27"/>
  <c r="O180" i="27"/>
  <c r="Q180" i="27"/>
  <c r="K17" i="27"/>
  <c r="P17" i="27"/>
  <c r="J17" i="27"/>
  <c r="R140" i="27"/>
  <c r="S140" i="27"/>
  <c r="J140" i="27"/>
  <c r="O140" i="27"/>
  <c r="L140" i="27"/>
  <c r="P140" i="27"/>
  <c r="M140" i="27"/>
  <c r="T140" i="27"/>
  <c r="P125" i="27"/>
  <c r="T125" i="27"/>
  <c r="R125" i="27"/>
  <c r="O125" i="27"/>
  <c r="N69" i="27"/>
  <c r="O23" i="27"/>
  <c r="L142" i="27"/>
  <c r="T180" i="27"/>
  <c r="K13" i="27"/>
  <c r="P91" i="27"/>
  <c r="N91" i="27"/>
  <c r="Q21" i="27"/>
  <c r="O165" i="27"/>
  <c r="P180" i="27"/>
  <c r="K180" i="27"/>
  <c r="S165" i="27"/>
  <c r="J66" i="27"/>
  <c r="N66" i="27"/>
  <c r="M10" i="27"/>
  <c r="S134" i="27"/>
  <c r="M142" i="27"/>
  <c r="T164" i="27"/>
  <c r="P25" i="27"/>
  <c r="N25" i="27"/>
  <c r="Q122" i="27"/>
  <c r="J139" i="27"/>
  <c r="K158" i="27"/>
  <c r="Q140" i="27"/>
  <c r="K82" i="27"/>
  <c r="S82" i="27"/>
  <c r="J30" i="27"/>
  <c r="L54" i="27"/>
  <c r="K54" i="27"/>
  <c r="R54" i="27"/>
  <c r="N54" i="27"/>
  <c r="Q54" i="27"/>
  <c r="T54" i="27"/>
  <c r="P54" i="27"/>
  <c r="J54" i="27"/>
  <c r="O54" i="27"/>
  <c r="P43" i="27"/>
  <c r="L43" i="27"/>
  <c r="K43" i="27"/>
  <c r="J43" i="27"/>
  <c r="S43" i="27"/>
  <c r="Q43" i="27"/>
  <c r="O43" i="27"/>
  <c r="M43" i="27"/>
  <c r="J15" i="27"/>
  <c r="S15" i="27"/>
  <c r="K15" i="27"/>
  <c r="L15" i="27"/>
  <c r="T48" i="27"/>
  <c r="K48" i="27"/>
  <c r="L48" i="27"/>
  <c r="M114" i="27"/>
  <c r="L114" i="27"/>
  <c r="R114" i="27"/>
  <c r="N114" i="27"/>
  <c r="O114" i="27"/>
  <c r="Q164" i="27"/>
  <c r="O164" i="27"/>
  <c r="R164" i="27"/>
  <c r="N164" i="27"/>
  <c r="N170" i="27"/>
  <c r="L170" i="27"/>
  <c r="M170" i="27"/>
  <c r="T170" i="27"/>
  <c r="Q170" i="27"/>
  <c r="R16" i="27"/>
  <c r="J16" i="27"/>
  <c r="P16" i="27"/>
  <c r="S16" i="27"/>
  <c r="L16" i="27"/>
  <c r="K16" i="27"/>
  <c r="Q16" i="27"/>
  <c r="S158" i="27"/>
  <c r="J158" i="27"/>
  <c r="P158" i="27"/>
  <c r="Q158" i="27"/>
  <c r="R158" i="27"/>
  <c r="L155" i="27"/>
  <c r="P155" i="27"/>
  <c r="S155" i="27"/>
  <c r="N155" i="27"/>
  <c r="R155" i="27"/>
  <c r="O155" i="27"/>
  <c r="O85" i="27"/>
  <c r="R85" i="27"/>
  <c r="P85" i="27"/>
  <c r="Q85" i="27"/>
  <c r="M85" i="27"/>
  <c r="K85" i="27"/>
  <c r="N85" i="27"/>
  <c r="J85" i="27"/>
  <c r="T85" i="27"/>
  <c r="N21" i="27"/>
  <c r="O21" i="27"/>
  <c r="R21" i="27"/>
  <c r="S21" i="27"/>
  <c r="L149" i="27"/>
  <c r="T149" i="27"/>
  <c r="M149" i="27"/>
  <c r="N149" i="27"/>
  <c r="O149" i="27"/>
  <c r="K159" i="27"/>
  <c r="S159" i="27"/>
  <c r="M165" i="27"/>
  <c r="L165" i="27"/>
  <c r="T165" i="27"/>
  <c r="K165" i="27"/>
  <c r="O60" i="27"/>
  <c r="N60" i="27"/>
  <c r="Q60" i="27"/>
  <c r="T60" i="27"/>
  <c r="L10" i="27"/>
  <c r="O10" i="27"/>
  <c r="S10" i="27"/>
  <c r="N10" i="27"/>
  <c r="O156" i="27"/>
  <c r="T156" i="27"/>
  <c r="R156" i="27"/>
  <c r="R128" i="27"/>
  <c r="T128" i="27"/>
  <c r="N128" i="27"/>
  <c r="L128" i="27"/>
  <c r="P106" i="27"/>
  <c r="M106" i="27"/>
  <c r="N106" i="27"/>
  <c r="Q106" i="27"/>
  <c r="S106" i="27"/>
  <c r="L106" i="27"/>
  <c r="T106" i="27"/>
  <c r="O106" i="27"/>
  <c r="R106" i="27"/>
  <c r="S107" i="27"/>
  <c r="J107" i="27"/>
  <c r="K107" i="27"/>
  <c r="T107" i="27"/>
  <c r="R107" i="27"/>
  <c r="P107" i="27"/>
  <c r="Q107" i="27"/>
  <c r="M107" i="27"/>
  <c r="L107" i="27"/>
  <c r="P38" i="27"/>
  <c r="Q38" i="27"/>
  <c r="S33" i="27"/>
  <c r="R33" i="27"/>
  <c r="O128" i="27"/>
  <c r="N33" i="27"/>
  <c r="M23" i="27"/>
  <c r="N15" i="27"/>
  <c r="O12" i="27"/>
  <c r="K12" i="27"/>
  <c r="Q125" i="27"/>
  <c r="T12" i="27"/>
  <c r="S125" i="27"/>
  <c r="P53" i="27"/>
  <c r="T17" i="27"/>
  <c r="J142" i="27"/>
  <c r="J156" i="27"/>
  <c r="S17" i="27"/>
  <c r="S170" i="27"/>
  <c r="R48" i="27"/>
  <c r="S69" i="27"/>
  <c r="O77" i="27"/>
  <c r="N38" i="27"/>
  <c r="J38" i="27"/>
  <c r="K128" i="27"/>
  <c r="L33" i="27"/>
  <c r="S23" i="27"/>
  <c r="M15" i="27"/>
  <c r="R12" i="27"/>
  <c r="J125" i="27"/>
  <c r="N125" i="27"/>
  <c r="M125" i="27"/>
  <c r="L17" i="27"/>
  <c r="P142" i="27"/>
  <c r="O142" i="27"/>
  <c r="K156" i="27"/>
  <c r="Q142" i="27"/>
  <c r="P170" i="27"/>
  <c r="N48" i="27"/>
  <c r="P77" i="27"/>
  <c r="T69" i="27"/>
  <c r="R60" i="27"/>
  <c r="P159" i="27"/>
  <c r="O13" i="27"/>
  <c r="Q91" i="27"/>
  <c r="S91" i="27"/>
  <c r="S149" i="27"/>
  <c r="M60" i="27"/>
  <c r="R180" i="27"/>
  <c r="J165" i="27"/>
  <c r="L66" i="27"/>
  <c r="J149" i="27"/>
  <c r="P149" i="27"/>
  <c r="O91" i="27"/>
  <c r="T159" i="27"/>
  <c r="S13" i="27"/>
  <c r="M21" i="27"/>
  <c r="P134" i="27"/>
  <c r="R142" i="27"/>
  <c r="M164" i="27"/>
  <c r="J164" i="27"/>
  <c r="R25" i="27"/>
  <c r="S25" i="27"/>
  <c r="O25" i="27"/>
  <c r="K10" i="27"/>
  <c r="J170" i="27"/>
  <c r="R77" i="27"/>
  <c r="N16" i="27"/>
  <c r="S122" i="27"/>
  <c r="Q155" i="27"/>
  <c r="K139" i="27"/>
  <c r="T16" i="27"/>
  <c r="K77" i="27"/>
  <c r="T158" i="27"/>
  <c r="J122" i="27"/>
  <c r="O158" i="27"/>
  <c r="P165" i="27"/>
  <c r="L139" i="27"/>
  <c r="K140" i="27"/>
  <c r="N43" i="27"/>
  <c r="M30" i="27"/>
  <c r="T43" i="27"/>
  <c r="J106" i="27"/>
  <c r="Q75" i="27"/>
  <c r="J75" i="27"/>
  <c r="Q20" i="27"/>
  <c r="O20" i="27"/>
  <c r="K148" i="27"/>
  <c r="R148" i="27"/>
  <c r="Q27" i="27"/>
  <c r="K102" i="27"/>
  <c r="M102" i="27"/>
  <c r="T110" i="27"/>
  <c r="S179" i="27"/>
  <c r="N45" i="27"/>
  <c r="L45" i="27"/>
  <c r="K154" i="27"/>
  <c r="O166" i="27"/>
  <c r="M137" i="27"/>
  <c r="K166" i="27"/>
  <c r="R127" i="27"/>
  <c r="K135" i="27"/>
  <c r="T137" i="27"/>
  <c r="R166" i="27"/>
  <c r="R75" i="27"/>
  <c r="M166" i="27"/>
  <c r="J166" i="27"/>
  <c r="L137" i="27"/>
  <c r="O35" i="26" l="1"/>
  <c r="AB33" i="27" s="1"/>
  <c r="C17" i="26"/>
  <c r="B17" i="26" s="1"/>
  <c r="O23" i="26"/>
  <c r="AB21" i="27" s="1"/>
  <c r="I22" i="26"/>
  <c r="Q27" i="26"/>
  <c r="M15" i="26"/>
  <c r="I28" i="26"/>
  <c r="L18" i="26"/>
  <c r="Q31" i="26"/>
  <c r="M24" i="26"/>
  <c r="N24" i="26"/>
  <c r="H12" i="26"/>
  <c r="I19" i="26"/>
  <c r="C15" i="26"/>
  <c r="B15" i="26" s="1"/>
  <c r="M18" i="26"/>
  <c r="I18" i="26"/>
  <c r="I27" i="26"/>
  <c r="J16" i="26"/>
  <c r="X14" i="27" s="1"/>
  <c r="J34" i="26"/>
  <c r="W32" i="27" s="1"/>
  <c r="L35" i="26"/>
  <c r="E17" i="26"/>
  <c r="F17" i="26" s="1"/>
  <c r="C32" i="26"/>
  <c r="B32" i="26" s="1"/>
  <c r="L25" i="26"/>
  <c r="H29" i="26"/>
  <c r="L27" i="26"/>
  <c r="N18" i="26"/>
  <c r="O30" i="26"/>
  <c r="AB28" i="27" s="1"/>
  <c r="I29" i="26"/>
  <c r="M32" i="26"/>
  <c r="J28" i="26"/>
  <c r="X26" i="27" s="1"/>
  <c r="R28" i="26"/>
  <c r="AG26" i="27" s="1"/>
  <c r="O29" i="26"/>
  <c r="AB27" i="27" s="1"/>
  <c r="M23" i="26"/>
  <c r="Q36" i="26"/>
  <c r="E24" i="26"/>
  <c r="F24" i="26" s="1"/>
  <c r="C21" i="26"/>
  <c r="B21" i="26" s="1"/>
  <c r="E21" i="26"/>
  <c r="F21" i="26" s="1"/>
  <c r="E12" i="26"/>
  <c r="F12" i="26" s="1"/>
  <c r="N30" i="26"/>
  <c r="L15" i="26"/>
  <c r="I17" i="26"/>
  <c r="R14" i="26"/>
  <c r="AH12" i="27" s="1"/>
  <c r="N23" i="26"/>
  <c r="C12" i="26"/>
  <c r="O36" i="26"/>
  <c r="AB34" i="27" s="1"/>
  <c r="J33" i="26"/>
  <c r="W31" i="27" s="1"/>
  <c r="I12" i="26"/>
  <c r="H23" i="26"/>
  <c r="N17" i="26"/>
  <c r="O20" i="26"/>
  <c r="AB18" i="27" s="1"/>
  <c r="R22" i="26"/>
  <c r="AG20" i="27" s="1"/>
  <c r="O24" i="26"/>
  <c r="AB22" i="27" s="1"/>
  <c r="J19" i="26"/>
  <c r="W17" i="27" s="1"/>
  <c r="M19" i="26"/>
  <c r="O15" i="26"/>
  <c r="AB13" i="27" s="1"/>
  <c r="Q16" i="26"/>
  <c r="C31" i="26"/>
  <c r="B31" i="26" s="1"/>
  <c r="N26" i="26"/>
  <c r="O31" i="26"/>
  <c r="AB29" i="27" s="1"/>
  <c r="R19" i="26"/>
  <c r="AG17" i="27" s="1"/>
  <c r="M27" i="26"/>
  <c r="R16" i="26"/>
  <c r="AG14" i="27" s="1"/>
  <c r="H28" i="26"/>
  <c r="E14" i="26"/>
  <c r="F14" i="26" s="1"/>
  <c r="H20" i="26"/>
  <c r="E30" i="26"/>
  <c r="F30" i="26" s="1"/>
  <c r="N22" i="26"/>
  <c r="H17" i="26"/>
  <c r="Q30" i="26"/>
  <c r="H14" i="26"/>
  <c r="E35" i="26"/>
  <c r="F35" i="26" s="1"/>
  <c r="J22" i="26"/>
  <c r="W20" i="27" s="1"/>
  <c r="J29" i="26"/>
  <c r="X27" i="27" s="1"/>
  <c r="M20" i="26"/>
  <c r="Q33" i="26"/>
  <c r="H21" i="26"/>
  <c r="J13" i="26"/>
  <c r="W11" i="27" s="1"/>
  <c r="M35" i="26"/>
  <c r="C35" i="26"/>
  <c r="B35" i="26" s="1"/>
  <c r="R32" i="26"/>
  <c r="AH30" i="27" s="1"/>
  <c r="O32" i="26"/>
  <c r="AC30" i="27" s="1"/>
  <c r="C25" i="26"/>
  <c r="B25" i="26" s="1"/>
  <c r="N28" i="26"/>
  <c r="M28" i="26"/>
  <c r="O19" i="26"/>
  <c r="AC17" i="27" s="1"/>
  <c r="R29" i="26"/>
  <c r="AG27" i="27" s="1"/>
  <c r="Q29" i="26"/>
  <c r="O22" i="26"/>
  <c r="AB20" i="27" s="1"/>
  <c r="M29" i="26"/>
  <c r="R24" i="26"/>
  <c r="AH22" i="27" s="1"/>
  <c r="M36" i="26"/>
  <c r="I21" i="26"/>
  <c r="N36" i="26"/>
  <c r="Q13" i="26"/>
  <c r="N29" i="26"/>
  <c r="Q23" i="26"/>
  <c r="J27" i="26"/>
  <c r="X25" i="27" s="1"/>
  <c r="L32" i="26"/>
  <c r="R35" i="26"/>
  <c r="AG33" i="27" s="1"/>
  <c r="L20" i="26"/>
  <c r="C13" i="26"/>
  <c r="B13" i="26" s="1"/>
  <c r="E19" i="26"/>
  <c r="F19" i="26" s="1"/>
  <c r="C14" i="26"/>
  <c r="B14" i="26" s="1"/>
  <c r="N32" i="26"/>
  <c r="Q32" i="26"/>
  <c r="J25" i="26"/>
  <c r="X23" i="27" s="1"/>
  <c r="N27" i="26"/>
  <c r="O28" i="26"/>
  <c r="AB26" i="27" s="1"/>
  <c r="J14" i="26"/>
  <c r="W12" i="27" s="1"/>
  <c r="J31" i="26"/>
  <c r="X29" i="27" s="1"/>
  <c r="O13" i="26"/>
  <c r="AC11" i="27" s="1"/>
  <c r="M22" i="26"/>
  <c r="O27" i="26"/>
  <c r="AB25" i="27" s="1"/>
  <c r="J12" i="26"/>
  <c r="X10" i="27" s="1"/>
  <c r="C18" i="26"/>
  <c r="B18" i="26" s="1"/>
  <c r="I15" i="26"/>
  <c r="N25" i="26"/>
  <c r="Q14" i="26"/>
  <c r="R17" i="26"/>
  <c r="AG15" i="27" s="1"/>
  <c r="C30" i="26"/>
  <c r="B30" i="26" s="1"/>
  <c r="C29" i="26"/>
  <c r="B29" i="26" s="1"/>
  <c r="M26" i="26"/>
  <c r="O33" i="26"/>
  <c r="AC31" i="27" s="1"/>
  <c r="J20" i="26"/>
  <c r="X18" i="27" s="1"/>
  <c r="I36" i="26"/>
  <c r="E31" i="26"/>
  <c r="F31" i="26" s="1"/>
  <c r="I34" i="26"/>
  <c r="C27" i="26"/>
  <c r="B27" i="26" s="1"/>
  <c r="M17" i="26"/>
  <c r="R26" i="26"/>
  <c r="AH24" i="27" s="1"/>
  <c r="Q34" i="26"/>
  <c r="J18" i="26"/>
  <c r="W16" i="27" s="1"/>
  <c r="H19" i="26"/>
  <c r="O14" i="26"/>
  <c r="AB12" i="27" s="1"/>
  <c r="J23" i="26"/>
  <c r="W21" i="27" s="1"/>
  <c r="C19" i="26"/>
  <c r="B19" i="26" s="1"/>
  <c r="O12" i="26"/>
  <c r="AC10" i="27" s="1"/>
  <c r="N35" i="26"/>
  <c r="H27" i="26"/>
  <c r="Q28" i="26"/>
  <c r="C28" i="26"/>
  <c r="B28" i="26" s="1"/>
  <c r="E16" i="26"/>
  <c r="F16" i="26" s="1"/>
  <c r="L29" i="26"/>
  <c r="M16" i="26"/>
  <c r="C36" i="26"/>
  <c r="B36" i="26" s="1"/>
  <c r="I35" i="26"/>
  <c r="H24" i="26"/>
  <c r="Q24" i="26"/>
  <c r="R33" i="26"/>
  <c r="AG31" i="27" s="1"/>
  <c r="Q21" i="26"/>
  <c r="N16" i="26"/>
  <c r="Q25" i="26"/>
  <c r="I25" i="26"/>
  <c r="E15" i="26"/>
  <c r="F15" i="26" s="1"/>
  <c r="H15" i="26"/>
  <c r="E33" i="26"/>
  <c r="F33" i="26" s="1"/>
  <c r="J36" i="26"/>
  <c r="X34" i="27" s="1"/>
  <c r="L13" i="26"/>
  <c r="M13" i="26"/>
  <c r="I23" i="26"/>
  <c r="H35" i="26"/>
  <c r="L23" i="26"/>
  <c r="Q17" i="26"/>
  <c r="R15" i="26"/>
  <c r="AG13" i="27" s="1"/>
  <c r="M12" i="26"/>
  <c r="L19" i="26"/>
  <c r="R27" i="26"/>
  <c r="AH25" i="27" s="1"/>
  <c r="E28" i="26"/>
  <c r="F28" i="26" s="1"/>
  <c r="L28" i="26"/>
  <c r="H16" i="26"/>
  <c r="L36" i="26"/>
  <c r="I24" i="26"/>
  <c r="H34" i="26"/>
  <c r="C34" i="26"/>
  <c r="B34" i="26" s="1"/>
  <c r="H22" i="26"/>
  <c r="C22" i="26"/>
  <c r="B22" i="26" s="1"/>
  <c r="M33" i="26"/>
  <c r="C20" i="26"/>
  <c r="B20" i="26" s="1"/>
  <c r="E13" i="26"/>
  <c r="F13" i="26" s="1"/>
  <c r="J30" i="26"/>
  <c r="W28" i="27" s="1"/>
  <c r="I14" i="26"/>
  <c r="J15" i="26"/>
  <c r="X13" i="27" s="1"/>
  <c r="E27" i="26"/>
  <c r="F27" i="26" s="1"/>
  <c r="O16" i="26"/>
  <c r="AC14" i="27" s="1"/>
  <c r="N12" i="26"/>
  <c r="C26" i="26"/>
  <c r="B26" i="26" s="1"/>
  <c r="R36" i="26"/>
  <c r="AG34" i="27" s="1"/>
  <c r="L31" i="26"/>
  <c r="O21" i="26"/>
  <c r="AC19" i="27" s="1"/>
  <c r="H13" i="26"/>
  <c r="Q19" i="26"/>
  <c r="Q12" i="26"/>
  <c r="H18" i="26"/>
  <c r="C23" i="26"/>
  <c r="B23" i="26" s="1"/>
  <c r="L17" i="26"/>
  <c r="E22" i="26"/>
  <c r="F22" i="26" s="1"/>
  <c r="L22" i="26"/>
  <c r="R18" i="26"/>
  <c r="AH16" i="27" s="1"/>
  <c r="Q15" i="26"/>
  <c r="L14" i="26"/>
  <c r="L12" i="26"/>
  <c r="Q18" i="26"/>
  <c r="N15" i="26"/>
  <c r="I30" i="26"/>
  <c r="L30" i="26"/>
  <c r="M14" i="26"/>
  <c r="M25" i="26"/>
  <c r="E23" i="26"/>
  <c r="F23" i="26" s="1"/>
  <c r="E25" i="26"/>
  <c r="F25" i="26" s="1"/>
  <c r="H32" i="26"/>
  <c r="J32" i="26"/>
  <c r="X30" i="27" s="1"/>
  <c r="C16" i="26"/>
  <c r="B16" i="26" s="1"/>
  <c r="R23" i="26"/>
  <c r="AH21" i="27" s="1"/>
  <c r="N14" i="26"/>
  <c r="O17" i="26"/>
  <c r="AC15" i="27" s="1"/>
  <c r="Q22" i="26"/>
  <c r="J26" i="26"/>
  <c r="W24" i="27" s="1"/>
  <c r="Q26" i="26"/>
  <c r="H26" i="26"/>
  <c r="N20" i="26"/>
  <c r="H36" i="26"/>
  <c r="E26" i="26"/>
  <c r="F26" i="26" s="1"/>
  <c r="R20" i="26"/>
  <c r="AH18" i="27" s="1"/>
  <c r="M31" i="26"/>
  <c r="L24" i="26"/>
  <c r="I33" i="26"/>
  <c r="I26" i="26"/>
  <c r="H31" i="26"/>
  <c r="N34" i="26"/>
  <c r="I31" i="26"/>
  <c r="R21" i="26"/>
  <c r="AH19" i="27" s="1"/>
  <c r="N21" i="26"/>
  <c r="J21" i="26"/>
  <c r="W19" i="27" s="1"/>
  <c r="M21" i="26"/>
  <c r="N31" i="26"/>
  <c r="C33" i="26"/>
  <c r="B33" i="26" s="1"/>
  <c r="I32" i="26"/>
  <c r="Q35" i="26"/>
  <c r="E18" i="26"/>
  <c r="F18" i="26" s="1"/>
  <c r="R30" i="26"/>
  <c r="AH28" i="27" s="1"/>
  <c r="O25" i="26"/>
  <c r="AC23" i="27" s="1"/>
  <c r="I16" i="26"/>
  <c r="L33" i="26"/>
  <c r="I20" i="26"/>
  <c r="N33" i="26"/>
  <c r="L21" i="26"/>
  <c r="H30" i="26"/>
  <c r="H25" i="26"/>
  <c r="E32" i="26"/>
  <c r="F32" i="26" s="1"/>
  <c r="L16" i="26"/>
  <c r="E29" i="26"/>
  <c r="F29" i="26" s="1"/>
  <c r="N19" i="26"/>
  <c r="M30" i="26"/>
  <c r="R12" i="26"/>
  <c r="AG10" i="27" s="1"/>
  <c r="R25" i="26"/>
  <c r="AG23" i="27" s="1"/>
  <c r="O26" i="26"/>
  <c r="AB24" i="27" s="1"/>
  <c r="E20" i="26"/>
  <c r="F20" i="26" s="1"/>
  <c r="E36" i="26"/>
  <c r="F36" i="26" s="1"/>
  <c r="H33" i="26"/>
  <c r="J24" i="26"/>
  <c r="W22" i="27" s="1"/>
  <c r="R31" i="26"/>
  <c r="AG29" i="27" s="1"/>
  <c r="C24" i="26"/>
  <c r="B24" i="26" s="1"/>
  <c r="L26" i="26"/>
  <c r="Q20" i="26"/>
  <c r="R13" i="26"/>
  <c r="AH11" i="27" s="1"/>
  <c r="R34" i="26"/>
  <c r="AH32" i="27" s="1"/>
  <c r="E34" i="26"/>
  <c r="F34" i="26" s="1"/>
  <c r="O34" i="26"/>
  <c r="AB32" i="27" s="1"/>
  <c r="L34" i="26"/>
  <c r="I13" i="26"/>
  <c r="M34" i="26"/>
  <c r="N13" i="26"/>
  <c r="AJ26" i="27"/>
  <c r="Y10" i="27"/>
  <c r="AJ17" i="27"/>
  <c r="AD23" i="27"/>
  <c r="AI31" i="27"/>
  <c r="AD11" i="27"/>
  <c r="AJ11" i="27"/>
  <c r="AD12" i="27"/>
  <c r="Y14" i="27"/>
  <c r="AD17" i="27"/>
  <c r="Y11" i="27"/>
  <c r="Y20" i="27"/>
  <c r="Z31" i="27"/>
  <c r="AI11" i="27"/>
  <c r="Y30" i="27"/>
  <c r="AE25" i="27"/>
  <c r="AE10" i="27"/>
  <c r="AJ14" i="27"/>
  <c r="AI24" i="27"/>
  <c r="AE15" i="27"/>
  <c r="AJ28" i="27"/>
  <c r="Z27" i="27"/>
  <c r="AE34" i="27"/>
  <c r="Z29" i="27"/>
  <c r="AE21" i="27"/>
  <c r="AI23" i="27"/>
  <c r="AI15" i="27"/>
  <c r="Z33" i="27"/>
  <c r="Z12" i="27"/>
  <c r="AJ20" i="27"/>
  <c r="AE31" i="27"/>
  <c r="J35" i="26"/>
  <c r="X33" i="27" s="1"/>
  <c r="Z17" i="27"/>
  <c r="AD15" i="27"/>
  <c r="Y12" i="27"/>
  <c r="Z34" i="27"/>
  <c r="AE27" i="27"/>
  <c r="AJ10" i="27"/>
  <c r="Z23" i="27"/>
  <c r="AE14" i="27"/>
  <c r="AI21" i="27"/>
  <c r="AD13" i="27"/>
  <c r="Z19" i="27"/>
  <c r="Y13" i="27"/>
  <c r="Z30" i="27"/>
  <c r="AD32" i="27"/>
  <c r="O18" i="26"/>
  <c r="AB16" i="27" s="1"/>
  <c r="AI12" i="27"/>
  <c r="AD28" i="27"/>
  <c r="Y16" i="27"/>
  <c r="AD22" i="27"/>
  <c r="AI22" i="27"/>
  <c r="Y24" i="27"/>
  <c r="Z15" i="27"/>
  <c r="AD27" i="27"/>
  <c r="AJ15" i="27"/>
  <c r="AI33" i="27"/>
  <c r="Y34" i="27"/>
  <c r="AI19" i="27"/>
  <c r="AI17" i="27"/>
  <c r="Z26" i="27"/>
  <c r="AJ27" i="27"/>
  <c r="AI32" i="27"/>
  <c r="AJ19" i="27"/>
  <c r="Y17" i="27"/>
  <c r="AE29" i="27"/>
  <c r="AD25" i="27"/>
  <c r="AI30" i="27"/>
  <c r="Z22" i="27"/>
  <c r="AE32" i="27"/>
  <c r="Y26" i="27"/>
  <c r="AJ34" i="27"/>
  <c r="Z10" i="27"/>
  <c r="AI10" i="27"/>
  <c r="Y15" i="27"/>
  <c r="AD10" i="27"/>
  <c r="AD30" i="27"/>
  <c r="AE22" i="27"/>
  <c r="J17" i="26"/>
  <c r="W15" i="27" s="1"/>
  <c r="AJ12" i="27"/>
  <c r="AI16" i="27"/>
  <c r="AD34" i="27"/>
  <c r="AI34" i="27"/>
  <c r="Y28" i="27"/>
  <c r="AJ32" i="27"/>
  <c r="AE17" i="27"/>
  <c r="Z11" i="27"/>
  <c r="AE33" i="27"/>
  <c r="AI29" i="27"/>
  <c r="AI13" i="27"/>
  <c r="Z25" i="27"/>
  <c r="Z24" i="27"/>
  <c r="AE19" i="27"/>
  <c r="AD33" i="27"/>
  <c r="AD19" i="27"/>
  <c r="AJ22" i="27"/>
  <c r="Z21" i="27"/>
  <c r="Z18" i="27"/>
  <c r="AD20" i="27"/>
  <c r="AE24" i="27"/>
  <c r="AJ18" i="27"/>
  <c r="AJ16" i="27"/>
  <c r="Y18" i="27"/>
  <c r="AE23" i="27"/>
  <c r="AJ24" i="27"/>
  <c r="Z14" i="27"/>
  <c r="Y19" i="27"/>
  <c r="AD26" i="27"/>
  <c r="Y27" i="27"/>
  <c r="AJ30" i="27"/>
  <c r="Y33" i="27"/>
  <c r="Z20" i="27"/>
  <c r="Y25" i="27"/>
  <c r="Y29" i="27"/>
  <c r="AD14" i="27"/>
  <c r="AI28" i="27"/>
  <c r="AE20" i="27"/>
  <c r="AI27" i="27"/>
  <c r="AJ25" i="27"/>
  <c r="AJ21" i="27"/>
  <c r="Z16" i="27"/>
  <c r="Y23" i="27"/>
  <c r="Z28" i="27"/>
  <c r="AE26" i="27"/>
  <c r="AD29" i="27"/>
  <c r="AD31" i="27"/>
  <c r="AJ31" i="27"/>
  <c r="AJ23" i="27"/>
  <c r="AJ29" i="27"/>
  <c r="Z13" i="27"/>
  <c r="Y21" i="27"/>
  <c r="AE16" i="27"/>
  <c r="AD21" i="27"/>
  <c r="AD16" i="27"/>
  <c r="AI20" i="27"/>
  <c r="AI26" i="27"/>
  <c r="AI18" i="27"/>
  <c r="Y32" i="27"/>
  <c r="AE28" i="27"/>
  <c r="AI14" i="27"/>
  <c r="AI25" i="27"/>
  <c r="Z32" i="27"/>
  <c r="Y31" i="27"/>
  <c r="AD18" i="27"/>
  <c r="AJ33" i="27"/>
  <c r="AE18" i="27"/>
  <c r="AJ13" i="27"/>
  <c r="AE30" i="27"/>
  <c r="AD24" i="27"/>
  <c r="AE11" i="27"/>
  <c r="Y22" i="27"/>
  <c r="AE13" i="27"/>
  <c r="AE12" i="27"/>
  <c r="C38" i="26" l="1"/>
  <c r="B12" i="26"/>
  <c r="AC33" i="27"/>
  <c r="AC21" i="27"/>
  <c r="X12" i="27"/>
  <c r="AC29" i="27"/>
  <c r="X11" i="27"/>
  <c r="W27" i="27"/>
  <c r="AC12" i="27"/>
  <c r="AC22" i="27"/>
  <c r="AC27" i="27"/>
  <c r="AC28" i="27"/>
  <c r="AC20" i="27"/>
  <c r="X32" i="27"/>
  <c r="AC25" i="27"/>
  <c r="X31" i="27"/>
  <c r="W14" i="27"/>
  <c r="AC26" i="27"/>
  <c r="W26" i="27"/>
  <c r="W10" i="27"/>
  <c r="AG12" i="27"/>
  <c r="W25" i="27"/>
  <c r="AH33" i="27"/>
  <c r="AH20" i="27"/>
  <c r="AH23" i="27"/>
  <c r="AH26" i="27"/>
  <c r="AB31" i="27"/>
  <c r="AG22" i="27"/>
  <c r="X16" i="27"/>
  <c r="AH17" i="27"/>
  <c r="W23" i="27"/>
  <c r="AH14" i="27"/>
  <c r="AG30" i="27"/>
  <c r="AH27" i="27"/>
  <c r="AC18" i="27"/>
  <c r="AC13" i="27"/>
  <c r="AG18" i="27"/>
  <c r="AB11" i="27"/>
  <c r="AB30" i="27"/>
  <c r="AB17" i="27"/>
  <c r="X17" i="27"/>
  <c r="AH34" i="27"/>
  <c r="AB10" i="27"/>
  <c r="AC34" i="27"/>
  <c r="AH13" i="27"/>
  <c r="W18" i="27"/>
  <c r="AG24" i="27"/>
  <c r="W29" i="27"/>
  <c r="X20" i="27"/>
  <c r="AG25" i="27"/>
  <c r="AH15" i="27"/>
  <c r="AH31" i="27"/>
  <c r="AG19" i="27"/>
  <c r="W34" i="27"/>
  <c r="X21" i="27"/>
  <c r="X24" i="27"/>
  <c r="AB15" i="27"/>
  <c r="AG21" i="27"/>
  <c r="AG11" i="27"/>
  <c r="AG32" i="27"/>
  <c r="AG16" i="27"/>
  <c r="AH10" i="27"/>
  <c r="AC32" i="27"/>
  <c r="B38" i="26"/>
  <c r="AG28" i="27"/>
  <c r="X22" i="27"/>
  <c r="W13" i="27"/>
  <c r="AC24" i="27"/>
  <c r="AB14" i="27"/>
  <c r="X28" i="27"/>
  <c r="AH29" i="27"/>
  <c r="W30" i="27"/>
  <c r="X19" i="27"/>
  <c r="AB23" i="27"/>
  <c r="AB19" i="27"/>
  <c r="W33" i="27"/>
  <c r="AC16" i="27"/>
  <c r="X15" i="27"/>
</calcChain>
</file>

<file path=xl/comments1.xml><?xml version="1.0" encoding="utf-8"?>
<comments xmlns="http://schemas.openxmlformats.org/spreadsheetml/2006/main">
  <authors>
    <author>Autor</author>
  </authors>
  <commentList>
    <comment ref="C6" authorId="0">
      <text>
        <r>
          <rPr>
            <sz val="9"/>
            <color indexed="81"/>
            <rFont val="Arial"/>
            <family val="2"/>
            <charset val="238"/>
          </rPr>
          <t>Evidence nákupů - definování potřeb organizací</t>
        </r>
      </text>
    </comment>
    <comment ref="C8" authorId="0">
      <text>
        <r>
          <rPr>
            <sz val="9"/>
            <color indexed="81"/>
            <rFont val="Arial"/>
            <family val="2"/>
            <charset val="238"/>
          </rPr>
          <t>Zařazení do eVŘ - snížení cen u významných položek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Nákup za dodržené ceny - definování potřeb organizací</t>
        </r>
      </text>
    </comment>
    <comment ref="C15" authorId="0">
      <text>
        <r>
          <rPr>
            <sz val="9"/>
            <color indexed="81"/>
            <rFont val="Arial"/>
            <family val="2"/>
            <charset val="238"/>
          </rPr>
          <t>všechny organizace SMO</t>
        </r>
      </text>
    </comment>
    <comment ref="C18" authorId="0">
      <text>
        <r>
          <rPr>
            <sz val="9"/>
            <color indexed="81"/>
            <rFont val="Arial"/>
            <family val="2"/>
            <charset val="238"/>
          </rPr>
          <t>Obchodní a příspěvkové organizace zřízené Statutárním městem Ostrava</t>
        </r>
      </text>
    </comment>
    <comment ref="C20" authorId="0">
      <text>
        <r>
          <rPr>
            <sz val="9"/>
            <color indexed="81"/>
            <rFont val="Arial"/>
            <family val="2"/>
            <charset val="238"/>
          </rPr>
          <t>Národní divadlo Moravskoslezské
Divadlo loutek Ostrava
Dům kultury Akord
Komorní scéna Aréna
Dům kultury POKLAD
Dům kultury Ostrava
Janáčkova filharmonie Ostrava
Knihovna města Ostravy
Lidová konzervatoř
Ostravské muzeum
Ostravské výstavy</t>
        </r>
      </text>
    </comment>
    <comment ref="C21" authorId="0">
      <text>
        <r>
          <rPr>
            <sz val="9"/>
            <color indexed="81"/>
            <rFont val="Arial"/>
            <family val="2"/>
            <charset val="238"/>
          </rPr>
          <t>Ostravský informační servis
Městská policie</t>
        </r>
      </text>
    </comment>
    <comment ref="C22" authorId="0">
      <text>
        <r>
          <rPr>
            <sz val="9"/>
            <color indexed="81"/>
            <rFont val="Arial"/>
            <family val="2"/>
            <charset val="238"/>
          </rPr>
          <t>SAREZA
VÍTKOVICE ARÉNA
Dům dětí a mládeže Poruba
Středisko volného času Korunka
Středisko volného času O-Zábřeh
Středisko volného času Ostrava</t>
        </r>
      </text>
    </comment>
    <comment ref="C23" authorId="0">
      <text>
        <r>
          <rPr>
            <sz val="9"/>
            <color indexed="81"/>
            <rFont val="Arial"/>
            <family val="2"/>
            <charset val="238"/>
          </rPr>
          <t>Dopravní podnik Ostrava
Ostravské komunikace
Technické služby Slezská Ostrava</t>
        </r>
      </text>
    </comment>
    <comment ref="C24" authorId="0">
      <text>
        <r>
          <rPr>
            <sz val="9"/>
            <color indexed="81"/>
            <rFont val="Arial"/>
            <family val="2"/>
            <charset val="238"/>
          </rPr>
          <t>Domov Slunečnice
Městská nemocnice Ostrava
Čtyřlístek
Dětské centrum Domeček
Domov Čujkovova
Domov Korýtko
Domov Magnolie
Domov Sluníčko
Domov Slunovrat
DPS Iris
DPS Kamenec</t>
        </r>
      </text>
    </comment>
    <comment ref="C25" authorId="0">
      <text>
        <r>
          <rPr>
            <sz val="9"/>
            <color indexed="81"/>
            <rFont val="Arial"/>
            <family val="2"/>
            <charset val="238"/>
          </rPr>
          <t>OZO
ZOO Ostrava
Krematorium Ostrava
Ostravské městské lesy
OVA!!!CLOUD.net a.s.</t>
        </r>
      </text>
    </comment>
    <comment ref="C26" authorId="0">
      <text>
        <r>
          <rPr>
            <sz val="9"/>
            <color indexed="81"/>
            <rFont val="Arial"/>
            <family val="2"/>
            <charset val="238"/>
          </rPr>
          <t>jednotlivé odbory MMO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>Úřady městských obvodů a jejich příspěvkové organizace, členěné dle městských obvodů</t>
        </r>
      </text>
    </comment>
    <comment ref="C31" authorId="0">
      <text>
        <r>
          <rPr>
            <sz val="9"/>
            <color indexed="81"/>
            <rFont val="Arial"/>
            <family val="2"/>
            <charset val="238"/>
          </rPr>
          <t>ÚMOb Krásné Pole
ZŠ a MŠ O-Krásné Pole</t>
        </r>
      </text>
    </comment>
    <comment ref="C32" authorId="0">
      <text>
        <r>
          <rPr>
            <sz val="9"/>
            <color indexed="81"/>
            <rFont val="Arial"/>
            <family val="2"/>
            <charset val="238"/>
          </rPr>
          <t>Centrum sociálních služeb Poruba
Kulturní centrum Poruba
MŠ Čs.exilu
MŠ Čtyřlístek, O-Poruba
MŠ O-Poruba, Dětská
MŠ O-Poruba, Dvorní
MŠ O-Poruba, J.Šoupala
MŠ O-Poruba, Nezvalovo nám.
MŠ O-Poruba, Oty Synka
MŠ O-Poruba, Sokolovská
MŠ O-Poruba, Ukrajinská
MŠ O-Poruba, V.Makovského
ÚMOb Poruba
ZŠ O-Poruba, A.Hrdličky
ZŠ O-Poruba, Bulharská
ZŠ O-Poruba, Dětská
ZŠ O-Poruba, I.Sekaniny
ZŠ O-Poruba, J.Šoupala
ZŠ O-Poruba, J.Valčíka
ZŠ O-Poruba, K.Pokorného
ZŠ O-Poruba, Komenského
ZŠ O-Poruba, L.Štúra
ZŠ O-Poruba, Porubská 831
ZŠ O-Poruba, Porubská 832
ZŠ O-Poruba, Ukrajinská</t>
        </r>
      </text>
    </comment>
    <comment ref="C33" authorId="0">
      <text>
        <r>
          <rPr>
            <sz val="9"/>
            <color indexed="81"/>
            <rFont val="Arial"/>
            <family val="2"/>
            <charset val="238"/>
          </rPr>
          <t>MŠ O-Vítkovice
ÚMOb Vítkovice
ZŠ O-Vítkovice, Šalounova</t>
        </r>
      </text>
    </comment>
    <comment ref="C34" authorId="0">
      <text>
        <r>
          <rPr>
            <sz val="9"/>
            <color indexed="81"/>
            <rFont val="Tahoma"/>
            <family val="2"/>
            <charset val="238"/>
          </rPr>
          <t>MŠ O-Stará Bělá
ÚMOb Stará Bělá
ZŠ O-Stará Bělá</t>
        </r>
      </text>
    </comment>
    <comment ref="C35" authorId="0">
      <text>
        <r>
          <rPr>
            <sz val="9"/>
            <color indexed="81"/>
            <rFont val="Arial"/>
            <family val="2"/>
            <charset val="238"/>
          </rPr>
          <t>Technický dvůr O-Svinov
ÚMOb Svinov
ZŠ a MŠ O-Svinov
ZUŠ O-Svinov, Bílovecká</t>
        </r>
      </text>
    </comment>
    <comment ref="C36" authorId="0">
      <text>
        <r>
          <rPr>
            <sz val="9"/>
            <color indexed="81"/>
            <rFont val="Arial"/>
            <family val="2"/>
            <charset val="238"/>
          </rPr>
          <t>ÚMOb Pustkovec</t>
        </r>
      </text>
    </comment>
    <comment ref="C37" authorId="0">
      <text>
        <r>
          <rPr>
            <sz val="9"/>
            <color indexed="81"/>
            <rFont val="Arial"/>
            <family val="2"/>
            <charset val="238"/>
          </rPr>
          <t>MŠ O-Plesná
ÚMOb Plesná</t>
        </r>
      </text>
    </comment>
    <comment ref="C38" authorId="0">
      <text>
        <r>
          <rPr>
            <sz val="9"/>
            <color indexed="81"/>
            <rFont val="Arial"/>
            <family val="2"/>
            <charset val="238"/>
          </rPr>
          <t>Centrum kultury a vzdělávání Moravská Ostrava
ZŠ a MŠ MO a Přívoz, Ostrčilova
ZŠ MO a Přívoz, Matiční
MŠ Blahoslavova
MŠ Dvořákova
MŠ Hornická
MŠ Křižíkova
MŠ Lechowiczova
MŠ Na Jízdárně
MŠ Poděbradova
MŠ Repinova
MŠ Šafaříkova
MŠ Špálova
MŠ Varenská
Technické služby Moravská Ostrava a Přívoz
ÚMOb Moravská Ostrava a Přívoz
ZŠ MO a Přívoz, Gajdošova
ZŠ Ostrava, Gebauerova
ZŠ Ostrava, Gen.Píky
ZŠ Ostrava, Kounicova
ZŠ Ostrava, Nádražní
ZŠ Ostrava, Zelená
ZŠ waldorfská MO a Přívoz</t>
        </r>
      </text>
    </comment>
    <comment ref="C39" authorId="0">
      <text>
        <r>
          <rPr>
            <sz val="9"/>
            <color indexed="81"/>
            <rFont val="Arial"/>
            <family val="2"/>
            <charset val="238"/>
          </rPr>
          <t>MŠ Bohumínská
MŠ Heřmanice
MŠ Jaklovecká
MŠ Komerční
ÚMOb Slezská Ostrava
ZŠ O-Kunčičky, Škrobálkova
ZŠ O-Muglinov
ZŠ Slezská Ostrava, Bohumínská
ZŠ Slezská Ostrava, Chrustova</t>
        </r>
      </text>
    </comment>
    <comment ref="C40" authorId="0">
      <text>
        <r>
          <rPr>
            <sz val="9"/>
            <color indexed="81"/>
            <rFont val="Arial"/>
            <family val="2"/>
            <charset val="238"/>
          </rPr>
          <t>ZŠ a MŠ O-Bělský Les
ZŠ a MŠ O-Hrabůvka, A.Kučery
Kulturní zařízení Ostrava-Jih
Majetková správa O-Jih
MŠ Harmonie, O-Hrabůvka
MŠ O-Dubina, A.Gavlase
MŠ O-Dubina, F.Formana
MŠ O-Hrabůvka, Adamusova
MŠ Staňkova
MŠ Volgogradská
MŠ Za Školou
ÚMOb Ostrava-Jih
ZŠ a MŠ O-Dubina, V.Košaře
ZŠ a MŠ O-Hrabůvka, Klegova 29
ZŠ a MŠ O-Hrabůvka, Krestova
ZŠ a MŠ O-Hrabůvka, Mitušova 16
ZŠ a MŠ O-Hrabůvka, Mitušova 8
ZŠ a MŠ O-Výškovice, Šeříková
ZŠ a MŠ O-Zábřeh, Březinova
ZŠ a MŠ O-Zábřeh, Horymírova
ZŠ a MŠ O-Zábřeh, Kosmonautů 13
ZŠ a MŠ O-Zábřeh, Kosmonautů 15
ZŠ a MŠ O-Zábřeh, Volgogradská
ZŠ O-Dubina, F.Formana
ZŠ O-Hrabůvka, Klegova 27
ZŠ O-Hrabůvka, Provaznická
ZŠ O-Výškovice, Srbská
ZŠ O-Zábřeh, Chrjukinova
ZŠ O-Zábřeh, Jugoslávská
ZŠ O-Zábřeh, V Zálomu</t>
        </r>
      </text>
    </comment>
    <comment ref="C41" authorId="0">
      <text>
        <r>
          <rPr>
            <sz val="9"/>
            <color indexed="81"/>
            <rFont val="Arial"/>
            <family val="2"/>
            <charset val="238"/>
          </rPr>
          <t>MŠ O-Petřkovice
ÚMOb Petřkovice
ZŠ O-Petřkovice</t>
        </r>
      </text>
    </comment>
    <comment ref="C42" authorId="0">
      <text>
        <r>
          <rPr>
            <sz val="9"/>
            <color indexed="81"/>
            <rFont val="Arial"/>
            <family val="2"/>
            <charset val="238"/>
          </rPr>
          <t>Alternativní MŠ, O-Mariánské Hory
Křesťanská MŠ Ostrava-Mariánské Hory
MŠ Gen.Janka
MŠ O-Hulváky, Matrosova
MŠ Zelená
ÚMOb Mariánské Hory a Hulváky
ZŠ O-Mar.Hory, Gen.Janka</t>
        </r>
      </text>
    </comment>
    <comment ref="C43" authorId="0">
      <text>
        <r>
          <rPr>
            <sz val="9"/>
            <color indexed="81"/>
            <rFont val="Tahoma"/>
            <family val="2"/>
            <charset val="238"/>
          </rPr>
          <t>MŠ O-Bartovice
MŠ O-Radvanice
ÚMOb Radvanice a Bartovice
ZŠ O-Radvanice, Trnkovecká
ZŠ O-Radvanice, Vrchlického</t>
        </r>
      </text>
    </comment>
    <comment ref="C44" authorId="0">
      <text>
        <r>
          <rPr>
            <sz val="9"/>
            <color indexed="81"/>
            <rFont val="Tahoma"/>
            <family val="2"/>
            <charset val="238"/>
          </rPr>
          <t>MŠ O-Nová Bělá
ÚMOb Nová Bělá
ZŠ O-Nová Bělá</t>
        </r>
      </text>
    </comment>
    <comment ref="C45" authorId="0">
      <text>
        <r>
          <rPr>
            <sz val="9"/>
            <color indexed="81"/>
            <rFont val="Arial"/>
            <family val="2"/>
            <charset val="238"/>
          </rPr>
          <t>ÚMOb Třebovice</t>
        </r>
      </text>
    </comment>
    <comment ref="C46" authorId="0">
      <text>
        <r>
          <rPr>
            <sz val="9"/>
            <color indexed="81"/>
            <rFont val="Arial"/>
            <family val="2"/>
            <charset val="238"/>
          </rPr>
          <t>ÚMOb Lhotka
ZŠ a MŠ O-Lhotka</t>
        </r>
      </text>
    </comment>
    <comment ref="C47" authorId="0">
      <text>
        <r>
          <rPr>
            <sz val="9"/>
            <color indexed="81"/>
            <rFont val="Tahoma"/>
            <family val="2"/>
            <charset val="238"/>
          </rPr>
          <t>ÚMOb Proskovice
ZŠ a MŠ O-Proskovice</t>
        </r>
      </text>
    </comment>
    <comment ref="C48" authorId="0">
      <text>
        <r>
          <rPr>
            <sz val="9"/>
            <color indexed="81"/>
            <rFont val="Arial"/>
            <family val="2"/>
            <charset val="238"/>
          </rPr>
          <t>ÚMOb Hošťálkovice
ZŠ a MŠ O-Hošťálkovice</t>
        </r>
      </text>
    </comment>
    <comment ref="C49" authorId="0">
      <text>
        <r>
          <rPr>
            <sz val="9"/>
            <color indexed="81"/>
            <rFont val="Arial"/>
            <family val="2"/>
            <charset val="238"/>
          </rPr>
          <t>MŠ Sládečkova
ÚMOb Michálkovice
ZŠ O-Michálkovice</t>
        </r>
      </text>
    </comment>
    <comment ref="C50" authorId="0">
      <text>
        <r>
          <rPr>
            <sz val="9"/>
            <color indexed="81"/>
            <rFont val="Arial"/>
            <family val="2"/>
            <charset val="238"/>
          </rPr>
          <t>MŠ Martinovská
ÚMOb Martinov</t>
        </r>
      </text>
    </comment>
    <comment ref="C51" authorId="0">
      <text>
        <r>
          <rPr>
            <sz val="9"/>
            <color indexed="81"/>
            <rFont val="Arial"/>
            <family val="2"/>
            <charset val="238"/>
          </rPr>
          <t>MŠ Polanka
ÚMOb Polanka n/O
ZŠ O-Polanka n/O</t>
        </r>
      </text>
    </comment>
    <comment ref="C52" authorId="0">
      <text>
        <r>
          <rPr>
            <sz val="9"/>
            <color indexed="81"/>
            <rFont val="Tahoma"/>
            <family val="2"/>
            <charset val="238"/>
          </rPr>
          <t>ÚMOb Nová Ves</t>
        </r>
      </text>
    </comment>
    <comment ref="C53" authorId="0">
      <text>
        <r>
          <rPr>
            <sz val="9"/>
            <color indexed="81"/>
            <rFont val="Arial"/>
            <family val="2"/>
            <charset val="238"/>
          </rPr>
          <t>MŠ Klubíčko, O-Hrabová
ÚMOb Hrabová
ZŠ O-Hrabová, Paskovská</t>
        </r>
      </text>
    </comment>
  </commentList>
</comments>
</file>

<file path=xl/comments2.xml><?xml version="1.0" encoding="utf-8"?>
<comments xmlns="http://schemas.openxmlformats.org/spreadsheetml/2006/main">
  <authors>
    <author>JM</author>
  </authors>
  <commentList>
    <comment ref="C5" authorId="0">
      <text>
        <r>
          <rPr>
            <i/>
            <sz val="9"/>
            <color indexed="81"/>
            <rFont val="Tahoma"/>
            <family val="2"/>
            <charset val="238"/>
          </rPr>
          <t>Vyberte rozsah
zobrazení</t>
        </r>
      </text>
    </comment>
    <comment ref="H5" authorId="0">
      <text>
        <r>
          <rPr>
            <i/>
            <sz val="9"/>
            <color indexed="81"/>
            <rFont val="Arial"/>
            <family val="2"/>
            <charset val="238"/>
          </rPr>
          <t>Definujte skupinu
výběru</t>
        </r>
      </text>
    </comment>
    <comment ref="L5" authorId="0">
      <text>
        <r>
          <rPr>
            <i/>
            <sz val="9"/>
            <color indexed="81"/>
            <rFont val="Arial"/>
            <family val="2"/>
            <charset val="238"/>
          </rPr>
          <t xml:space="preserve">Vyberte konkrétní
skupinu organizací SMO
</t>
        </r>
      </text>
    </comment>
    <comment ref="E8" authorId="0">
      <text>
        <r>
          <rPr>
            <b/>
            <sz val="8"/>
            <color indexed="81"/>
            <rFont val="Arial"/>
            <family val="2"/>
            <charset val="238"/>
          </rPr>
          <t>Rating</t>
        </r>
        <r>
          <rPr>
            <sz val="8"/>
            <color indexed="81"/>
            <rFont val="Arial"/>
            <family val="2"/>
            <charset val="238"/>
          </rPr>
          <t xml:space="preserve"> - složený index, kdy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Evidence nákupů</t>
        </r>
        <r>
          <rPr>
            <sz val="8"/>
            <color indexed="81"/>
            <rFont val="Arial"/>
            <family val="2"/>
            <charset val="238"/>
          </rPr>
          <t xml:space="preserve"> a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Nákupy zařazené do eVŘ a realizované za dodrženou cenu</t>
        </r>
        <r>
          <rPr>
            <sz val="8"/>
            <color indexed="81"/>
            <rFont val="Arial"/>
            <family val="2"/>
            <charset val="238"/>
          </rPr>
          <t xml:space="preserve"> k plánu se sčítají a vyhodnocují dle váhy, která je přiřazena Evidenci a Zařazeným nákupům do eVŘ (40:60) - max.hodnota je 100</t>
        </r>
      </text>
    </comment>
    <comment ref="H8" authorId="0">
      <text>
        <r>
          <rPr>
            <sz val="8"/>
            <color indexed="81"/>
            <rFont val="Arial"/>
            <family val="2"/>
            <charset val="238"/>
          </rPr>
          <t xml:space="preserve">hodnoty analytických účtů jednotlivých organizací - skutečnost roku 2015 popřípadě plán roku 2016  (poměrná část hodnoceného období)
</t>
        </r>
        <r>
          <rPr>
            <b/>
            <sz val="8"/>
            <color indexed="81"/>
            <rFont val="Arial"/>
            <family val="2"/>
            <charset val="238"/>
          </rPr>
          <t>501, 504 - spotřeba materiálu, zboží</t>
        </r>
        <r>
          <rPr>
            <sz val="8"/>
            <color indexed="81"/>
            <rFont val="Arial"/>
            <family val="2"/>
            <charset val="238"/>
          </rPr>
          <t xml:space="preserve">
</t>
        </r>
        <r>
          <rPr>
            <b/>
            <sz val="8"/>
            <color indexed="81"/>
            <rFont val="Arial"/>
            <family val="2"/>
            <charset val="238"/>
          </rPr>
          <t>502 - spotřeba energií
518 - Služby
548 - Ostatní provozní náklady</t>
        </r>
      </text>
    </comment>
    <comment ref="I9" authorId="0">
      <text>
        <r>
          <rPr>
            <sz val="8"/>
            <color indexed="81"/>
            <rFont val="Arial"/>
            <family val="2"/>
            <charset val="238"/>
          </rPr>
          <t>objem</t>
        </r>
        <r>
          <rPr>
            <b/>
            <sz val="8"/>
            <color indexed="81"/>
            <rFont val="Arial"/>
            <family val="2"/>
            <charset val="238"/>
          </rPr>
          <t xml:space="preserve"> všech nákupů</t>
        </r>
        <r>
          <rPr>
            <sz val="8"/>
            <color indexed="81"/>
            <rFont val="Arial"/>
            <family val="2"/>
            <charset val="238"/>
          </rPr>
          <t xml:space="preserve">
evidovaných v Nákupním portálu
za hodnocené období</t>
        </r>
      </text>
    </comment>
    <comment ref="J9" authorId="0">
      <text>
        <r>
          <rPr>
            <sz val="8"/>
            <color indexed="81"/>
            <rFont val="Arial"/>
            <family val="2"/>
            <charset val="238"/>
          </rPr>
          <t xml:space="preserve">percentuální vyjádření objemu všech nákupů evidovaných v NP a skutečného objemu nákupů za sledované období
</t>
        </r>
        <r>
          <rPr>
            <b/>
            <sz val="8"/>
            <color indexed="81"/>
            <rFont val="Arial"/>
            <family val="2"/>
            <charset val="238"/>
          </rPr>
          <t xml:space="preserve">Vzorec: </t>
        </r>
        <r>
          <rPr>
            <sz val="8"/>
            <color indexed="81"/>
            <rFont val="Arial"/>
            <family val="2"/>
            <charset val="238"/>
          </rPr>
          <t>"sl. 4" = "sl.3"  /  "sl.2"</t>
        </r>
      </text>
    </comment>
    <comment ref="L9" authorId="0">
      <text>
        <r>
          <rPr>
            <sz val="8"/>
            <color indexed="81"/>
            <rFont val="Arial"/>
            <family val="2"/>
            <charset val="238"/>
          </rPr>
          <t xml:space="preserve">plánované procento objemu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v Nákupním portálu za dodrženou cenu</t>
        </r>
      </text>
    </comment>
    <comment ref="M9" authorId="0">
      <text>
        <r>
          <rPr>
            <sz val="8"/>
            <color indexed="81"/>
            <rFont val="Arial"/>
            <family val="2"/>
            <charset val="238"/>
          </rPr>
          <t xml:space="preserve">skutečný objem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realizovaných v Nákupním portálu za dodrženou cenu</t>
        </r>
      </text>
    </comment>
    <comment ref="N9" authorId="0">
      <text>
        <r>
          <rPr>
            <sz val="8"/>
            <color indexed="81"/>
            <rFont val="Arial"/>
            <family val="2"/>
            <charset val="238"/>
          </rPr>
          <t>percentuální vyjádření objemu nákupů v NP za dodrženou cenu a předpokládaného celkového objemu nákupů za hodnocené období
Vzorec: "sl. 7" = "sl.6"  /  "sl.2"</t>
        </r>
      </text>
    </comment>
    <comment ref="O9" authorId="0">
      <text>
        <r>
          <rPr>
            <sz val="8"/>
            <color indexed="81"/>
            <rFont val="Arial"/>
            <family val="2"/>
            <charset val="238"/>
          </rPr>
          <t>percentuální vyjádření skutečného a plánovaného objemu nákupů v NP za dodrženou cenu za hodnocené období
Vzorec: "sl. 8" = "sl.6"  /  ("sl.2" *  "sl.5")</t>
        </r>
      </text>
    </comment>
    <comment ref="Q9" authorId="0">
      <text>
        <r>
          <rPr>
            <b/>
            <sz val="8"/>
            <color indexed="81"/>
            <rFont val="Arial"/>
            <family val="2"/>
            <charset val="238"/>
          </rPr>
          <t>skutečně dosažená úspora</t>
        </r>
        <r>
          <rPr>
            <sz val="8"/>
            <color indexed="81"/>
            <rFont val="Arial"/>
            <family val="2"/>
            <charset val="238"/>
          </rPr>
          <t xml:space="preserve">
rozdíl mezi porovnávací a skutečnou cenou objemu nákupů položek zařazených do eVŘ a realizovaných za dodrženou cenu
</t>
        </r>
        <r>
          <rPr>
            <b/>
            <i/>
            <sz val="8"/>
            <color indexed="81"/>
            <rFont val="Arial"/>
            <family val="2"/>
            <charset val="238"/>
          </rPr>
          <t>porovnávací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dle analýzy roku 2009 u referenčního zadavatele
</t>
        </r>
        <r>
          <rPr>
            <b/>
            <i/>
            <sz val="8"/>
            <color indexed="81"/>
            <rFont val="Arial"/>
            <family val="2"/>
            <charset val="238"/>
          </rPr>
          <t>skutečná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nákupu</t>
        </r>
      </text>
    </comment>
    <comment ref="R9" authorId="0">
      <text>
        <r>
          <rPr>
            <sz val="8"/>
            <color indexed="81"/>
            <rFont val="Arial"/>
            <family val="2"/>
            <charset val="238"/>
          </rPr>
          <t>procento dosažené úspory</t>
        </r>
      </text>
    </comment>
  </commentList>
</comments>
</file>

<file path=xl/comments3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G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J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milionů korun</t>
        </r>
      </text>
    </comment>
  </commentList>
</comments>
</file>

<file path=xl/comments4.xml><?xml version="1.0" encoding="utf-8"?>
<comments xmlns="http://schemas.openxmlformats.org/spreadsheetml/2006/main">
  <authors>
    <author>JM</author>
  </authors>
  <commentList>
    <comment ref="D5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5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5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5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6.xml><?xml version="1.0" encoding="utf-8"?>
<comments xmlns="http://schemas.openxmlformats.org/spreadsheetml/2006/main">
  <authors>
    <author>Jiri Miksovic</author>
  </authors>
  <commentLis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výpočet</t>
        </r>
      </text>
    </comment>
  </commentList>
</comments>
</file>

<file path=xl/sharedStrings.xml><?xml version="1.0" encoding="utf-8"?>
<sst xmlns="http://schemas.openxmlformats.org/spreadsheetml/2006/main" count="2341" uniqueCount="605">
  <si>
    <t>Magistrát města Ostrava</t>
  </si>
  <si>
    <t>Obchodní organizace SMO</t>
  </si>
  <si>
    <t>Příspěvkové organizace SMO</t>
  </si>
  <si>
    <t>Statutární město Ostrava</t>
  </si>
  <si>
    <t>Příspěvkové organizace MO</t>
  </si>
  <si>
    <t>Kancelář primátora</t>
  </si>
  <si>
    <t>Městské obvody</t>
  </si>
  <si>
    <t>Mariánské Hory a Hulváky</t>
  </si>
  <si>
    <t>Moravská Ostrava a Přívoz</t>
  </si>
  <si>
    <t>Ostrava Jih</t>
  </si>
  <si>
    <t>Poruba</t>
  </si>
  <si>
    <t>Radvanice a Bartovice</t>
  </si>
  <si>
    <t>Slezská Ostrava</t>
  </si>
  <si>
    <t>Id</t>
  </si>
  <si>
    <t>A</t>
  </si>
  <si>
    <t>#</t>
  </si>
  <si>
    <t>Celkem</t>
  </si>
  <si>
    <t>Aktuální pozice</t>
  </si>
  <si>
    <t>Maximální pozice</t>
  </si>
  <si>
    <t>Třídit dle</t>
  </si>
  <si>
    <t>Sort KPI</t>
  </si>
  <si>
    <t>Unique</t>
  </si>
  <si>
    <t>Sorted</t>
  </si>
  <si>
    <t>Position</t>
  </si>
  <si>
    <t>Black</t>
  </si>
  <si>
    <t>Red</t>
  </si>
  <si>
    <t>Min</t>
  </si>
  <si>
    <t>Max</t>
  </si>
  <si>
    <t>Nazev</t>
  </si>
  <si>
    <t>Referenční zadavatelé</t>
  </si>
  <si>
    <t>Úspora</t>
  </si>
  <si>
    <t>vyber1</t>
  </si>
  <si>
    <t>všechny obvody</t>
  </si>
  <si>
    <t>Hošťálkovice</t>
  </si>
  <si>
    <t>Hrabová</t>
  </si>
  <si>
    <t>Krásné Pole</t>
  </si>
  <si>
    <t>Lhotka</t>
  </si>
  <si>
    <t>Martinov</t>
  </si>
  <si>
    <t>Michálkovice</t>
  </si>
  <si>
    <t>Nová Bělá</t>
  </si>
  <si>
    <t>Nová Ves</t>
  </si>
  <si>
    <t>Petřkovice</t>
  </si>
  <si>
    <t>Plesná</t>
  </si>
  <si>
    <t>Polanka</t>
  </si>
  <si>
    <t>Proskovice</t>
  </si>
  <si>
    <t>Pustkovec</t>
  </si>
  <si>
    <t>Stará Bělá</t>
  </si>
  <si>
    <t>Svinov</t>
  </si>
  <si>
    <t>Třebovice</t>
  </si>
  <si>
    <t>Vítkovice</t>
  </si>
  <si>
    <t>Městské_obvody</t>
  </si>
  <si>
    <t>všechny organizace</t>
  </si>
  <si>
    <t>Významní_zadavatelé</t>
  </si>
  <si>
    <t>TOP 23 zadavatelů</t>
  </si>
  <si>
    <t>Příspěvkové organizace ÚMObů</t>
  </si>
  <si>
    <t>Magistrát a ÚMOby</t>
  </si>
  <si>
    <t>SYSTÉM SDRUŽENÝCH NÁKUPŮ - STATUTÁRNÍ MĚSTO OSTRAVA</t>
  </si>
  <si>
    <t>Počet aukci</t>
  </si>
  <si>
    <t>Počet polozek NP</t>
  </si>
  <si>
    <t xml:space="preserve"> Dosažená úspora </t>
  </si>
  <si>
    <t>ON-LINE CONTROLLINGOVÉ VÝKAZY  NA NÁKUPNÍM PORTÁLU MĚSTA OSTRAVA</t>
  </si>
  <si>
    <t>SL1</t>
  </si>
  <si>
    <t>SL2</t>
  </si>
  <si>
    <t>SL3</t>
  </si>
  <si>
    <t>SL4</t>
  </si>
  <si>
    <t>SL5</t>
  </si>
  <si>
    <t>SL6</t>
  </si>
  <si>
    <t>ON-LINE CONTROLLINGOVÉ VÝKAZY  NA KOMUNIKAČNÍM PORTÁLU MĚSTA OSTRAVA</t>
  </si>
  <si>
    <t>&lt;&lt;&lt;</t>
  </si>
  <si>
    <t>&gt;&gt;&gt;</t>
  </si>
  <si>
    <t>Prumer</t>
  </si>
  <si>
    <t>Soucet</t>
  </si>
  <si>
    <t>% Plnění</t>
  </si>
  <si>
    <t>Evidence plan</t>
  </si>
  <si>
    <t>Evidence skutecnost</t>
  </si>
  <si>
    <t>Zarazeni skut</t>
  </si>
  <si>
    <t>SL7</t>
  </si>
  <si>
    <t>SL8</t>
  </si>
  <si>
    <t>SL9</t>
  </si>
  <si>
    <t>v</t>
  </si>
  <si>
    <t>u</t>
  </si>
  <si>
    <t>Jiné_výběry</t>
  </si>
  <si>
    <t>Evidence nákupů</t>
  </si>
  <si>
    <t>Skutečnost
[ Kč ]</t>
  </si>
  <si>
    <t>Plnění evidence
[ % ]</t>
  </si>
  <si>
    <t>UMOb01</t>
  </si>
  <si>
    <t>UMOb02</t>
  </si>
  <si>
    <t>UMOb03</t>
  </si>
  <si>
    <t>UMOb04</t>
  </si>
  <si>
    <t>UMOb05</t>
  </si>
  <si>
    <t>UMOb06</t>
  </si>
  <si>
    <t>UMOb07</t>
  </si>
  <si>
    <t>UMOb08</t>
  </si>
  <si>
    <t>UMOb09</t>
  </si>
  <si>
    <t>UMOb10</t>
  </si>
  <si>
    <t>UMOb11</t>
  </si>
  <si>
    <t>UMOb12</t>
  </si>
  <si>
    <t>UMOb13</t>
  </si>
  <si>
    <t>UMOb14</t>
  </si>
  <si>
    <t>UMOb15</t>
  </si>
  <si>
    <t>UMOb16</t>
  </si>
  <si>
    <t>UMOb17</t>
  </si>
  <si>
    <t>UMOb18</t>
  </si>
  <si>
    <t>UMOb19</t>
  </si>
  <si>
    <t>UMOb20</t>
  </si>
  <si>
    <t>UMOb21</t>
  </si>
  <si>
    <t>UMOb22</t>
  </si>
  <si>
    <t>UMOb23</t>
  </si>
  <si>
    <t>MMO</t>
  </si>
  <si>
    <t xml:space="preserve">     Ostatní PO</t>
  </si>
  <si>
    <t xml:space="preserve">     Základní a mateřské školy</t>
  </si>
  <si>
    <t xml:space="preserve">     Mateřské školy</t>
  </si>
  <si>
    <t xml:space="preserve">     Základní školy</t>
  </si>
  <si>
    <t>N</t>
  </si>
  <si>
    <t>radek</t>
  </si>
  <si>
    <t>popis</t>
  </si>
  <si>
    <t>ucet</t>
  </si>
  <si>
    <t>evidp</t>
  </si>
  <si>
    <t>evids</t>
  </si>
  <si>
    <t>npp</t>
  </si>
  <si>
    <t>nps</t>
  </si>
  <si>
    <t>uspp</t>
  </si>
  <si>
    <t>usps</t>
  </si>
  <si>
    <t>Elektřina</t>
  </si>
  <si>
    <t>Plyn</t>
  </si>
  <si>
    <t>Telekomunikace</t>
  </si>
  <si>
    <t>Pojištění</t>
  </si>
  <si>
    <t>MTZ</t>
  </si>
  <si>
    <t>Potraviny</t>
  </si>
  <si>
    <t>Léčiva</t>
  </si>
  <si>
    <t>ZM</t>
  </si>
  <si>
    <t>Ostatní (PHM)</t>
  </si>
  <si>
    <t>Služby</t>
  </si>
  <si>
    <t>KS1-ost</t>
  </si>
  <si>
    <t>KS2-ost</t>
  </si>
  <si>
    <t>0305</t>
  </si>
  <si>
    <t/>
  </si>
  <si>
    <t>ZŠ a MŠ MO a Přívoz, Ostrčilova</t>
  </si>
  <si>
    <t>ZŠ a MŠ O-Bělský Les</t>
  </si>
  <si>
    <t>ZŠ a MŠ O-Hrabůvka, A.Kučery</t>
  </si>
  <si>
    <t>ZŠ MO a Přívoz, Matiční</t>
  </si>
  <si>
    <t>Křesťanská MŠ Ostrava-Mariánské Hory</t>
  </si>
  <si>
    <t>Městská policie</t>
  </si>
  <si>
    <t>MŠ Blahoslavova</t>
  </si>
  <si>
    <t>MŠ Bohumínská</t>
  </si>
  <si>
    <t>MŠ Čs.exilu</t>
  </si>
  <si>
    <t>MŠ Čtyřlístek, O-Poruba</t>
  </si>
  <si>
    <t>MŠ Dvořákova</t>
  </si>
  <si>
    <t>MŠ Gen.Janka</t>
  </si>
  <si>
    <t>MŠ Harmonie, O-Hrabůvka</t>
  </si>
  <si>
    <t>MŠ Heřmanice</t>
  </si>
  <si>
    <t>MŠ Hornická</t>
  </si>
  <si>
    <t>MŠ Klubíčko, O-Hrabová</t>
  </si>
  <si>
    <t>MŠ Komerční</t>
  </si>
  <si>
    <t>MŠ Křižíkova</t>
  </si>
  <si>
    <t>MŠ Lechowiczova</t>
  </si>
  <si>
    <t>MŠ Martinovská</t>
  </si>
  <si>
    <t>MŠ Na Jízdárně</t>
  </si>
  <si>
    <t>MŠ O-Bartovice</t>
  </si>
  <si>
    <t>MŠ O-Dubina, A.Gavlase</t>
  </si>
  <si>
    <t>MŠ O-Dubina, F.Formana</t>
  </si>
  <si>
    <t>MŠ O-Hrabůvka, Adamusova</t>
  </si>
  <si>
    <t>MŠ O-Hulváky, Matrosova</t>
  </si>
  <si>
    <t>MŠ O-Nová Bělá</t>
  </si>
  <si>
    <t>MŠ O-Petřkovice</t>
  </si>
  <si>
    <t>MŠ O-Plesná</t>
  </si>
  <si>
    <t>MŠ O-Poruba, Dětská</t>
  </si>
  <si>
    <t>MŠ O-Poruba, Dvorní</t>
  </si>
  <si>
    <t>MŠ O-Poruba, J.Šoupala</t>
  </si>
  <si>
    <t>MŠ O-Poruba, Nezvalovo nám.</t>
  </si>
  <si>
    <t>MŠ O-Poruba, Oty Synka</t>
  </si>
  <si>
    <t>MŠ O-Poruba, Sokolovská</t>
  </si>
  <si>
    <t>MŠ O-Poruba, Ukrajinská</t>
  </si>
  <si>
    <t>MŠ O-Poruba, V.Makovského</t>
  </si>
  <si>
    <t>MŠ O-Radvanice</t>
  </si>
  <si>
    <t>MŠ O-Stará Bělá</t>
  </si>
  <si>
    <t>MŠ O-Vítkovice</t>
  </si>
  <si>
    <t>MŠ Poděbradova</t>
  </si>
  <si>
    <t>MŠ Polanka</t>
  </si>
  <si>
    <t>MŠ Repinova</t>
  </si>
  <si>
    <t>MŠ Sládečkova</t>
  </si>
  <si>
    <t>MŠ Staňkova</t>
  </si>
  <si>
    <t>MŠ Šafaříkova</t>
  </si>
  <si>
    <t>MŠ Špálova</t>
  </si>
  <si>
    <t>MŠ Varenská</t>
  </si>
  <si>
    <t>MŠ Volgogradská</t>
  </si>
  <si>
    <t>MŠ Za Školou</t>
  </si>
  <si>
    <t>MŠ Zelená</t>
  </si>
  <si>
    <t>Technický dvůr O-Svinov</t>
  </si>
  <si>
    <t>ZŠ a MŠ O-Dubina, V.Košaře</t>
  </si>
  <si>
    <t>ZŠ a MŠ O-Hošťálkovice</t>
  </si>
  <si>
    <t>ZŠ a MŠ O-Hrabůvka, Klegova 29</t>
  </si>
  <si>
    <t>ZŠ a MŠ O-Hrabůvka, Krestova</t>
  </si>
  <si>
    <t>ZŠ a MŠ O-Hrabůvka, Mitušova 16</t>
  </si>
  <si>
    <t>ZŠ a MŠ O-Krásné Pole</t>
  </si>
  <si>
    <t>ZŠ a MŠ O-Lhotka</t>
  </si>
  <si>
    <t>ZŠ a MŠ O-Proskovice</t>
  </si>
  <si>
    <t>ZŠ a MŠ O-Svinov</t>
  </si>
  <si>
    <t>ZŠ a MŠ O-Výškovice, Šeříková</t>
  </si>
  <si>
    <t>ZŠ a MŠ O-Zábřeh, Březinova</t>
  </si>
  <si>
    <t>ZŠ a MŠ O-Zábřeh, Horymírova</t>
  </si>
  <si>
    <t>ZŠ a MŠ O-Zábřeh, Kosmonautů 13</t>
  </si>
  <si>
    <t>ZŠ a MŠ O-Zábřeh, Kosmonautů 15</t>
  </si>
  <si>
    <t>ZŠ a MŠ O-Zábřeh, Volgogradská</t>
  </si>
  <si>
    <t>ZŠ MO a Přívoz, Gajdošova</t>
  </si>
  <si>
    <t>ZŠ O-Dubina, F.Formana</t>
  </si>
  <si>
    <t>ZŠ O-Hrabová, Paskovská</t>
  </si>
  <si>
    <t>ZŠ O-Hrabůvka, Klegova 27</t>
  </si>
  <si>
    <t>ZŠ O-Hrabůvka, Provaznická</t>
  </si>
  <si>
    <t>ZŠ O-Mar.Hory, Gen.Janka</t>
  </si>
  <si>
    <t>ZŠ O-Michálkovice</t>
  </si>
  <si>
    <t>ZŠ O-Muglinov</t>
  </si>
  <si>
    <t>ZŠ O-Nová Bělá</t>
  </si>
  <si>
    <t>ZŠ O-Petřkovice</t>
  </si>
  <si>
    <t>ZŠ O-Polanka n/O</t>
  </si>
  <si>
    <t>ZŠ O-Poruba, A.Hrdličky</t>
  </si>
  <si>
    <t>ZŠ O-Poruba, Bulharská</t>
  </si>
  <si>
    <t>ZŠ O-Poruba, Dětská</t>
  </si>
  <si>
    <t>ZŠ O-Poruba, I.Sekaniny</t>
  </si>
  <si>
    <t>ZŠ O-Poruba, J.Šoupala</t>
  </si>
  <si>
    <t>ZŠ O-Poruba, J.Valčíka</t>
  </si>
  <si>
    <t>ZŠ O-Poruba, K.Pokorného</t>
  </si>
  <si>
    <t>ZŠ O-Poruba, Komenského</t>
  </si>
  <si>
    <t>ZŠ O-Poruba, Porubská 832</t>
  </si>
  <si>
    <t>ZŠ O-Poruba, Ukrajinská</t>
  </si>
  <si>
    <t>ZŠ O-Radvanice, Vrchlického</t>
  </si>
  <si>
    <t>ZŠ O-Stará Bělá</t>
  </si>
  <si>
    <t>ZŠ O-Vítkovice, Šalounova</t>
  </si>
  <si>
    <t>ZŠ O-Výškovice, Srbská</t>
  </si>
  <si>
    <t>ZŠ O-Zábřeh, Chrjukinova</t>
  </si>
  <si>
    <t>ZŠ O-Zábřeh, Jugoslávská</t>
  </si>
  <si>
    <t>ZŠ Ostrava, Gebauerova</t>
  </si>
  <si>
    <t>ZŠ Ostrava, Gen.Píky</t>
  </si>
  <si>
    <t>ZŠ Ostrava, Nádražní</t>
  </si>
  <si>
    <t>ZŠ Ostrava, Zelená</t>
  </si>
  <si>
    <t>ZŠ Slezská Ostrava, Bohumínská</t>
  </si>
  <si>
    <t>ZŠ Slezská Ostrava, Chrustova</t>
  </si>
  <si>
    <t>ZUŠ O-Svinov, Bílovecká</t>
  </si>
  <si>
    <t>KS 2</t>
  </si>
  <si>
    <t>KS 1</t>
  </si>
  <si>
    <t>Plán zařazení</t>
  </si>
  <si>
    <t>Seřadit dle</t>
  </si>
  <si>
    <t xml:space="preserve">
[ % ]</t>
  </si>
  <si>
    <r>
      <t xml:space="preserve">Součet / </t>
    </r>
    <r>
      <rPr>
        <b/>
        <sz val="8"/>
        <color indexed="57"/>
        <rFont val="Arial"/>
        <family val="2"/>
        <charset val="238"/>
      </rPr>
      <t>Cíl</t>
    </r>
  </si>
  <si>
    <t>Pl.zařaz.
[%]</t>
  </si>
  <si>
    <t>Evidence</t>
  </si>
  <si>
    <t>u1</t>
  </si>
  <si>
    <t>obdobi</t>
  </si>
  <si>
    <t>kumulovaně</t>
  </si>
  <si>
    <t>Rating</t>
  </si>
  <si>
    <t>Dodrzena</t>
  </si>
  <si>
    <t>váha</t>
  </si>
  <si>
    <t>Průběžné hodnocení aktuálního stavu projektu k plánovaným hodnotám</t>
  </si>
  <si>
    <t>stupnice</t>
  </si>
  <si>
    <t>D</t>
  </si>
  <si>
    <t>C</t>
  </si>
  <si>
    <t>C+</t>
  </si>
  <si>
    <t>C++</t>
  </si>
  <si>
    <t>B</t>
  </si>
  <si>
    <t>B+</t>
  </si>
  <si>
    <t>B++</t>
  </si>
  <si>
    <t>A+</t>
  </si>
  <si>
    <t>A++</t>
  </si>
  <si>
    <t>znak</t>
  </si>
  <si>
    <t>po najetí myší na buňku s červeným trojuhelníčkem 
zobrazíte bližší informace</t>
  </si>
  <si>
    <t>CÍL PROJEKTU</t>
  </si>
  <si>
    <t>Nákupy zařazené do eVŘ
a realizované za dodrženou cenu</t>
  </si>
  <si>
    <t>SKUTEČNOST</t>
  </si>
  <si>
    <t>PLÁN</t>
  </si>
  <si>
    <t>7-01-S</t>
  </si>
  <si>
    <t>7-02-S</t>
  </si>
  <si>
    <t>8-01-S</t>
  </si>
  <si>
    <t>8-02-S</t>
  </si>
  <si>
    <t>9-01-S</t>
  </si>
  <si>
    <t>1-01-S</t>
  </si>
  <si>
    <t>1-02-S</t>
  </si>
  <si>
    <t>1-03-S</t>
  </si>
  <si>
    <t>1-04-S</t>
  </si>
  <si>
    <t>1-05-S</t>
  </si>
  <si>
    <t>KS1-S</t>
  </si>
  <si>
    <t>KS2-S</t>
  </si>
  <si>
    <t>id</t>
  </si>
  <si>
    <t>nazev</t>
  </si>
  <si>
    <t>typ</t>
  </si>
  <si>
    <t>oblast</t>
  </si>
  <si>
    <t>mo</t>
  </si>
  <si>
    <t>kk</t>
  </si>
  <si>
    <t>blok</t>
  </si>
  <si>
    <t>0304</t>
  </si>
  <si>
    <t>Resort dopravy</t>
  </si>
  <si>
    <t>Magistrát města</t>
  </si>
  <si>
    <t>03</t>
  </si>
  <si>
    <t>010203</t>
  </si>
  <si>
    <t>MO-Sociální služby, sport</t>
  </si>
  <si>
    <t>MO-Školství</t>
  </si>
  <si>
    <t>MO-Technické zaměření</t>
  </si>
  <si>
    <t>platce
dph</t>
  </si>
  <si>
    <t>TOP
23</t>
  </si>
  <si>
    <t>REF
ZAD</t>
  </si>
  <si>
    <t>Zařazení
KS1</t>
  </si>
  <si>
    <t>Zařazení
KS2</t>
  </si>
  <si>
    <t>Skutečnosti s ÚSPOROU</t>
  </si>
  <si>
    <t>Zobrazit KS</t>
  </si>
  <si>
    <t>Evidence
plán</t>
  </si>
  <si>
    <t>Evidence
skutečnost</t>
  </si>
  <si>
    <t>NP
skutečnost</t>
  </si>
  <si>
    <t>Úspora
skutečnost</t>
  </si>
  <si>
    <t>Průměrná zařaditelnost</t>
  </si>
  <si>
    <t>RATING
evidence</t>
  </si>
  <si>
    <t>RATING
dodržena cena</t>
  </si>
  <si>
    <t>RATING
CELKOVÝ</t>
  </si>
  <si>
    <t>Evidence
KS1
plán</t>
  </si>
  <si>
    <t>Evidence
KS1
skutečnost</t>
  </si>
  <si>
    <t>Úspora
KS1
skutečnost</t>
  </si>
  <si>
    <t>Úspora
KS1
plán</t>
  </si>
  <si>
    <t>NP
KS1
plán</t>
  </si>
  <si>
    <t>NP
KS1
skutečnost</t>
  </si>
  <si>
    <t>Evidence
KS2
plán</t>
  </si>
  <si>
    <t>Evidence
KS2
skutečnost</t>
  </si>
  <si>
    <t>NP
KS2
plán</t>
  </si>
  <si>
    <t>NP
KS2
skutečnost</t>
  </si>
  <si>
    <t>Úspora
KS2
plán</t>
  </si>
  <si>
    <t>Úspora
KS2
skutečnost</t>
  </si>
  <si>
    <t>NP
plán</t>
  </si>
  <si>
    <t>Klikněte na okna níže a zvolte  kritéria výběru</t>
  </si>
  <si>
    <t>vyber2</t>
  </si>
  <si>
    <t>Počet měsíců</t>
  </si>
  <si>
    <t>Období</t>
  </si>
  <si>
    <t>ç</t>
  </si>
  <si>
    <t>data do "I.Souhrn SMO"</t>
  </si>
  <si>
    <t>GRAF % vývoje</t>
  </si>
  <si>
    <t>usp</t>
  </si>
  <si>
    <t>evids
%</t>
  </si>
  <si>
    <t>GRAF 2012</t>
  </si>
  <si>
    <t>plan/R2012</t>
  </si>
  <si>
    <t>plan/R2010</t>
  </si>
  <si>
    <t>plan/R2011</t>
  </si>
  <si>
    <t>plan/R2013</t>
  </si>
  <si>
    <t>2011/1Q</t>
  </si>
  <si>
    <t>2011/2Q</t>
  </si>
  <si>
    <t>2011/3Q</t>
  </si>
  <si>
    <t>2011/4Q</t>
  </si>
  <si>
    <t>2012/1Q</t>
  </si>
  <si>
    <t>2012/2Q</t>
  </si>
  <si>
    <t>2012/3Q</t>
  </si>
  <si>
    <t>Evidované nákupy
(čtvrtletní plán = 973,16 mil.Kč)</t>
  </si>
  <si>
    <t>Komoditní skupina KS I. + KS II.</t>
  </si>
  <si>
    <t>Komoditní skupina I.</t>
  </si>
  <si>
    <t>Komoditní skupina II.</t>
  </si>
  <si>
    <t>Zařazení
KS1+KS2</t>
  </si>
  <si>
    <t>28/27</t>
  </si>
  <si>
    <t>31/27</t>
  </si>
  <si>
    <t>32/31</t>
  </si>
  <si>
    <t>Zařazení
plán</t>
  </si>
  <si>
    <r>
      <t>individualni plan zarazeni</t>
    </r>
    <r>
      <rPr>
        <sz val="8"/>
        <rFont val="Calibri"/>
        <family val="2"/>
        <charset val="238"/>
      </rPr>
      <t xml:space="preserve"> (sl.24-26)</t>
    </r>
  </si>
  <si>
    <t>Plán úspor</t>
  </si>
  <si>
    <t>skutecnosti BEZ uspor</t>
  </si>
  <si>
    <t>ZNAK</t>
  </si>
  <si>
    <t>STUPNICE</t>
  </si>
  <si>
    <t>Nákupy zařazené do eVŘ a realizované za dodrženou cenu</t>
  </si>
  <si>
    <t>Rating - složený index</t>
  </si>
  <si>
    <t>VÁHA</t>
  </si>
  <si>
    <t>RATING</t>
  </si>
  <si>
    <t>data pro mesíční report</t>
  </si>
  <si>
    <t>Oblasti (resorty)</t>
  </si>
  <si>
    <t>I.</t>
  </si>
  <si>
    <t>I. - II.</t>
  </si>
  <si>
    <t>I. - III.</t>
  </si>
  <si>
    <t>I. - IV.</t>
  </si>
  <si>
    <t>I. - V.</t>
  </si>
  <si>
    <t>I. - VI.</t>
  </si>
  <si>
    <t>I. - VII.</t>
  </si>
  <si>
    <t>I. - VIII.</t>
  </si>
  <si>
    <t>I. - IX.</t>
  </si>
  <si>
    <t>I. - X.</t>
  </si>
  <si>
    <t>Resorty</t>
  </si>
  <si>
    <t>všechny resorty</t>
  </si>
  <si>
    <r>
      <t xml:space="preserve">Nákupy zařazené do eVŘ
</t>
    </r>
    <r>
      <rPr>
        <b/>
        <sz val="10"/>
        <color indexed="9"/>
        <rFont val="Arial"/>
        <family val="2"/>
        <charset val="238"/>
      </rPr>
      <t>a realizované za dodrženou cenu</t>
    </r>
  </si>
  <si>
    <t>Zarazeni plan</t>
  </si>
  <si>
    <t xml:space="preserve">Evidence : </t>
  </si>
  <si>
    <t xml:space="preserve">Dodržena cena : </t>
  </si>
  <si>
    <t>ROK 2011</t>
  </si>
  <si>
    <t>ROK 2010</t>
  </si>
  <si>
    <t>% Plnění
k evidenci</t>
  </si>
  <si>
    <t>% Plnění
k plánu</t>
  </si>
  <si>
    <t>Plnění
[%]</t>
  </si>
  <si>
    <t>Plnění plánu
[ % ]</t>
  </si>
  <si>
    <t>SL10</t>
  </si>
  <si>
    <t>31/(27*29)</t>
  </si>
  <si>
    <t>RATING
MINULÝ</t>
  </si>
  <si>
    <t>w</t>
  </si>
  <si>
    <t>Rating
aktual</t>
  </si>
  <si>
    <t>změna</t>
  </si>
  <si>
    <t>I. - XI.</t>
  </si>
  <si>
    <t>2012/4Q</t>
  </si>
  <si>
    <t>I. - XII.</t>
  </si>
  <si>
    <t>Evidence rating</t>
  </si>
  <si>
    <t>ÚMOb Hošťálkovice</t>
  </si>
  <si>
    <t>ÚMOb Hrabová</t>
  </si>
  <si>
    <t>ÚMOb Krásné Pole</t>
  </si>
  <si>
    <t>ÚMOb Lhotka</t>
  </si>
  <si>
    <t>ÚMOb Mariánské Hory a Hulváky</t>
  </si>
  <si>
    <t>ÚMOb Martinov</t>
  </si>
  <si>
    <t>ÚMOb Michálkovice</t>
  </si>
  <si>
    <t>ÚMOb Moravská Ostrava a Přívoz</t>
  </si>
  <si>
    <t>ÚMOb Nová Bělá</t>
  </si>
  <si>
    <t>ÚMOb Nová Ves</t>
  </si>
  <si>
    <t>ÚMOb Ostrava-Jih</t>
  </si>
  <si>
    <t>ÚMOb Petřkovice</t>
  </si>
  <si>
    <t>ÚMOb Plesná</t>
  </si>
  <si>
    <t>ÚMOb Polanka n/O</t>
  </si>
  <si>
    <t>ÚMOb Poruba</t>
  </si>
  <si>
    <t>ÚMOb Proskovice</t>
  </si>
  <si>
    <t>ÚMOb Pustkovec</t>
  </si>
  <si>
    <t>ÚMOb Radvanice a Bartovice</t>
  </si>
  <si>
    <t>ÚMOb Slezská Ostrava</t>
  </si>
  <si>
    <t>ÚMOb Stará Bělá</t>
  </si>
  <si>
    <t>ÚMOb Svinov</t>
  </si>
  <si>
    <t>ÚMOb Třebovice</t>
  </si>
  <si>
    <t>ÚMOb Vítkovice</t>
  </si>
  <si>
    <t>procpl</t>
  </si>
  <si>
    <t>ROK 2012</t>
  </si>
  <si>
    <t>portal2010</t>
  </si>
  <si>
    <t xml:space="preserve">Úspora : </t>
  </si>
  <si>
    <r>
      <t>skutečnost</t>
    </r>
    <r>
      <rPr>
        <i/>
        <sz val="11"/>
        <color indexed="63"/>
        <rFont val="Arial"/>
        <family val="2"/>
        <charset val="238"/>
      </rPr>
      <t xml:space="preserve"> Evidence nákupů</t>
    </r>
    <r>
      <rPr>
        <sz val="11"/>
        <color indexed="63"/>
        <rFont val="Arial"/>
        <family val="2"/>
        <charset val="238"/>
      </rPr>
      <t xml:space="preserve"> a skutečnost </t>
    </r>
    <r>
      <rPr>
        <i/>
        <sz val="11"/>
        <color indexed="63"/>
        <rFont val="Arial"/>
        <family val="2"/>
        <charset val="238"/>
      </rPr>
      <t>Nákupy zařazené do eVŘ a realizované za dodrženou cenu</t>
    </r>
    <r>
      <rPr>
        <sz val="11"/>
        <color indexed="63"/>
        <rFont val="Arial"/>
        <family val="2"/>
        <charset val="238"/>
      </rPr>
      <t xml:space="preserve"> k plánu se sčítají a vyhodnocují dle váhy, která je přiřazena Evidenci nákupů a Nákupy zařazené (40:60) - max.hodnota je 100</t>
    </r>
  </si>
  <si>
    <t>2013/1Q</t>
  </si>
  <si>
    <t>Nákupy zařazené do eVŘ a realizované za dodrženou cenu
(čtvrtletní plán = 249,64 mil.Kč)</t>
  </si>
  <si>
    <t>Úspora
(čtvrtletní plán = 24,96 mil.Kč)</t>
  </si>
  <si>
    <t>2013/2Q</t>
  </si>
  <si>
    <t>2012</t>
  </si>
  <si>
    <t>Waldorfská ZŠ a MŠ MO a Přívoz</t>
  </si>
  <si>
    <t>2013/3Q</t>
  </si>
  <si>
    <t>ZŠ gen.Z.Škarvady, O-Poruba</t>
  </si>
  <si>
    <t>úpravy zařaditelnosti</t>
  </si>
  <si>
    <t>2013/4Q</t>
  </si>
  <si>
    <t>ROK 2013</t>
  </si>
  <si>
    <t>2013</t>
  </si>
  <si>
    <t>2014/1Q</t>
  </si>
  <si>
    <t>MŠ U Dvoru</t>
  </si>
  <si>
    <t>% zařazení - nove (květen 2014)</t>
  </si>
  <si>
    <t>2014/2Q</t>
  </si>
  <si>
    <t>2014/3Q</t>
  </si>
  <si>
    <t>2014/4Q</t>
  </si>
  <si>
    <t>ZŠ a waldorfská ZŠ O-Poruba</t>
  </si>
  <si>
    <t>Resort ŽP a IT</t>
  </si>
  <si>
    <t>Sloupec1</t>
  </si>
  <si>
    <t>Sloupec2</t>
  </si>
  <si>
    <t>2014</t>
  </si>
  <si>
    <t>ROK 2014</t>
  </si>
  <si>
    <t>2015/1Q</t>
  </si>
  <si>
    <t>plan/R2014</t>
  </si>
  <si>
    <t>plan/R2015</t>
  </si>
  <si>
    <r>
      <t xml:space="preserve">Objem nákupů města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</si>
  <si>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>Zařazení do e-VŘ</t>
    </r>
    <r>
      <rPr>
        <b/>
        <sz val="9"/>
        <color rgb="FF00ADD0"/>
        <rFont val="Arial"/>
        <family val="2"/>
        <charset val="238"/>
      </rPr>
      <t xml:space="preserve"> </t>
    </r>
    <r>
      <rPr>
        <sz val="9"/>
        <color rgb="FF00ADD0"/>
        <rFont val="Arial"/>
        <family val="2"/>
        <charset val="238"/>
      </rPr>
      <t xml:space="preserve"> (el.výběrová řízení)  </t>
    </r>
    <r>
      <rPr>
        <b/>
        <sz val="11"/>
        <color rgb="FF00ADD0"/>
        <rFont val="Arial"/>
        <family val="2"/>
        <charset val="238"/>
      </rPr>
      <t xml:space="preserve">25,6%         </t>
    </r>
    <r>
      <rPr>
        <b/>
        <sz val="14"/>
        <color rgb="FF00ADD0"/>
        <rFont val="Arial"/>
        <family val="2"/>
        <charset val="238"/>
      </rPr>
      <t>1 000 mil. Kč / rok</t>
    </r>
  </si>
  <si>
    <r>
      <t xml:space="preserve">Předpoklad úspory  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</si>
  <si>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t>AKTUÁLNÍ STAV PROJEKTU SSN</t>
  </si>
  <si>
    <r>
      <t xml:space="preserve">Předpoklad úspory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</si>
  <si>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nesplněný cíl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</si>
  <si>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splněný cíl</t>
    </r>
  </si>
  <si>
    <t>)</t>
  </si>
  <si>
    <t>(</t>
  </si>
  <si>
    <t>Městské obvody včetně PO</t>
  </si>
  <si>
    <t xml:space="preserve"> </t>
  </si>
  <si>
    <t>MMO + OS + PO</t>
  </si>
  <si>
    <t>STATUTÁRNÍ MĚSTO OSTRAVA</t>
  </si>
  <si>
    <t>MINULÉ OBDOBÍ</t>
  </si>
  <si>
    <t>ZMĚNA</t>
  </si>
  <si>
    <t>100 mil. Kč / rok</t>
  </si>
  <si>
    <t>Nákup za dodržené ceny a dosažení tak ÚSPORY</t>
  </si>
  <si>
    <t>1 000 mil. Kč / rok</t>
  </si>
  <si>
    <t xml:space="preserve">26 % nákupů zařadit do elektronického výběrového řízení (e-VŘ)                                                                                         </t>
  </si>
  <si>
    <t>4 000 mil. Kč / rok</t>
  </si>
  <si>
    <t xml:space="preserve">Evidence nákupů přes NÁKUPNÍ PORTÁL MĚSTA OSTRAVA !!!                                                                           </t>
  </si>
  <si>
    <r>
      <t xml:space="preserve">Cíl projektu -  </t>
    </r>
    <r>
      <rPr>
        <b/>
        <sz val="11"/>
        <color theme="0"/>
        <rFont val="Calibri"/>
        <family val="2"/>
        <charset val="238"/>
      </rPr>
      <t>Ø</t>
    </r>
    <r>
      <rPr>
        <b/>
        <sz val="11"/>
        <color theme="0"/>
        <rFont val="Arial"/>
        <family val="2"/>
        <charset val="238"/>
      </rPr>
      <t xml:space="preserve"> roční úspora 100 milionů korun</t>
    </r>
  </si>
  <si>
    <t>MĚSÍČNÍ REPORT SYSTÉMU SDRUŽENÝCH NÁKUPŮ PRO SMO</t>
  </si>
  <si>
    <t>res06</t>
  </si>
  <si>
    <t>Školství MO</t>
  </si>
  <si>
    <t>res03</t>
  </si>
  <si>
    <t>Sociální služby, sport MO</t>
  </si>
  <si>
    <t>res02</t>
  </si>
  <si>
    <t>Technické zaměření MO</t>
  </si>
  <si>
    <t>res14</t>
  </si>
  <si>
    <t>Resort životního prostředí</t>
  </si>
  <si>
    <t>res07</t>
  </si>
  <si>
    <t>Resort soc.věcí,školství,sportu a vlč aktivit</t>
  </si>
  <si>
    <t>res13</t>
  </si>
  <si>
    <t>res11</t>
  </si>
  <si>
    <t>res05</t>
  </si>
  <si>
    <t>res12</t>
  </si>
  <si>
    <t>*</t>
  </si>
  <si>
    <t>res10</t>
  </si>
  <si>
    <t>res16</t>
  </si>
  <si>
    <t>res01</t>
  </si>
  <si>
    <t>NPS</t>
  </si>
  <si>
    <t>NPP</t>
  </si>
  <si>
    <t>EvidS</t>
  </si>
  <si>
    <t>EvidP</t>
  </si>
  <si>
    <t>Ucet</t>
  </si>
  <si>
    <t>MO24</t>
  </si>
  <si>
    <t>MO23</t>
  </si>
  <si>
    <t>MO22</t>
  </si>
  <si>
    <t>MO21</t>
  </si>
  <si>
    <t>MO20</t>
  </si>
  <si>
    <t>MO19</t>
  </si>
  <si>
    <t>MO18</t>
  </si>
  <si>
    <t>MO17</t>
  </si>
  <si>
    <t>MO16</t>
  </si>
  <si>
    <t>MO15</t>
  </si>
  <si>
    <t>MO14</t>
  </si>
  <si>
    <t>MO13</t>
  </si>
  <si>
    <t>MO12</t>
  </si>
  <si>
    <t>MO11</t>
  </si>
  <si>
    <t>MO10</t>
  </si>
  <si>
    <t>MO09</t>
  </si>
  <si>
    <t>MO08</t>
  </si>
  <si>
    <t>MO07</t>
  </si>
  <si>
    <t>MO06</t>
  </si>
  <si>
    <t>MO05</t>
  </si>
  <si>
    <t>MO04</t>
  </si>
  <si>
    <t>MO03</t>
  </si>
  <si>
    <t>MO02</t>
  </si>
  <si>
    <t>MO01</t>
  </si>
  <si>
    <t>R1</t>
  </si>
  <si>
    <t>NP</t>
  </si>
  <si>
    <t>EV</t>
  </si>
  <si>
    <t>MO</t>
  </si>
  <si>
    <t>POHYB</t>
  </si>
  <si>
    <t>RATING 2</t>
  </si>
  <si>
    <t>RATING 1</t>
  </si>
  <si>
    <t xml:space="preserve">ŠETŘÍME </t>
  </si>
  <si>
    <t xml:space="preserve">ELEKTRONICKÝMI </t>
  </si>
  <si>
    <t>AUKCEMI</t>
  </si>
  <si>
    <t xml:space="preserve">SYSTÉM </t>
  </si>
  <si>
    <t xml:space="preserve">SDRUŽENÉHO </t>
  </si>
  <si>
    <t>NÁKUPU</t>
  </si>
  <si>
    <t>Město Ostrava se stalo příkladem pro další města a subjekty
státní správy.</t>
  </si>
  <si>
    <t xml:space="preserve">STATUTÁRNÍ MĚSTO OSTRAVA </t>
  </si>
  <si>
    <r>
      <t xml:space="preserve">Objem nákupů města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</si>
  <si>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 xml:space="preserve">Objem nákupů města    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</si>
  <si>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t>Průhledné veřejné zakázky a sdružení  poptávky při využití elektronických aukcí. To jsou hlavní přednosti Systému sdruženého nákupu, který město Ostrava zavedlo v roce 2010.
Od jeho zavedení se tak podařilo uspořit z veřejných prostředků</t>
  </si>
  <si>
    <t>2015/2Q</t>
  </si>
  <si>
    <t>2015/3Q</t>
  </si>
  <si>
    <t>2015/4Q</t>
  </si>
  <si>
    <t>Domov Slunečnice</t>
  </si>
  <si>
    <t>Městská nemocnice Ostrava</t>
  </si>
  <si>
    <t>Národní divadlo Moravskoslezské</t>
  </si>
  <si>
    <t>Centrum kultury a vzdělávání Moravská Ostrava</t>
  </si>
  <si>
    <t>Čtyřlístek</t>
  </si>
  <si>
    <t>Dětské centrum Domeček</t>
  </si>
  <si>
    <t>Divadlo loutek Ostrava</t>
  </si>
  <si>
    <t>Domov Čujkovova</t>
  </si>
  <si>
    <t>Domov Korýtko</t>
  </si>
  <si>
    <t>Domov Magnolie</t>
  </si>
  <si>
    <t>Komorní scéna Aréna</t>
  </si>
  <si>
    <t>ZOO Ostrava</t>
  </si>
  <si>
    <t>Centrum sociálních služeb Poruba</t>
  </si>
  <si>
    <t>Domov Sluníčko</t>
  </si>
  <si>
    <t>Domov Slunovrat</t>
  </si>
  <si>
    <t>DPS Iris</t>
  </si>
  <si>
    <t>DPS Kamenec</t>
  </si>
  <si>
    <t>Dům dětí a mládeže Poruba</t>
  </si>
  <si>
    <t>Janáčkova filharmonie Ostrava</t>
  </si>
  <si>
    <t>Knihovna města Ostravy</t>
  </si>
  <si>
    <t>Kulturní zařízení Ostrava-Jih</t>
  </si>
  <si>
    <t>Lidová konzervatoř</t>
  </si>
  <si>
    <t>Technické služby O-Jih</t>
  </si>
  <si>
    <t>Ostravské muzeum</t>
  </si>
  <si>
    <t>Středisko volného času Korunka</t>
  </si>
  <si>
    <t>Středisko volného času O-Zábřeh</t>
  </si>
  <si>
    <t>Středisko volného času Ostrava</t>
  </si>
  <si>
    <t>Technické služby Moravská Ostrava a Přívoz</t>
  </si>
  <si>
    <t>► plán 2015</t>
  </si>
  <si>
    <t>% zaraditelnosti - OMÚaSN 2015</t>
  </si>
  <si>
    <t>ROK 2015</t>
  </si>
  <si>
    <t>2015</t>
  </si>
  <si>
    <t>Resort soc.věcí a zdravotnictví</t>
  </si>
  <si>
    <t>Dopravní podnik Ostrava</t>
  </si>
  <si>
    <t>Resort kultury a VLČ</t>
  </si>
  <si>
    <t>OZO Ostrava</t>
  </si>
  <si>
    <t>Dům kultury Akord</t>
  </si>
  <si>
    <t>Ostravské komunikace</t>
  </si>
  <si>
    <t>SAREZA</t>
  </si>
  <si>
    <t>Resort školství a sportu</t>
  </si>
  <si>
    <t>VÍTKOVICE ARÉNA</t>
  </si>
  <si>
    <t>DK POKLAD</t>
  </si>
  <si>
    <t>Dům kultury Ostrava</t>
  </si>
  <si>
    <t>Dům seniorů v Krásném Poli</t>
  </si>
  <si>
    <t>Firemní školka města Ostravy</t>
  </si>
  <si>
    <t>Krematorium Ostrava</t>
  </si>
  <si>
    <t>MŠ Zámostní</t>
  </si>
  <si>
    <t>Ostravské městské lesy</t>
  </si>
  <si>
    <t>Ostravské výstavy, a.s.</t>
  </si>
  <si>
    <t>Ostravský informační servis</t>
  </si>
  <si>
    <t>OVA!!!CLOUD.net a.s.</t>
  </si>
  <si>
    <t>Technické služby Slezská Ostrava</t>
  </si>
  <si>
    <r>
      <t>plan - plán 2016</t>
    </r>
    <r>
      <rPr>
        <b/>
        <sz val="8"/>
        <color indexed="56"/>
        <rFont val="Calibri"/>
        <family val="2"/>
        <charset val="238"/>
      </rPr>
      <t>, NP plan vypocitan procentem</t>
    </r>
  </si>
  <si>
    <t>2016/1Q</t>
  </si>
  <si>
    <r>
      <t>Předpokládaný
objem nákupů</t>
    </r>
    <r>
      <rPr>
        <sz val="8"/>
        <color rgb="FF00ADD0"/>
        <rFont val="Arial"/>
        <family val="2"/>
        <charset val="238"/>
      </rPr>
      <t xml:space="preserve">
plán</t>
    </r>
    <r>
      <rPr>
        <b/>
        <sz val="8"/>
        <color rgb="FF00ADD0"/>
        <rFont val="Arial"/>
        <family val="2"/>
        <charset val="238"/>
      </rPr>
      <t xml:space="preserve"> r.2016</t>
    </r>
    <r>
      <rPr>
        <sz val="8"/>
        <color rgb="FF00ADD0"/>
        <rFont val="Arial"/>
        <family val="2"/>
        <charset val="238"/>
      </rPr>
      <t xml:space="preserve">
[ Kč ]</t>
    </r>
  </si>
  <si>
    <t>K V Ě T E N</t>
  </si>
  <si>
    <r>
      <t xml:space="preserve">LEDEN-ČERVEN 2016
</t>
    </r>
    <r>
      <rPr>
        <sz val="11"/>
        <color indexed="9"/>
        <rFont val="Arial"/>
        <family val="2"/>
        <charset val="238"/>
      </rPr>
      <t>( aktuální stav r.2016 )</t>
    </r>
  </si>
  <si>
    <t>CELKEM                        2010-2016 (červen)</t>
  </si>
  <si>
    <t>LEDEN-ČERVEN 2016</t>
  </si>
  <si>
    <t>aktualizace 11.7.2016</t>
  </si>
  <si>
    <t>Č E R V E N</t>
  </si>
  <si>
    <t>2016/2Q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</si>
</sst>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#,##0_ ;[Red]\-#,##0\ "/>
    <numFmt numFmtId="165" formatCode="#,##0.00,,&quot; mil. Kč&quot;"/>
    <numFmt numFmtId="166" formatCode="0.0"/>
    <numFmt numFmtId="167" formatCode="#,##0.0_ ;[Red]\-#,##0.0\ "/>
    <numFmt numFmtId="168" formatCode="#,##0.00_ ;[Red]\-#,##0.00\ "/>
    <numFmt numFmtId="169" formatCode="0_ ;[Red]\-0\ "/>
    <numFmt numFmtId="170" formatCode="0.0_ ;[Red]\-0.0\ "/>
  </numFmts>
  <fonts count="159" x14ac:knownFonts="1">
    <font>
      <sz val="8"/>
      <color indexed="8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charset val="238"/>
    </font>
    <font>
      <sz val="10"/>
      <name val="MS Sans Serif"/>
      <family val="2"/>
      <charset val="238"/>
    </font>
    <font>
      <b/>
      <sz val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2"/>
      <name val="Calibri"/>
      <family val="2"/>
      <charset val="238"/>
    </font>
    <font>
      <u/>
      <sz val="8"/>
      <color indexed="12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8"/>
      <color indexed="9"/>
      <name val="Wingdings 2"/>
      <family val="1"/>
      <charset val="2"/>
    </font>
    <font>
      <i/>
      <sz val="9"/>
      <color indexed="81"/>
      <name val="Tahoma"/>
      <family val="2"/>
      <charset val="238"/>
    </font>
    <font>
      <b/>
      <sz val="9"/>
      <color indexed="9"/>
      <name val="Calibri"/>
      <family val="2"/>
      <charset val="238"/>
    </font>
    <font>
      <sz val="8"/>
      <color indexed="55"/>
      <name val="Calibri"/>
      <family val="2"/>
      <charset val="238"/>
    </font>
    <font>
      <sz val="8"/>
      <color indexed="23"/>
      <name val="Calibri"/>
      <family val="2"/>
      <charset val="238"/>
    </font>
    <font>
      <b/>
      <sz val="8"/>
      <color indexed="57"/>
      <name val="Calibri"/>
      <family val="2"/>
      <charset val="238"/>
    </font>
    <font>
      <i/>
      <sz val="8"/>
      <color indexed="56"/>
      <name val="Calibri"/>
      <family val="2"/>
      <charset val="238"/>
    </font>
    <font>
      <sz val="8"/>
      <name val="Calibri"/>
      <family val="2"/>
      <charset val="238"/>
    </font>
    <font>
      <sz val="8"/>
      <color indexed="57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57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Wingdings"/>
      <charset val="2"/>
    </font>
    <font>
      <b/>
      <i/>
      <sz val="9"/>
      <color indexed="9"/>
      <name val="Calibri"/>
      <family val="2"/>
      <charset val="238"/>
    </font>
    <font>
      <sz val="8"/>
      <name val="Calibri"/>
      <family val="2"/>
      <charset val="238"/>
    </font>
    <font>
      <b/>
      <sz val="14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57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sz val="1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12"/>
      <name val="Wingdings"/>
      <charset val="2"/>
    </font>
    <font>
      <b/>
      <sz val="18"/>
      <color indexed="9"/>
      <name val="Arial"/>
      <family val="2"/>
      <charset val="238"/>
    </font>
    <font>
      <sz val="14"/>
      <color indexed="30"/>
      <name val="Arial"/>
      <family val="2"/>
      <charset val="238"/>
    </font>
    <font>
      <sz val="12"/>
      <color indexed="3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6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32"/>
      <name val="Arial"/>
      <family val="2"/>
      <charset val="238"/>
    </font>
    <font>
      <sz val="12"/>
      <color indexed="30"/>
      <name val="Calibri"/>
      <family val="2"/>
      <charset val="238"/>
    </font>
    <font>
      <sz val="14"/>
      <color indexed="30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56"/>
      <name val="Calibri"/>
      <family val="2"/>
      <charset val="238"/>
    </font>
    <font>
      <i/>
      <sz val="11"/>
      <color indexed="63"/>
      <name val="Arial"/>
      <family val="2"/>
      <charset val="238"/>
    </font>
    <font>
      <b/>
      <sz val="10"/>
      <color indexed="9"/>
      <name val="Arial"/>
      <family val="2"/>
      <charset val="238"/>
    </font>
    <font>
      <sz val="12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Arial"/>
      <family val="2"/>
      <charset val="238"/>
    </font>
    <font>
      <sz val="8"/>
      <name val="Calibri"/>
      <family val="2"/>
      <charset val="238"/>
    </font>
    <font>
      <sz val="8"/>
      <color theme="1"/>
      <name val="Calibri"/>
      <family val="2"/>
      <charset val="238"/>
    </font>
    <font>
      <sz val="8"/>
      <color theme="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b/>
      <i/>
      <sz val="8"/>
      <color rgb="FF7030A0"/>
      <name val="Calibri"/>
      <family val="2"/>
      <charset val="238"/>
    </font>
    <font>
      <b/>
      <sz val="8"/>
      <color rgb="FF7030A0"/>
      <name val="Calibri"/>
      <family val="2"/>
      <charset val="238"/>
    </font>
    <font>
      <sz val="11"/>
      <color theme="1"/>
      <name val="Arial"/>
      <family val="2"/>
      <charset val="238"/>
    </font>
    <font>
      <sz val="8"/>
      <color rgb="FF7030A0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Calibri"/>
      <family val="2"/>
      <charset val="238"/>
    </font>
    <font>
      <sz val="8"/>
      <color rgb="FF002060"/>
      <name val="Arial"/>
      <family val="2"/>
      <charset val="238"/>
    </font>
    <font>
      <sz val="8"/>
      <color rgb="FFC00000"/>
      <name val="Calibri"/>
      <family val="2"/>
      <charset val="238"/>
    </font>
    <font>
      <sz val="8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rgb="FF00ADD0"/>
      <name val="Arial"/>
      <family val="2"/>
      <charset val="238"/>
    </font>
    <font>
      <b/>
      <sz val="12"/>
      <color rgb="FF00ADD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rgb="FF00ADD0"/>
      <name val="Arial"/>
      <family val="2"/>
      <charset val="238"/>
    </font>
    <font>
      <b/>
      <sz val="14"/>
      <color rgb="FF00ADD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rgb="FF00ADD0"/>
      <name val="Arial"/>
      <family val="2"/>
      <charset val="238"/>
    </font>
    <font>
      <sz val="9"/>
      <color rgb="FF00ADD0"/>
      <name val="Arial"/>
      <family val="2"/>
      <charset val="238"/>
    </font>
    <font>
      <sz val="10"/>
      <color rgb="FF003C69"/>
      <name val="Arial"/>
      <family val="2"/>
      <charset val="238"/>
    </font>
    <font>
      <b/>
      <sz val="14"/>
      <color rgb="FF003C69"/>
      <name val="Arial"/>
      <family val="2"/>
      <charset val="238"/>
    </font>
    <font>
      <sz val="12"/>
      <color rgb="FF003C69"/>
      <name val="Arial"/>
      <family val="2"/>
      <charset val="238"/>
    </font>
    <font>
      <b/>
      <sz val="11"/>
      <color rgb="FF003C69"/>
      <name val="Arial"/>
      <family val="2"/>
      <charset val="238"/>
    </font>
    <font>
      <b/>
      <sz val="10"/>
      <color rgb="FF003C69"/>
      <name val="Arial"/>
      <family val="2"/>
      <charset val="238"/>
    </font>
    <font>
      <b/>
      <sz val="12"/>
      <color rgb="FF003C69"/>
      <name val="Arial"/>
      <family val="2"/>
      <charset val="238"/>
    </font>
    <font>
      <b/>
      <sz val="18"/>
      <color rgb="FF003C69"/>
      <name val="Arial"/>
      <family val="2"/>
      <charset val="238"/>
    </font>
    <font>
      <sz val="8"/>
      <color rgb="FF003C69"/>
      <name val="Calibri"/>
      <family val="2"/>
      <charset val="238"/>
    </font>
    <font>
      <sz val="10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1"/>
      <color indexed="81"/>
      <name val="Arial"/>
      <family val="2"/>
      <charset val="238"/>
    </font>
    <font>
      <sz val="8"/>
      <color rgb="FF003C69"/>
      <name val="Wingdings"/>
      <charset val="2"/>
    </font>
    <font>
      <i/>
      <sz val="8"/>
      <color rgb="FF003C69"/>
      <name val="Calibri"/>
      <family val="2"/>
      <charset val="238"/>
    </font>
    <font>
      <i/>
      <sz val="8"/>
      <color rgb="FF003C69"/>
      <name val="Arial"/>
      <family val="2"/>
      <charset val="238"/>
    </font>
    <font>
      <sz val="8"/>
      <color rgb="FF003C6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sz val="8"/>
      <color rgb="FF00ADD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i/>
      <sz val="8"/>
      <color theme="0"/>
      <name val="Arial"/>
      <family val="2"/>
      <charset val="238"/>
    </font>
    <font>
      <b/>
      <sz val="8"/>
      <color rgb="FF00ADD0"/>
      <name val="Arial"/>
      <family val="2"/>
      <charset val="238"/>
    </font>
    <font>
      <b/>
      <sz val="8"/>
      <color indexed="81"/>
      <name val="Arial"/>
      <family val="2"/>
      <charset val="238"/>
    </font>
    <font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i/>
      <sz val="8"/>
      <color indexed="81"/>
      <name val="Arial"/>
      <family val="2"/>
      <charset val="238"/>
    </font>
    <font>
      <sz val="9"/>
      <color rgb="FF003C69"/>
      <name val="Arial"/>
      <family val="2"/>
      <charset val="238"/>
    </font>
    <font>
      <sz val="11"/>
      <color theme="0"/>
      <name val="Arial"/>
      <family val="2"/>
      <charset val="238"/>
    </font>
    <font>
      <i/>
      <sz val="9"/>
      <color indexed="81"/>
      <name val="Arial"/>
      <family val="2"/>
      <charset val="238"/>
    </font>
    <font>
      <sz val="12"/>
      <color theme="0" tint="-4.9989318521683403E-2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9"/>
      <color indexed="81"/>
      <name val="Tahoma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MS Sans Serif"/>
      <family val="2"/>
      <charset val="238"/>
    </font>
    <font>
      <sz val="8"/>
      <color rgb="FF9C0006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8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40"/>
      <color rgb="FF00ADD0"/>
      <name val="Arial"/>
      <family val="2"/>
      <charset val="238"/>
    </font>
    <font>
      <b/>
      <sz val="28"/>
      <color rgb="FF00ADD0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54"/>
      <color rgb="FF00ADD0"/>
      <name val="Arial"/>
      <family val="2"/>
      <charset val="238"/>
    </font>
    <font>
      <b/>
      <sz val="26"/>
      <color rgb="FFFFFFFF"/>
      <name val="Arial"/>
      <family val="2"/>
      <charset val="238"/>
    </font>
    <font>
      <sz val="9"/>
      <color indexed="8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rgb="FF00233E"/>
        <bgColor indexed="64"/>
      </patternFill>
    </fill>
    <fill>
      <patternFill patternType="solid">
        <fgColor rgb="FF00AD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C0E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CD0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5E5E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59"/>
      </right>
      <top style="double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/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ADD0"/>
      </left>
      <right style="thin">
        <color rgb="FF00ADD0"/>
      </right>
      <top style="thin">
        <color rgb="FF00ADD0"/>
      </top>
      <bottom style="thin">
        <color rgb="FF00ADD0"/>
      </bottom>
      <diagonal/>
    </border>
    <border>
      <left style="thin">
        <color rgb="FF00ADD0"/>
      </left>
      <right/>
      <top style="thin">
        <color rgb="FF00ADD0"/>
      </top>
      <bottom/>
      <diagonal/>
    </border>
    <border>
      <left/>
      <right style="thin">
        <color rgb="FF00ADD0"/>
      </right>
      <top style="thin">
        <color rgb="FF00ADD0"/>
      </top>
      <bottom/>
      <diagonal/>
    </border>
    <border>
      <left style="thin">
        <color rgb="FF00ADD0"/>
      </left>
      <right/>
      <top/>
      <bottom style="thin">
        <color rgb="FF00ADD0"/>
      </bottom>
      <diagonal/>
    </border>
    <border>
      <left/>
      <right style="thin">
        <color rgb="FF00ADD0"/>
      </right>
      <top/>
      <bottom style="thin">
        <color rgb="FF00ADD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rgb="FF003C69"/>
      </top>
      <bottom style="medium">
        <color rgb="FF003C69"/>
      </bottom>
      <diagonal/>
    </border>
    <border>
      <left/>
      <right/>
      <top style="thin">
        <color rgb="FF00ADD0"/>
      </top>
      <bottom/>
      <diagonal/>
    </border>
    <border>
      <left/>
      <right/>
      <top/>
      <bottom style="thin">
        <color rgb="FF00ADD0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/>
      <diagonal/>
    </border>
    <border>
      <left style="thin">
        <color rgb="FF00233E"/>
      </left>
      <right style="thin">
        <color rgb="FF00233E"/>
      </right>
      <top/>
      <bottom style="thin">
        <color rgb="FF00233E"/>
      </bottom>
      <diagonal/>
    </border>
    <border>
      <left style="thin">
        <color rgb="FF003C69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233E"/>
      </left>
      <right/>
      <top/>
      <bottom/>
      <diagonal/>
    </border>
    <border>
      <left style="thin">
        <color rgb="FF003C69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3C69"/>
      </left>
      <right style="thin">
        <color rgb="FF003C69"/>
      </right>
      <top/>
      <bottom/>
      <diagonal/>
    </border>
    <border>
      <left style="thin">
        <color rgb="FF00ADD0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rgb="FF00ADD0"/>
      </right>
      <top style="thin">
        <color rgb="FF00ADD0"/>
      </top>
      <bottom/>
      <diagonal/>
    </border>
    <border>
      <left/>
      <right style="thin">
        <color rgb="FF00ADD0"/>
      </right>
      <top/>
      <bottom/>
      <diagonal/>
    </border>
    <border>
      <left style="thin">
        <color rgb="FF9BEEFF"/>
      </left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9BEEFF"/>
      </left>
      <right/>
      <top style="thin">
        <color rgb="FF9BEEFF"/>
      </top>
      <bottom style="thin">
        <color rgb="FF9BEEFF"/>
      </bottom>
      <diagonal/>
    </border>
    <border>
      <left/>
      <right/>
      <top style="thin">
        <color rgb="FF9BEEFF"/>
      </top>
      <bottom style="thin">
        <color rgb="FF9BEEFF"/>
      </bottom>
      <diagonal/>
    </border>
    <border>
      <left/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0CD0EA"/>
      </left>
      <right style="thin">
        <color rgb="FF0CD0EA"/>
      </right>
      <top style="thin">
        <color rgb="FF0CD0EA"/>
      </top>
      <bottom style="thin">
        <color rgb="FF0CD0EA"/>
      </bottom>
      <diagonal/>
    </border>
    <border>
      <left/>
      <right/>
      <top style="thin">
        <color rgb="FF00ADD0"/>
      </top>
      <bottom style="thin">
        <color rgb="FF00ADD0"/>
      </bottom>
      <diagonal/>
    </border>
    <border>
      <left style="thick">
        <color rgb="FF00ADD0"/>
      </left>
      <right/>
      <top style="thick">
        <color rgb="FF00ADD0"/>
      </top>
      <bottom style="thick">
        <color rgb="FF00ADD0"/>
      </bottom>
      <diagonal/>
    </border>
    <border>
      <left/>
      <right/>
      <top style="thick">
        <color rgb="FF00ADD0"/>
      </top>
      <bottom style="thick">
        <color rgb="FF00ADD0"/>
      </bottom>
      <diagonal/>
    </border>
    <border>
      <left/>
      <right style="thick">
        <color rgb="FF00ADD0"/>
      </right>
      <top style="thick">
        <color rgb="FF00ADD0"/>
      </top>
      <bottom style="thick">
        <color rgb="FF00ADD0"/>
      </bottom>
      <diagonal/>
    </border>
    <border>
      <left style="thin">
        <color rgb="FF00C0E6"/>
      </left>
      <right/>
      <top style="thin">
        <color rgb="FF00C0E6"/>
      </top>
      <bottom style="thin">
        <color rgb="FF00C0E6"/>
      </bottom>
      <diagonal/>
    </border>
    <border>
      <left/>
      <right/>
      <top style="thin">
        <color rgb="FF00C0E6"/>
      </top>
      <bottom style="thin">
        <color rgb="FF00C0E6"/>
      </bottom>
      <diagonal/>
    </border>
    <border>
      <left style="thin">
        <color auto="1"/>
      </left>
      <right/>
      <top style="thin">
        <color rgb="FF00233E"/>
      </top>
      <bottom style="thin">
        <color rgb="FF00233E"/>
      </bottom>
      <diagonal/>
    </border>
    <border>
      <left/>
      <right/>
      <top style="thin">
        <color rgb="FF00233E"/>
      </top>
      <bottom style="thin">
        <color rgb="FF00233E"/>
      </bottom>
      <diagonal/>
    </border>
    <border>
      <left/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ADD0"/>
      </left>
      <right style="thin">
        <color rgb="FF00ADD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0" fillId="0" borderId="0"/>
    <xf numFmtId="0" fontId="76" fillId="0" borderId="0"/>
    <xf numFmtId="9" fontId="2" fillId="0" borderId="0" applyFont="0" applyFill="0" applyBorder="0" applyAlignment="0" applyProtection="0"/>
    <xf numFmtId="0" fontId="131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30" borderId="0" applyNumberFormat="0" applyBorder="0" applyAlignment="0" applyProtection="0"/>
    <xf numFmtId="0" fontId="59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48" fillId="0" borderId="0"/>
    <xf numFmtId="0" fontId="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9" fillId="0" borderId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7" fillId="0" borderId="0"/>
    <xf numFmtId="0" fontId="5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9" fillId="0" borderId="0"/>
    <xf numFmtId="0" fontId="76" fillId="0" borderId="0"/>
    <xf numFmtId="0" fontId="150" fillId="0" borderId="0"/>
    <xf numFmtId="0" fontId="59" fillId="0" borderId="0"/>
    <xf numFmtId="0" fontId="59" fillId="0" borderId="0" applyProtection="0"/>
    <xf numFmtId="0" fontId="10" fillId="0" borderId="0"/>
    <xf numFmtId="0" fontId="59" fillId="0" borderId="0"/>
    <xf numFmtId="0" fontId="59" fillId="0" borderId="0" applyProtection="0"/>
    <xf numFmtId="0" fontId="150" fillId="0" borderId="0"/>
    <xf numFmtId="0" fontId="59" fillId="0" borderId="0" applyProtection="0"/>
    <xf numFmtId="0" fontId="149" fillId="31" borderId="105" applyNumberFormat="0" applyFont="0" applyAlignment="0" applyProtection="0"/>
  </cellStyleXfs>
  <cellXfs count="831">
    <xf numFmtId="0" fontId="0" fillId="0" borderId="0" xfId="0"/>
    <xf numFmtId="0" fontId="4" fillId="0" borderId="1" xfId="0" applyFont="1" applyFill="1" applyBorder="1" applyAlignment="1" applyProtection="1">
      <alignment horizontal="left" vertical="center" indent="1"/>
      <protection hidden="1"/>
    </xf>
    <xf numFmtId="0" fontId="4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/>
    <xf numFmtId="0" fontId="6" fillId="0" borderId="0" xfId="0" applyFont="1" applyFill="1" applyAlignment="1">
      <alignment horizontal="left" vertical="top" textRotation="90" wrapText="1"/>
    </xf>
    <xf numFmtId="0" fontId="6" fillId="0" borderId="0" xfId="0" applyFont="1" applyFill="1" applyBorder="1" applyAlignment="1">
      <alignment horizontal="right" indent="1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Alignment="1">
      <alignment horizontal="left" vertical="top" textRotation="90" wrapText="1"/>
    </xf>
    <xf numFmtId="0" fontId="0" fillId="0" borderId="0" xfId="0" applyFill="1"/>
    <xf numFmtId="0" fontId="6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left" indent="1"/>
    </xf>
    <xf numFmtId="3" fontId="4" fillId="0" borderId="7" xfId="0" applyNumberFormat="1" applyFont="1" applyBorder="1"/>
    <xf numFmtId="3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/>
    <xf numFmtId="0" fontId="4" fillId="0" borderId="8" xfId="0" applyFont="1" applyBorder="1"/>
    <xf numFmtId="0" fontId="4" fillId="0" borderId="8" xfId="0" applyFont="1" applyBorder="1" applyAlignment="1">
      <alignment horizontal="left" indent="1"/>
    </xf>
    <xf numFmtId="3" fontId="4" fillId="0" borderId="8" xfId="0" applyNumberFormat="1" applyFont="1" applyBorder="1"/>
    <xf numFmtId="3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/>
    <xf numFmtId="10" fontId="4" fillId="0" borderId="9" xfId="0" applyNumberFormat="1" applyFont="1" applyBorder="1"/>
    <xf numFmtId="10" fontId="23" fillId="0" borderId="0" xfId="0" applyNumberFormat="1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4" fillId="0" borderId="0" xfId="0" applyFont="1" applyFill="1" applyBorder="1"/>
    <xf numFmtId="0" fontId="26" fillId="0" borderId="0" xfId="0" applyFont="1"/>
    <xf numFmtId="3" fontId="4" fillId="0" borderId="1" xfId="0" applyNumberFormat="1" applyFont="1" applyBorder="1"/>
    <xf numFmtId="10" fontId="4" fillId="0" borderId="1" xfId="0" applyNumberFormat="1" applyFont="1" applyBorder="1"/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6" fillId="0" borderId="0" xfId="0" applyFont="1" applyBorder="1"/>
    <xf numFmtId="0" fontId="26" fillId="0" borderId="10" xfId="0" applyFont="1" applyBorder="1"/>
    <xf numFmtId="3" fontId="4" fillId="0" borderId="0" xfId="0" applyNumberFormat="1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right" indent="1"/>
    </xf>
    <xf numFmtId="0" fontId="11" fillId="0" borderId="1" xfId="0" applyFont="1" applyBorder="1" applyAlignment="1">
      <alignment vertical="center"/>
    </xf>
    <xf numFmtId="10" fontId="4" fillId="0" borderId="0" xfId="0" applyNumberFormat="1" applyFont="1"/>
    <xf numFmtId="164" fontId="4" fillId="0" borderId="0" xfId="0" applyNumberFormat="1" applyFont="1"/>
    <xf numFmtId="0" fontId="11" fillId="0" borderId="0" xfId="0" applyFont="1" applyFill="1" applyBorder="1"/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/>
    <xf numFmtId="0" fontId="4" fillId="5" borderId="4" xfId="0" applyFont="1" applyFill="1" applyBorder="1" applyAlignment="1">
      <alignment horizontal="left" indent="1"/>
    </xf>
    <xf numFmtId="0" fontId="4" fillId="5" borderId="5" xfId="0" applyFont="1" applyFill="1" applyBorder="1"/>
    <xf numFmtId="0" fontId="4" fillId="5" borderId="12" xfId="0" applyFont="1" applyFill="1" applyBorder="1" applyAlignment="1">
      <alignment horizontal="left" indent="1"/>
    </xf>
    <xf numFmtId="0" fontId="4" fillId="5" borderId="13" xfId="0" applyFont="1" applyFill="1" applyBorder="1"/>
    <xf numFmtId="0" fontId="4" fillId="5" borderId="14" xfId="0" applyFont="1" applyFill="1" applyBorder="1" applyAlignment="1">
      <alignment horizontal="left" indent="1"/>
    </xf>
    <xf numFmtId="0" fontId="4" fillId="5" borderId="15" xfId="0" applyFont="1" applyFill="1" applyBorder="1"/>
    <xf numFmtId="0" fontId="4" fillId="6" borderId="4" xfId="0" applyFont="1" applyFill="1" applyBorder="1" applyAlignment="1">
      <alignment horizontal="left" indent="1"/>
    </xf>
    <xf numFmtId="0" fontId="4" fillId="6" borderId="11" xfId="0" applyFont="1" applyFill="1" applyBorder="1"/>
    <xf numFmtId="0" fontId="4" fillId="6" borderId="5" xfId="0" applyFont="1" applyFill="1" applyBorder="1"/>
    <xf numFmtId="0" fontId="4" fillId="6" borderId="12" xfId="0" applyFont="1" applyFill="1" applyBorder="1" applyAlignment="1">
      <alignment horizontal="left" indent="1"/>
    </xf>
    <xf numFmtId="0" fontId="4" fillId="6" borderId="0" xfId="0" applyFont="1" applyFill="1" applyBorder="1"/>
    <xf numFmtId="0" fontId="4" fillId="6" borderId="13" xfId="0" applyFont="1" applyFill="1" applyBorder="1"/>
    <xf numFmtId="0" fontId="4" fillId="6" borderId="14" xfId="0" applyFont="1" applyFill="1" applyBorder="1" applyAlignment="1">
      <alignment horizontal="left" indent="1"/>
    </xf>
    <xf numFmtId="0" fontId="4" fillId="6" borderId="3" xfId="0" applyFont="1" applyFill="1" applyBorder="1"/>
    <xf numFmtId="0" fontId="4" fillId="6" borderId="15" xfId="0" applyFont="1" applyFill="1" applyBorder="1"/>
    <xf numFmtId="0" fontId="4" fillId="0" borderId="1" xfId="0" applyFont="1" applyBorder="1"/>
    <xf numFmtId="0" fontId="11" fillId="7" borderId="1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16" fillId="0" borderId="20" xfId="0" applyFont="1" applyBorder="1"/>
    <xf numFmtId="0" fontId="16" fillId="0" borderId="21" xfId="0" applyFont="1" applyBorder="1"/>
    <xf numFmtId="0" fontId="16" fillId="0" borderId="22" xfId="0" applyFont="1" applyBorder="1"/>
    <xf numFmtId="0" fontId="4" fillId="0" borderId="0" xfId="0" applyFont="1" applyFill="1" applyAlignment="1">
      <alignment horizontal="left" vertical="top" textRotation="90" wrapText="1"/>
    </xf>
    <xf numFmtId="0" fontId="11" fillId="2" borderId="1" xfId="0" applyFont="1" applyFill="1" applyBorder="1"/>
    <xf numFmtId="0" fontId="3" fillId="2" borderId="1" xfId="0" applyFont="1" applyFill="1" applyBorder="1"/>
    <xf numFmtId="0" fontId="11" fillId="2" borderId="1" xfId="0" applyFont="1" applyFill="1" applyBorder="1" applyAlignment="1" applyProtection="1">
      <alignment horizontal="right" vertical="center"/>
    </xf>
    <xf numFmtId="164" fontId="11" fillId="2" borderId="1" xfId="0" applyNumberFormat="1" applyFont="1" applyFill="1" applyBorder="1" applyAlignment="1" applyProtection="1">
      <alignment horizontal="right" vertical="center"/>
    </xf>
    <xf numFmtId="0" fontId="4" fillId="8" borderId="0" xfId="0" applyFont="1" applyFill="1" applyBorder="1"/>
    <xf numFmtId="0" fontId="4" fillId="8" borderId="23" xfId="0" applyFont="1" applyFill="1" applyBorder="1"/>
    <xf numFmtId="3" fontId="4" fillId="8" borderId="23" xfId="0" applyNumberFormat="1" applyFont="1" applyFill="1" applyBorder="1"/>
    <xf numFmtId="3" fontId="4" fillId="8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/>
    <xf numFmtId="0" fontId="6" fillId="8" borderId="0" xfId="0" applyFont="1" applyFill="1" applyAlignment="1">
      <alignment horizontal="left" vertical="top" textRotation="90" wrapText="1"/>
    </xf>
    <xf numFmtId="0" fontId="9" fillId="4" borderId="0" xfId="0" applyFont="1" applyFill="1" applyAlignment="1">
      <alignment horizontal="left" vertical="top" textRotation="90" wrapText="1"/>
    </xf>
    <xf numFmtId="0" fontId="4" fillId="0" borderId="0" xfId="0" applyFont="1" applyFill="1"/>
    <xf numFmtId="0" fontId="26" fillId="0" borderId="0" xfId="0" applyFont="1" applyAlignment="1">
      <alignment horizontal="right"/>
    </xf>
    <xf numFmtId="0" fontId="9" fillId="10" borderId="0" xfId="0" applyFont="1" applyFill="1" applyAlignment="1">
      <alignment horizontal="left" vertical="top" textRotation="90" wrapText="1"/>
    </xf>
    <xf numFmtId="0" fontId="4" fillId="10" borderId="0" xfId="0" applyFont="1" applyFill="1" applyAlignment="1">
      <alignment horizontal="left" vertical="top" textRotation="90" wrapText="1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0" fontId="4" fillId="0" borderId="11" xfId="0" applyFont="1" applyBorder="1"/>
    <xf numFmtId="0" fontId="4" fillId="0" borderId="11" xfId="0" applyFont="1" applyBorder="1" applyAlignment="1">
      <alignment horizontal="left" indent="1"/>
    </xf>
    <xf numFmtId="3" fontId="4" fillId="0" borderId="11" xfId="0" applyNumberFormat="1" applyFont="1" applyBorder="1"/>
    <xf numFmtId="3" fontId="4" fillId="0" borderId="5" xfId="0" applyNumberFormat="1" applyFont="1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13" xfId="0" applyNumberFormat="1" applyFont="1" applyBorder="1"/>
    <xf numFmtId="3" fontId="4" fillId="0" borderId="3" xfId="0" applyNumberFormat="1" applyFont="1" applyBorder="1"/>
    <xf numFmtId="3" fontId="4" fillId="0" borderId="15" xfId="0" applyNumberFormat="1" applyFont="1" applyBorder="1"/>
    <xf numFmtId="0" fontId="4" fillId="9" borderId="0" xfId="0" applyFont="1" applyFill="1" applyBorder="1"/>
    <xf numFmtId="3" fontId="4" fillId="9" borderId="0" xfId="0" applyNumberFormat="1" applyFont="1" applyFill="1" applyBorder="1"/>
    <xf numFmtId="3" fontId="4" fillId="9" borderId="13" xfId="0" applyNumberFormat="1" applyFont="1" applyFill="1" applyBorder="1"/>
    <xf numFmtId="0" fontId="4" fillId="9" borderId="3" xfId="0" applyFont="1" applyFill="1" applyBorder="1"/>
    <xf numFmtId="3" fontId="4" fillId="9" borderId="3" xfId="0" applyNumberFormat="1" applyFont="1" applyFill="1" applyBorder="1"/>
    <xf numFmtId="3" fontId="4" fillId="9" borderId="15" xfId="0" applyNumberFormat="1" applyFont="1" applyFill="1" applyBorder="1"/>
    <xf numFmtId="3" fontId="4" fillId="0" borderId="4" xfId="0" applyNumberFormat="1" applyFont="1" applyBorder="1"/>
    <xf numFmtId="3" fontId="4" fillId="0" borderId="14" xfId="0" applyNumberFormat="1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4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3" fillId="0" borderId="0" xfId="0" applyNumberFormat="1" applyFont="1" applyAlignment="1">
      <alignment horizontal="right" vertical="center"/>
    </xf>
    <xf numFmtId="0" fontId="11" fillId="4" borderId="0" xfId="0" applyFont="1" applyFill="1" applyAlignment="1">
      <alignment horizontal="left" vertical="top" textRotation="90" wrapText="1"/>
    </xf>
    <xf numFmtId="0" fontId="32" fillId="0" borderId="0" xfId="0" applyFont="1" applyFill="1" applyBorder="1"/>
    <xf numFmtId="0" fontId="2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10" fontId="47" fillId="0" borderId="3" xfId="0" applyNumberFormat="1" applyFont="1" applyBorder="1" applyAlignment="1">
      <alignment horizontal="center"/>
    </xf>
    <xf numFmtId="4" fontId="40" fillId="0" borderId="25" xfId="0" applyNumberFormat="1" applyFont="1" applyBorder="1" applyAlignment="1">
      <alignment horizontal="left"/>
    </xf>
    <xf numFmtId="0" fontId="40" fillId="0" borderId="25" xfId="0" applyFont="1" applyBorder="1"/>
    <xf numFmtId="10" fontId="41" fillId="0" borderId="26" xfId="0" applyNumberFormat="1" applyFont="1" applyBorder="1" applyAlignment="1">
      <alignment horizontal="right"/>
    </xf>
    <xf numFmtId="4" fontId="40" fillId="0" borderId="27" xfId="0" applyNumberFormat="1" applyFont="1" applyBorder="1" applyAlignment="1">
      <alignment horizontal="left"/>
    </xf>
    <xf numFmtId="10" fontId="40" fillId="0" borderId="28" xfId="0" applyNumberFormat="1" applyFont="1" applyBorder="1" applyAlignment="1">
      <alignment horizontal="right" indent="1"/>
    </xf>
    <xf numFmtId="0" fontId="40" fillId="0" borderId="27" xfId="0" applyFont="1" applyBorder="1"/>
    <xf numFmtId="3" fontId="39" fillId="0" borderId="27" xfId="0" applyNumberFormat="1" applyFont="1" applyBorder="1" applyAlignment="1">
      <alignment horizontal="left" indent="1"/>
    </xf>
    <xf numFmtId="10" fontId="41" fillId="0" borderId="29" xfId="0" applyNumberFormat="1" applyFont="1" applyBorder="1" applyAlignment="1">
      <alignment horizontal="right"/>
    </xf>
    <xf numFmtId="3" fontId="39" fillId="0" borderId="30" xfId="0" applyNumberFormat="1" applyFont="1" applyBorder="1" applyAlignment="1">
      <alignment horizontal="left" indent="1"/>
    </xf>
    <xf numFmtId="10" fontId="40" fillId="0" borderId="31" xfId="0" applyNumberFormat="1" applyFont="1" applyBorder="1" applyAlignment="1">
      <alignment horizontal="right" indent="1"/>
    </xf>
    <xf numFmtId="0" fontId="40" fillId="0" borderId="30" xfId="0" applyFont="1" applyBorder="1"/>
    <xf numFmtId="0" fontId="39" fillId="0" borderId="32" xfId="0" applyFont="1" applyBorder="1" applyAlignment="1">
      <alignment horizontal="left" indent="1"/>
    </xf>
    <xf numFmtId="0" fontId="48" fillId="0" borderId="25" xfId="0" applyFont="1" applyBorder="1"/>
    <xf numFmtId="0" fontId="39" fillId="0" borderId="26" xfId="0" applyFont="1" applyBorder="1" applyAlignment="1">
      <alignment horizontal="left" indent="1"/>
    </xf>
    <xf numFmtId="0" fontId="48" fillId="0" borderId="27" xfId="0" applyFont="1" applyBorder="1"/>
    <xf numFmtId="0" fontId="39" fillId="0" borderId="29" xfId="0" applyFont="1" applyBorder="1" applyAlignment="1">
      <alignment horizontal="left" indent="1"/>
    </xf>
    <xf numFmtId="0" fontId="48" fillId="0" borderId="30" xfId="0" applyFont="1" applyBorder="1"/>
    <xf numFmtId="0" fontId="41" fillId="0" borderId="0" xfId="0" applyFont="1" applyFill="1" applyBorder="1" applyAlignment="1">
      <alignment horizontal="right"/>
    </xf>
    <xf numFmtId="0" fontId="45" fillId="0" borderId="2" xfId="0" applyFont="1" applyFill="1" applyBorder="1" applyAlignment="1">
      <alignment horizontal="center" vertical="center" wrapText="1"/>
    </xf>
    <xf numFmtId="3" fontId="40" fillId="0" borderId="33" xfId="0" applyNumberFormat="1" applyFont="1" applyBorder="1" applyAlignment="1">
      <alignment horizontal="right"/>
    </xf>
    <xf numFmtId="3" fontId="40" fillId="0" borderId="28" xfId="0" applyNumberFormat="1" applyFont="1" applyBorder="1" applyAlignment="1">
      <alignment horizontal="right"/>
    </xf>
    <xf numFmtId="3" fontId="40" fillId="0" borderId="34" xfId="0" applyNumberFormat="1" applyFont="1" applyBorder="1" applyAlignment="1">
      <alignment horizontal="right"/>
    </xf>
    <xf numFmtId="10" fontId="41" fillId="0" borderId="32" xfId="0" applyNumberFormat="1" applyFont="1" applyBorder="1" applyAlignment="1">
      <alignment horizontal="right" indent="3"/>
    </xf>
    <xf numFmtId="10" fontId="41" fillId="0" borderId="26" xfId="0" applyNumberFormat="1" applyFont="1" applyBorder="1" applyAlignment="1">
      <alignment horizontal="right" indent="3"/>
    </xf>
    <xf numFmtId="10" fontId="41" fillId="0" borderId="29" xfId="0" applyNumberFormat="1" applyFont="1" applyBorder="1" applyAlignment="1">
      <alignment horizontal="right" indent="3"/>
    </xf>
    <xf numFmtId="166" fontId="4" fillId="0" borderId="0" xfId="0" applyNumberFormat="1" applyFont="1"/>
    <xf numFmtId="166" fontId="4" fillId="0" borderId="7" xfId="0" applyNumberFormat="1" applyFont="1" applyBorder="1"/>
    <xf numFmtId="166" fontId="4" fillId="0" borderId="8" xfId="0" applyNumberFormat="1" applyFont="1" applyBorder="1"/>
    <xf numFmtId="0" fontId="40" fillId="0" borderId="0" xfId="0" applyFont="1" applyBorder="1" applyAlignment="1">
      <alignment horizontal="left" vertical="center" inden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0" fontId="48" fillId="0" borderId="35" xfId="0" applyFont="1" applyBorder="1"/>
    <xf numFmtId="0" fontId="0" fillId="11" borderId="0" xfId="0" applyFill="1"/>
    <xf numFmtId="0" fontId="0" fillId="0" borderId="0" xfId="0" applyAlignment="1">
      <alignment vertical="center"/>
    </xf>
    <xf numFmtId="0" fontId="17" fillId="0" borderId="0" xfId="0" applyFont="1" applyFill="1" applyBorder="1" applyAlignment="1">
      <alignment horizontal="center"/>
    </xf>
    <xf numFmtId="3" fontId="4" fillId="0" borderId="13" xfId="0" applyNumberFormat="1" applyFon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4" fontId="4" fillId="0" borderId="0" xfId="0" applyNumberFormat="1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11" fillId="4" borderId="36" xfId="0" applyFont="1" applyFill="1" applyBorder="1" applyAlignment="1" applyProtection="1">
      <alignment horizontal="center" vertical="center" wrapText="1"/>
    </xf>
    <xf numFmtId="0" fontId="11" fillId="4" borderId="24" xfId="0" applyFont="1" applyFill="1" applyBorder="1" applyAlignment="1" applyProtection="1">
      <alignment horizontal="center" vertical="center" wrapText="1"/>
    </xf>
    <xf numFmtId="0" fontId="11" fillId="4" borderId="3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4" fillId="8" borderId="38" xfId="0" applyFont="1" applyFill="1" applyBorder="1" applyAlignment="1">
      <alignment horizontal="right"/>
    </xf>
    <xf numFmtId="0" fontId="4" fillId="8" borderId="12" xfId="0" applyFont="1" applyFill="1" applyBorder="1" applyAlignment="1">
      <alignment horizontal="right"/>
    </xf>
    <xf numFmtId="0" fontId="4" fillId="8" borderId="14" xfId="0" applyFont="1" applyFill="1" applyBorder="1" applyAlignment="1">
      <alignment horizontal="right"/>
    </xf>
    <xf numFmtId="3" fontId="4" fillId="8" borderId="38" xfId="0" applyNumberFormat="1" applyFont="1" applyFill="1" applyBorder="1" applyAlignment="1">
      <alignment horizontal="right"/>
    </xf>
    <xf numFmtId="3" fontId="4" fillId="8" borderId="12" xfId="0" applyNumberFormat="1" applyFont="1" applyFill="1" applyBorder="1" applyAlignment="1">
      <alignment horizontal="right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right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8" borderId="3" xfId="0" applyFont="1" applyFill="1" applyBorder="1"/>
    <xf numFmtId="164" fontId="11" fillId="2" borderId="24" xfId="0" applyNumberFormat="1" applyFont="1" applyFill="1" applyBorder="1" applyAlignment="1" applyProtection="1">
      <alignment horizontal="center" vertical="center"/>
    </xf>
    <xf numFmtId="3" fontId="11" fillId="2" borderId="24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left" vertical="center"/>
    </xf>
    <xf numFmtId="10" fontId="11" fillId="2" borderId="24" xfId="0" applyNumberFormat="1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1" fillId="0" borderId="0" xfId="0" applyFont="1" applyBorder="1" applyAlignment="1">
      <alignment horizontal="right" indent="2"/>
    </xf>
    <xf numFmtId="3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left"/>
    </xf>
    <xf numFmtId="0" fontId="28" fillId="0" borderId="39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 indent="3"/>
    </xf>
    <xf numFmtId="10" fontId="4" fillId="0" borderId="0" xfId="0" applyNumberFormat="1" applyFont="1" applyFill="1" applyBorder="1" applyAlignment="1">
      <alignment horizontal="right" indent="2"/>
    </xf>
    <xf numFmtId="0" fontId="26" fillId="0" borderId="43" xfId="0" applyFont="1" applyBorder="1"/>
    <xf numFmtId="0" fontId="26" fillId="0" borderId="3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1" fillId="4" borderId="0" xfId="0" applyFont="1" applyFill="1" applyAlignment="1">
      <alignment horizontal="center" vertical="center"/>
    </xf>
    <xf numFmtId="166" fontId="4" fillId="8" borderId="23" xfId="0" applyNumberFormat="1" applyFont="1" applyFill="1" applyBorder="1"/>
    <xf numFmtId="166" fontId="4" fillId="8" borderId="0" xfId="0" applyNumberFormat="1" applyFont="1" applyFill="1" applyBorder="1"/>
    <xf numFmtId="167" fontId="11" fillId="2" borderId="1" xfId="0" applyNumberFormat="1" applyFont="1" applyFill="1" applyBorder="1" applyAlignment="1" applyProtection="1">
      <alignment horizontal="right" vertical="center"/>
    </xf>
    <xf numFmtId="0" fontId="4" fillId="5" borderId="11" xfId="0" applyFont="1" applyFill="1" applyBorder="1" applyAlignment="1">
      <alignment horizontal="left" indent="1"/>
    </xf>
    <xf numFmtId="0" fontId="4" fillId="5" borderId="0" xfId="0" applyFont="1" applyFill="1" applyBorder="1" applyAlignment="1">
      <alignment horizontal="left" indent="1"/>
    </xf>
    <xf numFmtId="0" fontId="4" fillId="5" borderId="3" xfId="0" applyFont="1" applyFill="1" applyBorder="1" applyAlignment="1">
      <alignment horizontal="left" indent="1"/>
    </xf>
    <xf numFmtId="0" fontId="4" fillId="5" borderId="5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14" borderId="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left" indent="1"/>
    </xf>
    <xf numFmtId="0" fontId="4" fillId="15" borderId="1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right" indent="1"/>
    </xf>
    <xf numFmtId="0" fontId="4" fillId="15" borderId="14" xfId="0" applyFont="1" applyFill="1" applyBorder="1" applyAlignment="1">
      <alignment horizontal="right" indent="1"/>
    </xf>
    <xf numFmtId="0" fontId="11" fillId="0" borderId="2" xfId="0" applyFont="1" applyFill="1" applyBorder="1" applyAlignment="1" applyProtection="1">
      <alignment horizontal="right" vertical="center" wrapText="1" indent="1"/>
    </xf>
    <xf numFmtId="166" fontId="11" fillId="0" borderId="44" xfId="0" applyNumberFormat="1" applyFont="1" applyFill="1" applyBorder="1" applyAlignment="1" applyProtection="1">
      <alignment horizontal="right" vertical="center" indent="1"/>
    </xf>
    <xf numFmtId="166" fontId="11" fillId="8" borderId="45" xfId="0" applyNumberFormat="1" applyFont="1" applyFill="1" applyBorder="1" applyAlignment="1">
      <alignment horizontal="right" indent="1"/>
    </xf>
    <xf numFmtId="166" fontId="11" fillId="8" borderId="44" xfId="0" applyNumberFormat="1" applyFont="1" applyFill="1" applyBorder="1" applyAlignment="1">
      <alignment horizontal="right" indent="1"/>
    </xf>
    <xf numFmtId="0" fontId="81" fillId="0" borderId="12" xfId="0" applyFont="1" applyBorder="1"/>
    <xf numFmtId="0" fontId="0" fillId="0" borderId="12" xfId="0" applyBorder="1"/>
    <xf numFmtId="0" fontId="0" fillId="0" borderId="14" xfId="0" applyBorder="1" applyAlignment="1">
      <alignment horizontal="left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3" fontId="4" fillId="0" borderId="9" xfId="0" applyNumberFormat="1" applyFont="1" applyBorder="1"/>
    <xf numFmtId="3" fontId="11" fillId="10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4" fillId="0" borderId="46" xfId="0" applyFont="1" applyFill="1" applyBorder="1"/>
    <xf numFmtId="0" fontId="0" fillId="0" borderId="46" xfId="0" applyFont="1" applyFill="1" applyBorder="1"/>
    <xf numFmtId="0" fontId="4" fillId="0" borderId="46" xfId="0" applyFont="1" applyFill="1" applyBorder="1" applyAlignment="1">
      <alignment horizontal="right" vertical="center"/>
    </xf>
    <xf numFmtId="0" fontId="11" fillId="2" borderId="11" xfId="0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Border="1" applyAlignment="1" applyProtection="1">
      <alignment horizontal="right" vertical="center"/>
    </xf>
    <xf numFmtId="10" fontId="4" fillId="0" borderId="0" xfId="0" applyNumberFormat="1" applyFont="1" applyFill="1" applyBorder="1" applyAlignment="1"/>
    <xf numFmtId="10" fontId="11" fillId="2" borderId="1" xfId="0" applyNumberFormat="1" applyFont="1" applyFill="1" applyBorder="1" applyAlignment="1" applyProtection="1">
      <alignment horizontal="right" vertical="center"/>
    </xf>
    <xf numFmtId="0" fontId="82" fillId="0" borderId="0" xfId="0" applyFont="1" applyFill="1" applyBorder="1" applyAlignment="1">
      <alignment horizontal="left" vertical="center"/>
    </xf>
    <xf numFmtId="4" fontId="82" fillId="0" borderId="0" xfId="0" applyNumberFormat="1" applyFont="1" applyFill="1" applyBorder="1" applyAlignment="1">
      <alignment horizontal="left"/>
    </xf>
    <xf numFmtId="0" fontId="0" fillId="0" borderId="11" xfId="0" applyBorder="1"/>
    <xf numFmtId="10" fontId="11" fillId="2" borderId="37" xfId="0" applyNumberFormat="1" applyFont="1" applyFill="1" applyBorder="1" applyAlignment="1" applyProtection="1">
      <alignment horizontal="right" vertical="center"/>
    </xf>
    <xf numFmtId="0" fontId="11" fillId="4" borderId="11" xfId="0" applyFont="1" applyFill="1" applyBorder="1" applyAlignment="1" applyProtection="1">
      <alignment horizontal="center" vertical="center" wrapText="1"/>
    </xf>
    <xf numFmtId="164" fontId="11" fillId="2" borderId="59" xfId="0" applyNumberFormat="1" applyFont="1" applyFill="1" applyBorder="1" applyAlignment="1" applyProtection="1">
      <alignment horizontal="right" vertical="center"/>
    </xf>
    <xf numFmtId="0" fontId="11" fillId="2" borderId="60" xfId="0" applyFont="1" applyFill="1" applyBorder="1" applyAlignment="1" applyProtection="1">
      <alignment horizontal="center" vertical="center" wrapText="1"/>
    </xf>
    <xf numFmtId="4" fontId="78" fillId="0" borderId="0" xfId="0" applyNumberFormat="1" applyFont="1" applyFill="1" applyBorder="1" applyAlignment="1">
      <alignment horizontal="left"/>
    </xf>
    <xf numFmtId="164" fontId="11" fillId="2" borderId="36" xfId="0" applyNumberFormat="1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 applyProtection="1">
      <alignment horizontal="right" vertical="center" wrapText="1"/>
    </xf>
    <xf numFmtId="0" fontId="11" fillId="0" borderId="13" xfId="0" applyFont="1" applyFill="1" applyBorder="1" applyAlignment="1" applyProtection="1">
      <alignment horizontal="right" vertical="center" wrapText="1"/>
    </xf>
    <xf numFmtId="166" fontId="4" fillId="0" borderId="12" xfId="0" applyNumberFormat="1" applyFont="1" applyFill="1" applyBorder="1" applyAlignment="1"/>
    <xf numFmtId="166" fontId="4" fillId="0" borderId="13" xfId="0" applyNumberFormat="1" applyFont="1" applyFill="1" applyBorder="1"/>
    <xf numFmtId="166" fontId="4" fillId="0" borderId="41" xfId="0" applyNumberFormat="1" applyFont="1" applyFill="1" applyBorder="1"/>
    <xf numFmtId="0" fontId="38" fillId="0" borderId="15" xfId="0" applyFont="1" applyFill="1" applyBorder="1" applyAlignment="1">
      <alignment horizontal="left"/>
    </xf>
    <xf numFmtId="0" fontId="76" fillId="0" borderId="0" xfId="4"/>
    <xf numFmtId="0" fontId="83" fillId="0" borderId="37" xfId="4" applyFont="1" applyFill="1" applyBorder="1" applyAlignment="1">
      <alignment horizontal="center" vertical="center"/>
    </xf>
    <xf numFmtId="0" fontId="83" fillId="0" borderId="15" xfId="4" applyFont="1" applyBorder="1" applyAlignment="1">
      <alignment horizontal="center" vertical="center"/>
    </xf>
    <xf numFmtId="0" fontId="83" fillId="0" borderId="13" xfId="4" applyFont="1" applyBorder="1" applyAlignment="1">
      <alignment horizontal="center" vertical="center"/>
    </xf>
    <xf numFmtId="0" fontId="84" fillId="0" borderId="0" xfId="0" applyFont="1"/>
    <xf numFmtId="0" fontId="81" fillId="0" borderId="0" xfId="0" applyFont="1"/>
    <xf numFmtId="0" fontId="8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16" borderId="0" xfId="0" applyFont="1" applyFill="1" applyBorder="1" applyAlignment="1" applyProtection="1">
      <alignment vertical="center"/>
    </xf>
    <xf numFmtId="4" fontId="4" fillId="16" borderId="0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right"/>
    </xf>
    <xf numFmtId="49" fontId="11" fillId="0" borderId="7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 wrapText="1"/>
    </xf>
    <xf numFmtId="0" fontId="0" fillId="0" borderId="0" xfId="0" applyFill="1" applyAlignment="1">
      <alignment vertical="center"/>
    </xf>
    <xf numFmtId="0" fontId="77" fillId="0" borderId="0" xfId="0" applyFont="1" applyFill="1"/>
    <xf numFmtId="0" fontId="4" fillId="4" borderId="0" xfId="0" applyFont="1" applyFill="1" applyAlignment="1">
      <alignment horizontal="left" vertical="top" textRotation="90" wrapText="1"/>
    </xf>
    <xf numFmtId="0" fontId="85" fillId="0" borderId="0" xfId="4" applyFont="1" applyAlignment="1">
      <alignment vertical="center"/>
    </xf>
    <xf numFmtId="0" fontId="85" fillId="0" borderId="0" xfId="4" applyFont="1" applyFill="1" applyBorder="1" applyAlignment="1">
      <alignment vertical="center"/>
    </xf>
    <xf numFmtId="10" fontId="4" fillId="8" borderId="23" xfId="0" applyNumberFormat="1" applyFont="1" applyFill="1" applyBorder="1"/>
    <xf numFmtId="10" fontId="4" fillId="8" borderId="0" xfId="0" applyNumberFormat="1" applyFont="1" applyFill="1" applyBorder="1"/>
    <xf numFmtId="10" fontId="4" fillId="8" borderId="48" xfId="0" applyNumberFormat="1" applyFont="1" applyFill="1" applyBorder="1"/>
    <xf numFmtId="10" fontId="4" fillId="8" borderId="13" xfId="0" applyNumberFormat="1" applyFont="1" applyFill="1" applyBorder="1"/>
    <xf numFmtId="0" fontId="11" fillId="17" borderId="0" xfId="0" applyFont="1" applyFill="1" applyAlignment="1">
      <alignment horizontal="center"/>
    </xf>
    <xf numFmtId="3" fontId="11" fillId="17" borderId="0" xfId="0" applyNumberFormat="1" applyFont="1" applyFill="1" applyAlignment="1">
      <alignment horizontal="center"/>
    </xf>
    <xf numFmtId="3" fontId="38" fillId="0" borderId="14" xfId="0" applyNumberFormat="1" applyFont="1" applyFill="1" applyBorder="1" applyAlignment="1">
      <alignment horizontal="right"/>
    </xf>
    <xf numFmtId="0" fontId="51" fillId="0" borderId="0" xfId="0" applyFont="1"/>
    <xf numFmtId="0" fontId="48" fillId="0" borderId="49" xfId="0" applyFont="1" applyBorder="1"/>
    <xf numFmtId="0" fontId="38" fillId="0" borderId="3" xfId="0" applyFont="1" applyFill="1" applyBorder="1" applyAlignment="1">
      <alignment horizontal="left"/>
    </xf>
    <xf numFmtId="0" fontId="48" fillId="0" borderId="32" xfId="0" applyFont="1" applyBorder="1"/>
    <xf numFmtId="0" fontId="48" fillId="0" borderId="26" xfId="0" applyFont="1" applyBorder="1"/>
    <xf numFmtId="0" fontId="48" fillId="0" borderId="50" xfId="0" applyFont="1" applyBorder="1"/>
    <xf numFmtId="0" fontId="0" fillId="0" borderId="13" xfId="0" applyFill="1" applyBorder="1"/>
    <xf numFmtId="0" fontId="0" fillId="0" borderId="15" xfId="0" applyFill="1" applyBorder="1"/>
    <xf numFmtId="0" fontId="0" fillId="0" borderId="25" xfId="0" applyFill="1" applyBorder="1"/>
    <xf numFmtId="0" fontId="0" fillId="0" borderId="27" xfId="0" applyFill="1" applyBorder="1"/>
    <xf numFmtId="0" fontId="4" fillId="2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0" fontId="40" fillId="0" borderId="26" xfId="0" applyNumberFormat="1" applyFont="1" applyBorder="1" applyAlignment="1">
      <alignment horizontal="right" indent="1"/>
    </xf>
    <xf numFmtId="167" fontId="86" fillId="2" borderId="1" xfId="0" applyNumberFormat="1" applyFont="1" applyFill="1" applyBorder="1" applyAlignment="1" applyProtection="1">
      <alignment horizontal="right" vertical="center"/>
    </xf>
    <xf numFmtId="0" fontId="86" fillId="0" borderId="2" xfId="0" applyFont="1" applyFill="1" applyBorder="1" applyAlignment="1" applyProtection="1">
      <alignment horizontal="right" vertical="center" wrapText="1" indent="1"/>
    </xf>
    <xf numFmtId="166" fontId="86" fillId="0" borderId="44" xfId="0" applyNumberFormat="1" applyFont="1" applyFill="1" applyBorder="1" applyAlignment="1" applyProtection="1">
      <alignment horizontal="right" vertical="center" indent="1"/>
    </xf>
    <xf numFmtId="166" fontId="86" fillId="8" borderId="45" xfId="0" applyNumberFormat="1" applyFont="1" applyFill="1" applyBorder="1" applyAlignment="1">
      <alignment horizontal="right" indent="1"/>
    </xf>
    <xf numFmtId="166" fontId="86" fillId="8" borderId="44" xfId="0" applyNumberFormat="1" applyFont="1" applyFill="1" applyBorder="1" applyAlignment="1">
      <alignment horizontal="right" indent="1"/>
    </xf>
    <xf numFmtId="166" fontId="86" fillId="8" borderId="6" xfId="0" applyNumberFormat="1" applyFont="1" applyFill="1" applyBorder="1" applyAlignment="1">
      <alignment horizontal="right" indent="1"/>
    </xf>
    <xf numFmtId="0" fontId="11" fillId="15" borderId="24" xfId="0" applyFont="1" applyFill="1" applyBorder="1" applyAlignment="1" applyProtection="1">
      <alignment horizontal="center" vertical="center" wrapText="1"/>
    </xf>
    <xf numFmtId="0" fontId="86" fillId="0" borderId="2" xfId="0" applyFont="1" applyFill="1" applyBorder="1" applyAlignment="1" applyProtection="1">
      <alignment horizontal="center" vertical="center" wrapText="1"/>
    </xf>
    <xf numFmtId="168" fontId="0" fillId="0" borderId="0" xfId="0" applyNumberFormat="1"/>
    <xf numFmtId="10" fontId="4" fillId="16" borderId="0" xfId="0" applyNumberFormat="1" applyFont="1" applyFill="1"/>
    <xf numFmtId="10" fontId="4" fillId="16" borderId="1" xfId="0" applyNumberFormat="1" applyFont="1" applyFill="1" applyBorder="1"/>
    <xf numFmtId="3" fontId="87" fillId="0" borderId="8" xfId="0" applyNumberFormat="1" applyFont="1" applyBorder="1" applyAlignment="1">
      <alignment horizontal="right" indent="1"/>
    </xf>
    <xf numFmtId="3" fontId="87" fillId="0" borderId="26" xfId="0" applyNumberFormat="1" applyFont="1" applyBorder="1" applyAlignment="1">
      <alignment horizontal="right"/>
    </xf>
    <xf numFmtId="3" fontId="87" fillId="0" borderId="51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/>
    </xf>
    <xf numFmtId="3" fontId="87" fillId="0" borderId="26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 indent="1"/>
    </xf>
    <xf numFmtId="3" fontId="87" fillId="0" borderId="28" xfId="0" applyNumberFormat="1" applyFont="1" applyBorder="1" applyAlignment="1">
      <alignment horizontal="right" indent="1"/>
    </xf>
    <xf numFmtId="3" fontId="87" fillId="0" borderId="34" xfId="0" applyNumberFormat="1" applyFont="1" applyBorder="1" applyAlignment="1">
      <alignment horizontal="right" indent="1"/>
    </xf>
    <xf numFmtId="3" fontId="46" fillId="0" borderId="6" xfId="0" applyNumberFormat="1" applyFont="1" applyBorder="1" applyAlignment="1">
      <alignment horizontal="center" shrinkToFit="1"/>
    </xf>
    <xf numFmtId="3" fontId="46" fillId="0" borderId="3" xfId="0" applyNumberFormat="1" applyFont="1" applyBorder="1" applyAlignment="1">
      <alignment horizontal="right" shrinkToFit="1"/>
    </xf>
    <xf numFmtId="10" fontId="46" fillId="0" borderId="3" xfId="0" applyNumberFormat="1" applyFont="1" applyBorder="1" applyAlignment="1">
      <alignment horizontal="right" shrinkToFit="1"/>
    </xf>
    <xf numFmtId="10" fontId="47" fillId="0" borderId="15" xfId="0" applyNumberFormat="1" applyFont="1" applyBorder="1" applyAlignment="1">
      <alignment horizontal="center" shrinkToFit="1"/>
    </xf>
    <xf numFmtId="10" fontId="64" fillId="0" borderId="3" xfId="0" applyNumberFormat="1" applyFont="1" applyBorder="1" applyAlignment="1">
      <alignment horizontal="center" shrinkToFit="1"/>
    </xf>
    <xf numFmtId="3" fontId="46" fillId="0" borderId="14" xfId="0" applyNumberFormat="1" applyFont="1" applyBorder="1" applyAlignment="1">
      <alignment horizontal="right" shrinkToFit="1"/>
    </xf>
    <xf numFmtId="10" fontId="63" fillId="0" borderId="3" xfId="0" applyNumberFormat="1" applyFont="1" applyBorder="1" applyAlignment="1">
      <alignment shrinkToFit="1"/>
    </xf>
    <xf numFmtId="4" fontId="88" fillId="0" borderId="0" xfId="0" applyNumberFormat="1" applyFont="1" applyFill="1" applyBorder="1" applyAlignment="1">
      <alignment horizontal="left"/>
    </xf>
    <xf numFmtId="10" fontId="88" fillId="0" borderId="0" xfId="0" applyNumberFormat="1" applyFont="1" applyFill="1" applyBorder="1" applyAlignment="1">
      <alignment horizontal="right" indent="2"/>
    </xf>
    <xf numFmtId="2" fontId="4" fillId="0" borderId="0" xfId="0" applyNumberFormat="1" applyFont="1"/>
    <xf numFmtId="0" fontId="84" fillId="0" borderId="0" xfId="0" applyFont="1" applyAlignment="1">
      <alignment horizontal="right"/>
    </xf>
    <xf numFmtId="0" fontId="0" fillId="0" borderId="13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89" fillId="0" borderId="0" xfId="0" applyFont="1"/>
    <xf numFmtId="164" fontId="4" fillId="0" borderId="61" xfId="0" applyNumberFormat="1" applyFont="1" applyFill="1" applyBorder="1" applyAlignment="1" applyProtection="1">
      <alignment horizontal="right" vertical="center"/>
    </xf>
    <xf numFmtId="164" fontId="4" fillId="0" borderId="62" xfId="0" applyNumberFormat="1" applyFont="1" applyFill="1" applyBorder="1" applyAlignment="1" applyProtection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49" fontId="11" fillId="0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left" vertical="center"/>
    </xf>
    <xf numFmtId="0" fontId="75" fillId="0" borderId="0" xfId="0" applyFont="1" applyFill="1"/>
    <xf numFmtId="3" fontId="11" fillId="17" borderId="0" xfId="0" applyNumberFormat="1" applyFont="1" applyFill="1" applyBorder="1"/>
    <xf numFmtId="3" fontId="4" fillId="17" borderId="0" xfId="0" applyNumberFormat="1" applyFont="1" applyFill="1" applyBorder="1"/>
    <xf numFmtId="10" fontId="4" fillId="0" borderId="40" xfId="0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0" fillId="0" borderId="0" xfId="0" applyFont="1" applyFill="1" applyBorder="1" applyAlignment="1" applyProtection="1">
      <alignment horizontal="right" vertical="center"/>
    </xf>
    <xf numFmtId="0" fontId="90" fillId="0" borderId="0" xfId="0" applyFont="1" applyFill="1" applyAlignment="1" applyProtection="1">
      <alignment horizontal="right" vertical="center"/>
    </xf>
    <xf numFmtId="10" fontId="4" fillId="8" borderId="3" xfId="0" applyNumberFormat="1" applyFont="1" applyFill="1" applyBorder="1"/>
    <xf numFmtId="0" fontId="4" fillId="0" borderId="0" xfId="0" applyFont="1" applyFill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indent="1"/>
    </xf>
    <xf numFmtId="49" fontId="11" fillId="0" borderId="7" xfId="0" applyNumberFormat="1" applyFont="1" applyBorder="1" applyAlignment="1">
      <alignment horizontal="left" indent="2"/>
    </xf>
    <xf numFmtId="49" fontId="11" fillId="0" borderId="8" xfId="0" applyNumberFormat="1" applyFont="1" applyBorder="1" applyAlignment="1">
      <alignment horizontal="left" wrapText="1" indent="2"/>
    </xf>
    <xf numFmtId="49" fontId="11" fillId="0" borderId="8" xfId="0" applyNumberFormat="1" applyFont="1" applyBorder="1" applyAlignment="1">
      <alignment horizontal="left" indent="2"/>
    </xf>
    <xf numFmtId="49" fontId="11" fillId="0" borderId="9" xfId="0" applyNumberFormat="1" applyFont="1" applyBorder="1" applyAlignment="1">
      <alignment horizontal="left" indent="2"/>
    </xf>
    <xf numFmtId="49" fontId="11" fillId="0" borderId="7" xfId="0" applyNumberFormat="1" applyFont="1" applyBorder="1" applyAlignment="1">
      <alignment horizontal="center"/>
    </xf>
    <xf numFmtId="10" fontId="4" fillId="17" borderId="0" xfId="0" applyNumberFormat="1" applyFont="1" applyFill="1"/>
    <xf numFmtId="0" fontId="4" fillId="17" borderId="0" xfId="0" applyFont="1" applyFill="1"/>
    <xf numFmtId="3" fontId="4" fillId="17" borderId="0" xfId="0" applyNumberFormat="1" applyFont="1" applyFill="1"/>
    <xf numFmtId="0" fontId="4" fillId="18" borderId="0" xfId="0" applyFont="1" applyFill="1"/>
    <xf numFmtId="3" fontId="4" fillId="18" borderId="0" xfId="0" applyNumberFormat="1" applyFont="1" applyFill="1"/>
    <xf numFmtId="10" fontId="4" fillId="18" borderId="0" xfId="0" applyNumberFormat="1" applyFont="1" applyFill="1"/>
    <xf numFmtId="3" fontId="4" fillId="17" borderId="11" xfId="0" applyNumberFormat="1" applyFont="1" applyFill="1" applyBorder="1"/>
    <xf numFmtId="3" fontId="78" fillId="18" borderId="0" xfId="0" applyNumberFormat="1" applyFont="1" applyFill="1"/>
    <xf numFmtId="0" fontId="93" fillId="19" borderId="0" xfId="0" applyFont="1" applyFill="1" applyAlignment="1">
      <alignment horizontal="center"/>
    </xf>
    <xf numFmtId="0" fontId="0" fillId="19" borderId="0" xfId="0" applyFill="1" applyAlignment="1">
      <alignment vertical="center"/>
    </xf>
    <xf numFmtId="0" fontId="0" fillId="19" borderId="0" xfId="0" applyFill="1"/>
    <xf numFmtId="0" fontId="53" fillId="19" borderId="0" xfId="1" applyFont="1" applyFill="1" applyAlignment="1" applyProtection="1">
      <alignment horizontal="center" vertical="center"/>
      <protection locked="0"/>
    </xf>
    <xf numFmtId="0" fontId="56" fillId="19" borderId="0" xfId="0" applyFont="1" applyFill="1" applyAlignment="1">
      <alignment horizontal="center"/>
    </xf>
    <xf numFmtId="0" fontId="57" fillId="19" borderId="0" xfId="0" applyFont="1" applyFill="1" applyAlignment="1">
      <alignment horizontal="center" vertical="center"/>
    </xf>
    <xf numFmtId="0" fontId="51" fillId="19" borderId="0" xfId="0" applyFont="1" applyFill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55" fillId="19" borderId="0" xfId="0" applyFont="1" applyFill="1" applyAlignment="1"/>
    <xf numFmtId="0" fontId="51" fillId="19" borderId="0" xfId="0" applyFont="1" applyFill="1"/>
    <xf numFmtId="0" fontId="4" fillId="19" borderId="0" xfId="0" applyFont="1" applyFill="1" applyBorder="1"/>
    <xf numFmtId="0" fontId="58" fillId="19" borderId="0" xfId="0" applyFont="1" applyFill="1" applyAlignment="1">
      <alignment horizontal="center"/>
    </xf>
    <xf numFmtId="0" fontId="33" fillId="19" borderId="0" xfId="0" applyFont="1" applyFill="1" applyBorder="1" applyAlignment="1">
      <alignment horizontal="center" vertical="center" wrapText="1"/>
    </xf>
    <xf numFmtId="0" fontId="43" fillId="19" borderId="0" xfId="0" applyFont="1" applyFill="1" applyBorder="1" applyAlignment="1">
      <alignment horizontal="center" vertical="center" wrapText="1"/>
    </xf>
    <xf numFmtId="0" fontId="33" fillId="19" borderId="0" xfId="0" applyFont="1" applyFill="1" applyBorder="1" applyAlignment="1">
      <alignment horizontal="center" vertical="top" wrapText="1"/>
    </xf>
    <xf numFmtId="0" fontId="50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vertical="center"/>
    </xf>
    <xf numFmtId="0" fontId="40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left" vertical="center" wrapText="1" indent="2"/>
    </xf>
    <xf numFmtId="165" fontId="15" fillId="19" borderId="0" xfId="0" applyNumberFormat="1" applyFont="1" applyFill="1" applyBorder="1" applyAlignment="1">
      <alignment horizontal="right" vertical="center" indent="1"/>
    </xf>
    <xf numFmtId="0" fontId="15" fillId="19" borderId="0" xfId="0" applyFont="1" applyFill="1" applyBorder="1" applyAlignment="1">
      <alignment horizontal="left" vertical="center" wrapText="1" indent="2"/>
    </xf>
    <xf numFmtId="165" fontId="17" fillId="19" borderId="0" xfId="0" applyNumberFormat="1" applyFont="1" applyFill="1" applyBorder="1" applyAlignment="1">
      <alignment horizontal="center"/>
    </xf>
    <xf numFmtId="165" fontId="61" fillId="19" borderId="0" xfId="0" applyNumberFormat="1" applyFont="1" applyFill="1" applyBorder="1" applyAlignment="1">
      <alignment horizontal="center" shrinkToFit="1"/>
    </xf>
    <xf numFmtId="165" fontId="57" fillId="19" borderId="0" xfId="0" applyNumberFormat="1" applyFont="1" applyFill="1" applyBorder="1" applyAlignment="1">
      <alignment horizontal="center" shrinkToFit="1"/>
    </xf>
    <xf numFmtId="165" fontId="73" fillId="19" borderId="0" xfId="0" applyNumberFormat="1" applyFont="1" applyFill="1" applyBorder="1" applyAlignment="1">
      <alignment horizontal="center"/>
    </xf>
    <xf numFmtId="0" fontId="96" fillId="19" borderId="0" xfId="0" applyFont="1" applyFill="1" applyBorder="1" applyAlignment="1">
      <alignment horizontal="center" vertical="center"/>
    </xf>
    <xf numFmtId="0" fontId="95" fillId="19" borderId="0" xfId="0" applyFont="1" applyFill="1" applyBorder="1" applyAlignment="1">
      <alignment horizontal="center" vertical="center"/>
    </xf>
    <xf numFmtId="0" fontId="52" fillId="19" borderId="0" xfId="0" applyFont="1" applyFill="1" applyBorder="1" applyAlignment="1">
      <alignment horizontal="center" vertical="center"/>
    </xf>
    <xf numFmtId="0" fontId="42" fillId="19" borderId="0" xfId="0" applyFont="1" applyFill="1" applyBorder="1" applyAlignment="1">
      <alignment horizontal="center" vertical="center" wrapText="1"/>
    </xf>
    <xf numFmtId="0" fontId="34" fillId="19" borderId="0" xfId="0" applyFont="1" applyFill="1" applyBorder="1" applyAlignment="1">
      <alignment horizontal="center" vertical="center" wrapText="1"/>
    </xf>
    <xf numFmtId="0" fontId="52" fillId="19" borderId="0" xfId="0" applyFont="1" applyFill="1" applyBorder="1" applyAlignment="1">
      <alignment horizontal="center" vertical="center" wrapText="1"/>
    </xf>
    <xf numFmtId="0" fontId="0" fillId="19" borderId="0" xfId="0" applyFill="1" applyBorder="1"/>
    <xf numFmtId="0" fontId="34" fillId="19" borderId="70" xfId="0" applyFont="1" applyFill="1" applyBorder="1" applyAlignment="1">
      <alignment horizontal="center" vertical="center" wrapText="1"/>
    </xf>
    <xf numFmtId="165" fontId="34" fillId="19" borderId="71" xfId="0" applyNumberFormat="1" applyFont="1" applyFill="1" applyBorder="1" applyAlignment="1">
      <alignment horizontal="right" vertical="center" shrinkToFit="1"/>
    </xf>
    <xf numFmtId="0" fontId="58" fillId="19" borderId="0" xfId="0" applyFont="1" applyFill="1" applyBorder="1" applyAlignment="1">
      <alignment horizontal="center"/>
    </xf>
    <xf numFmtId="165" fontId="71" fillId="19" borderId="0" xfId="0" applyNumberFormat="1" applyFont="1" applyFill="1" applyBorder="1" applyAlignment="1">
      <alignment horizontal="right" vertical="center" shrinkToFit="1"/>
    </xf>
    <xf numFmtId="165" fontId="34" fillId="19" borderId="0" xfId="0" applyNumberFormat="1" applyFont="1" applyFill="1" applyBorder="1" applyAlignment="1">
      <alignment horizontal="right" vertical="center" shrinkToFit="1"/>
    </xf>
    <xf numFmtId="0" fontId="42" fillId="22" borderId="74" xfId="0" applyFont="1" applyFill="1" applyBorder="1" applyAlignment="1">
      <alignment horizontal="center" vertical="center" wrapText="1"/>
    </xf>
    <xf numFmtId="0" fontId="34" fillId="22" borderId="74" xfId="0" applyFont="1" applyFill="1" applyBorder="1" applyAlignment="1">
      <alignment horizontal="center" vertical="center" wrapText="1"/>
    </xf>
    <xf numFmtId="0" fontId="52" fillId="22" borderId="74" xfId="0" applyFont="1" applyFill="1" applyBorder="1" applyAlignment="1">
      <alignment horizontal="center" vertical="center" wrapText="1"/>
    </xf>
    <xf numFmtId="0" fontId="52" fillId="19" borderId="81" xfId="0" applyFont="1" applyFill="1" applyBorder="1" applyAlignment="1">
      <alignment horizontal="center" vertical="center" wrapText="1"/>
    </xf>
    <xf numFmtId="165" fontId="33" fillId="21" borderId="80" xfId="0" applyNumberFormat="1" applyFont="1" applyFill="1" applyBorder="1" applyAlignment="1">
      <alignment horizontal="right" vertical="center" shrinkToFit="1"/>
    </xf>
    <xf numFmtId="165" fontId="34" fillId="21" borderId="80" xfId="0" applyNumberFormat="1" applyFont="1" applyFill="1" applyBorder="1" applyAlignment="1">
      <alignment horizontal="right" vertical="center" shrinkToFit="1"/>
    </xf>
    <xf numFmtId="165" fontId="99" fillId="21" borderId="80" xfId="0" applyNumberFormat="1" applyFont="1" applyFill="1" applyBorder="1" applyAlignment="1">
      <alignment horizontal="right" vertical="center" indent="1"/>
    </xf>
    <xf numFmtId="0" fontId="102" fillId="19" borderId="85" xfId="0" applyFont="1" applyFill="1" applyBorder="1" applyAlignment="1">
      <alignment horizontal="center" vertical="center" wrapText="1"/>
    </xf>
    <xf numFmtId="165" fontId="37" fillId="19" borderId="85" xfId="0" applyNumberFormat="1" applyFont="1" applyFill="1" applyBorder="1" applyAlignment="1">
      <alignment horizontal="right" vertical="center" shrinkToFit="1"/>
    </xf>
    <xf numFmtId="165" fontId="71" fillId="19" borderId="85" xfId="0" applyNumberFormat="1" applyFont="1" applyFill="1" applyBorder="1" applyAlignment="1">
      <alignment horizontal="right" vertical="center" shrinkToFit="1"/>
    </xf>
    <xf numFmtId="165" fontId="72" fillId="19" borderId="85" xfId="0" applyNumberFormat="1" applyFont="1" applyFill="1" applyBorder="1" applyAlignment="1">
      <alignment horizontal="right" vertical="center" indent="1"/>
    </xf>
    <xf numFmtId="165" fontId="103" fillId="19" borderId="80" xfId="0" applyNumberFormat="1" applyFont="1" applyFill="1" applyBorder="1" applyAlignment="1">
      <alignment horizontal="right" vertical="center" shrinkToFit="1"/>
    </xf>
    <xf numFmtId="165" fontId="104" fillId="19" borderId="80" xfId="0" applyNumberFormat="1" applyFont="1" applyFill="1" applyBorder="1" applyAlignment="1">
      <alignment horizontal="right" vertical="center" shrinkToFit="1"/>
    </xf>
    <xf numFmtId="165" fontId="104" fillId="19" borderId="0" xfId="0" applyNumberFormat="1" applyFont="1" applyFill="1" applyBorder="1" applyAlignment="1">
      <alignment horizontal="right" vertical="center" shrinkToFit="1"/>
    </xf>
    <xf numFmtId="165" fontId="105" fillId="19" borderId="80" xfId="0" applyNumberFormat="1" applyFont="1" applyFill="1" applyBorder="1" applyAlignment="1">
      <alignment horizontal="right" vertical="center" indent="1"/>
    </xf>
    <xf numFmtId="0" fontId="106" fillId="0" borderId="8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5" fontId="103" fillId="19" borderId="0" xfId="0" applyNumberFormat="1" applyFont="1" applyFill="1" applyBorder="1" applyAlignment="1">
      <alignment horizontal="right" vertical="center" shrinkToFit="1"/>
    </xf>
    <xf numFmtId="165" fontId="37" fillId="19" borderId="0" xfId="0" applyNumberFormat="1" applyFont="1" applyFill="1" applyBorder="1" applyAlignment="1">
      <alignment horizontal="right" vertical="center" shrinkToFit="1"/>
    </xf>
    <xf numFmtId="165" fontId="105" fillId="19" borderId="0" xfId="0" applyNumberFormat="1" applyFont="1" applyFill="1" applyBorder="1" applyAlignment="1">
      <alignment horizontal="right" vertical="center" indent="1"/>
    </xf>
    <xf numFmtId="165" fontId="36" fillId="19" borderId="0" xfId="0" applyNumberFormat="1" applyFont="1" applyFill="1" applyBorder="1" applyAlignment="1">
      <alignment horizontal="right" vertical="center" indent="1"/>
    </xf>
    <xf numFmtId="0" fontId="106" fillId="0" borderId="65" xfId="0" applyFont="1" applyFill="1" applyBorder="1" applyAlignment="1">
      <alignment horizontal="center" vertical="center" wrapText="1"/>
    </xf>
    <xf numFmtId="165" fontId="103" fillId="19" borderId="65" xfId="0" applyNumberFormat="1" applyFont="1" applyFill="1" applyBorder="1" applyAlignment="1">
      <alignment horizontal="right" vertical="center" shrinkToFit="1"/>
    </xf>
    <xf numFmtId="165" fontId="33" fillId="23" borderId="65" xfId="0" applyNumberFormat="1" applyFont="1" applyFill="1" applyBorder="1" applyAlignment="1">
      <alignment horizontal="right" vertical="center" shrinkToFit="1"/>
    </xf>
    <xf numFmtId="165" fontId="104" fillId="19" borderId="65" xfId="0" applyNumberFormat="1" applyFont="1" applyFill="1" applyBorder="1" applyAlignment="1">
      <alignment horizontal="right" vertical="center" shrinkToFit="1"/>
    </xf>
    <xf numFmtId="165" fontId="34" fillId="23" borderId="65" xfId="0" applyNumberFormat="1" applyFont="1" applyFill="1" applyBorder="1" applyAlignment="1">
      <alignment horizontal="right" vertical="center" shrinkToFit="1"/>
    </xf>
    <xf numFmtId="165" fontId="105" fillId="19" borderId="65" xfId="0" applyNumberFormat="1" applyFont="1" applyFill="1" applyBorder="1" applyAlignment="1">
      <alignment horizontal="right" vertical="center" indent="1"/>
    </xf>
    <xf numFmtId="165" fontId="99" fillId="23" borderId="65" xfId="0" applyNumberFormat="1" applyFont="1" applyFill="1" applyBorder="1" applyAlignment="1">
      <alignment horizontal="right" vertical="center" indent="1"/>
    </xf>
    <xf numFmtId="0" fontId="56" fillId="19" borderId="0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9" fillId="19" borderId="0" xfId="0" applyFont="1" applyFill="1" applyBorder="1"/>
    <xf numFmtId="165" fontId="103" fillId="27" borderId="90" xfId="0" applyNumberFormat="1" applyFont="1" applyFill="1" applyBorder="1" applyAlignment="1">
      <alignment horizontal="right" vertical="center" shrinkToFit="1"/>
    </xf>
    <xf numFmtId="165" fontId="104" fillId="27" borderId="90" xfId="0" applyNumberFormat="1" applyFont="1" applyFill="1" applyBorder="1" applyAlignment="1">
      <alignment horizontal="right" vertical="center" shrinkToFit="1"/>
    </xf>
    <xf numFmtId="165" fontId="105" fillId="27" borderId="90" xfId="0" applyNumberFormat="1" applyFont="1" applyFill="1" applyBorder="1" applyAlignment="1">
      <alignment horizontal="right" vertical="center" indent="1"/>
    </xf>
    <xf numFmtId="165" fontId="103" fillId="19" borderId="94" xfId="0" applyNumberFormat="1" applyFont="1" applyFill="1" applyBorder="1" applyAlignment="1">
      <alignment horizontal="right" vertical="center" shrinkToFit="1"/>
    </xf>
    <xf numFmtId="165" fontId="104" fillId="19" borderId="94" xfId="0" applyNumberFormat="1" applyFont="1" applyFill="1" applyBorder="1" applyAlignment="1">
      <alignment horizontal="right" vertical="center" shrinkToFit="1"/>
    </xf>
    <xf numFmtId="165" fontId="105" fillId="19" borderId="94" xfId="0" applyNumberFormat="1" applyFont="1" applyFill="1" applyBorder="1" applyAlignment="1">
      <alignment horizontal="right" vertical="center" indent="1"/>
    </xf>
    <xf numFmtId="0" fontId="106" fillId="0" borderId="94" xfId="0" applyFont="1" applyFill="1" applyBorder="1" applyAlignment="1">
      <alignment horizontal="center" vertical="center" wrapText="1"/>
    </xf>
    <xf numFmtId="0" fontId="65" fillId="19" borderId="0" xfId="0" applyFont="1" applyFill="1" applyAlignment="1">
      <alignment horizontal="center"/>
    </xf>
    <xf numFmtId="0" fontId="113" fillId="19" borderId="0" xfId="1" applyFont="1" applyFill="1" applyAlignment="1" applyProtection="1">
      <alignment horizontal="center" vertical="center"/>
      <protection locked="0"/>
    </xf>
    <xf numFmtId="0" fontId="77" fillId="19" borderId="0" xfId="0" applyFont="1" applyFill="1"/>
    <xf numFmtId="0" fontId="80" fillId="19" borderId="0" xfId="0" applyFont="1" applyFill="1" applyAlignment="1">
      <alignment horizontal="center"/>
    </xf>
    <xf numFmtId="0" fontId="79" fillId="19" borderId="0" xfId="0" applyFont="1" applyFill="1" applyAlignment="1">
      <alignment horizontal="center"/>
    </xf>
    <xf numFmtId="0" fontId="3" fillId="19" borderId="0" xfId="0" applyFont="1" applyFill="1"/>
    <xf numFmtId="0" fontId="66" fillId="19" borderId="0" xfId="0" applyFont="1" applyFill="1" applyAlignment="1"/>
    <xf numFmtId="0" fontId="97" fillId="19" borderId="89" xfId="0" applyFont="1" applyFill="1" applyBorder="1" applyAlignment="1">
      <alignment horizontal="center" vertical="center" wrapText="1" shrinkToFit="1"/>
    </xf>
    <xf numFmtId="0" fontId="97" fillId="19" borderId="89" xfId="0" applyFont="1" applyFill="1" applyBorder="1" applyAlignment="1">
      <alignment horizontal="center" vertical="center" wrapText="1"/>
    </xf>
    <xf numFmtId="0" fontId="33" fillId="19" borderId="89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top" wrapText="1"/>
    </xf>
    <xf numFmtId="0" fontId="29" fillId="21" borderId="0" xfId="0" applyFont="1" applyFill="1"/>
    <xf numFmtId="0" fontId="0" fillId="21" borderId="0" xfId="0" applyFill="1"/>
    <xf numFmtId="0" fontId="24" fillId="21" borderId="0" xfId="0" applyFont="1" applyFill="1"/>
    <xf numFmtId="0" fontId="13" fillId="21" borderId="0" xfId="0" applyFont="1" applyFill="1" applyAlignment="1">
      <alignment horizontal="center" vertical="center"/>
    </xf>
    <xf numFmtId="0" fontId="117" fillId="21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18" fillId="21" borderId="0" xfId="0" applyFont="1" applyFill="1" applyAlignment="1">
      <alignment horizontal="right"/>
    </xf>
    <xf numFmtId="0" fontId="22" fillId="21" borderId="0" xfId="0" applyFont="1" applyFill="1" applyAlignment="1">
      <alignment horizontal="right"/>
    </xf>
    <xf numFmtId="0" fontId="49" fillId="21" borderId="0" xfId="0" applyFont="1" applyFill="1" applyAlignment="1"/>
    <xf numFmtId="0" fontId="0" fillId="21" borderId="0" xfId="0" applyFill="1" applyAlignment="1"/>
    <xf numFmtId="0" fontId="20" fillId="21" borderId="0" xfId="0" applyFont="1" applyFill="1" applyAlignment="1"/>
    <xf numFmtId="0" fontId="20" fillId="21" borderId="0" xfId="0" applyFont="1" applyFill="1" applyAlignment="1">
      <alignment horizontal="left"/>
    </xf>
    <xf numFmtId="0" fontId="31" fillId="21" borderId="0" xfId="0" applyFont="1" applyFill="1" applyAlignment="1"/>
    <xf numFmtId="0" fontId="0" fillId="28" borderId="17" xfId="0" applyFill="1" applyBorder="1"/>
    <xf numFmtId="0" fontId="0" fillId="28" borderId="16" xfId="0" applyFill="1" applyBorder="1"/>
    <xf numFmtId="0" fontId="18" fillId="28" borderId="18" xfId="0" applyFont="1" applyFill="1" applyBorder="1" applyAlignment="1">
      <alignment horizontal="left" vertical="center"/>
    </xf>
    <xf numFmtId="0" fontId="0" fillId="28" borderId="19" xfId="0" applyFill="1" applyBorder="1"/>
    <xf numFmtId="0" fontId="0" fillId="28" borderId="3" xfId="0" applyFill="1" applyBorder="1"/>
    <xf numFmtId="0" fontId="0" fillId="28" borderId="0" xfId="0" applyFill="1" applyBorder="1"/>
    <xf numFmtId="0" fontId="18" fillId="28" borderId="0" xfId="0" applyFont="1" applyFill="1" applyBorder="1" applyAlignment="1">
      <alignment horizontal="right" vertical="top"/>
    </xf>
    <xf numFmtId="0" fontId="51" fillId="28" borderId="0" xfId="0" applyFont="1" applyFill="1" applyBorder="1"/>
    <xf numFmtId="0" fontId="97" fillId="0" borderId="0" xfId="0" applyFont="1" applyBorder="1" applyAlignment="1">
      <alignment vertical="center" wrapText="1"/>
    </xf>
    <xf numFmtId="0" fontId="33" fillId="19" borderId="0" xfId="0" applyFont="1" applyFill="1" applyBorder="1" applyAlignment="1">
      <alignment horizontal="center" vertical="center"/>
    </xf>
    <xf numFmtId="0" fontId="97" fillId="0" borderId="104" xfId="0" applyFont="1" applyBorder="1" applyAlignment="1">
      <alignment vertical="center" wrapText="1"/>
    </xf>
    <xf numFmtId="0" fontId="97" fillId="0" borderId="104" xfId="0" applyFont="1" applyBorder="1" applyAlignment="1">
      <alignment vertical="center" wrapText="1" shrinkToFit="1"/>
    </xf>
    <xf numFmtId="0" fontId="76" fillId="21" borderId="4" xfId="4" applyFill="1" applyBorder="1"/>
    <xf numFmtId="0" fontId="99" fillId="21" borderId="4" xfId="4" applyFont="1" applyFill="1" applyBorder="1" applyAlignment="1">
      <alignment horizontal="center" vertical="center"/>
    </xf>
    <xf numFmtId="0" fontId="99" fillId="25" borderId="37" xfId="4" applyFont="1" applyFill="1" applyBorder="1" applyAlignment="1">
      <alignment horizontal="center" vertical="center"/>
    </xf>
    <xf numFmtId="0" fontId="50" fillId="20" borderId="4" xfId="4" applyFont="1" applyFill="1" applyBorder="1" applyAlignment="1">
      <alignment horizontal="center" vertical="center"/>
    </xf>
    <xf numFmtId="0" fontId="50" fillId="20" borderId="12" xfId="4" applyFont="1" applyFill="1" applyBorder="1" applyAlignment="1">
      <alignment horizontal="center" vertical="center"/>
    </xf>
    <xf numFmtId="0" fontId="50" fillId="20" borderId="14" xfId="4" applyFont="1" applyFill="1" applyBorder="1" applyAlignment="1">
      <alignment horizontal="center" vertical="center"/>
    </xf>
    <xf numFmtId="0" fontId="50" fillId="26" borderId="4" xfId="4" applyFont="1" applyFill="1" applyBorder="1" applyAlignment="1">
      <alignment horizontal="center" vertical="center"/>
    </xf>
    <xf numFmtId="0" fontId="50" fillId="26" borderId="12" xfId="4" applyFont="1" applyFill="1" applyBorder="1" applyAlignment="1">
      <alignment horizontal="center" vertical="center"/>
    </xf>
    <xf numFmtId="0" fontId="50" fillId="26" borderId="14" xfId="4" applyFont="1" applyFill="1" applyBorder="1" applyAlignment="1">
      <alignment horizontal="center" vertical="center"/>
    </xf>
    <xf numFmtId="0" fontId="128" fillId="24" borderId="36" xfId="4" applyFont="1" applyFill="1" applyBorder="1" applyAlignment="1">
      <alignment horizontal="center" vertical="center"/>
    </xf>
    <xf numFmtId="0" fontId="83" fillId="0" borderId="11" xfId="4" applyFont="1" applyBorder="1" applyAlignment="1">
      <alignment horizontal="left" vertical="center" indent="11"/>
    </xf>
    <xf numFmtId="0" fontId="83" fillId="0" borderId="0" xfId="4" applyFont="1" applyBorder="1" applyAlignment="1">
      <alignment horizontal="left" vertical="center" indent="11"/>
    </xf>
    <xf numFmtId="0" fontId="83" fillId="0" borderId="3" xfId="4" applyFont="1" applyBorder="1" applyAlignment="1">
      <alignment horizontal="left" vertical="center" indent="11"/>
    </xf>
    <xf numFmtId="0" fontId="83" fillId="0" borderId="24" xfId="4" applyFont="1" applyBorder="1" applyAlignment="1">
      <alignment horizontal="left" vertical="center" indent="11"/>
    </xf>
    <xf numFmtId="0" fontId="5" fillId="21" borderId="0" xfId="0" applyFont="1" applyFill="1"/>
    <xf numFmtId="0" fontId="12" fillId="21" borderId="0" xfId="0" applyFont="1" applyFill="1" applyAlignment="1">
      <alignment horizontal="center" vertical="center"/>
    </xf>
    <xf numFmtId="0" fontId="50" fillId="29" borderId="4" xfId="4" applyFont="1" applyFill="1" applyBorder="1" applyAlignment="1">
      <alignment horizontal="center" vertical="center"/>
    </xf>
    <xf numFmtId="0" fontId="50" fillId="29" borderId="12" xfId="4" applyFont="1" applyFill="1" applyBorder="1" applyAlignment="1">
      <alignment horizontal="center" vertical="center"/>
    </xf>
    <xf numFmtId="0" fontId="50" fillId="29" borderId="14" xfId="4" applyFont="1" applyFill="1" applyBorder="1" applyAlignment="1">
      <alignment horizontal="center" vertical="center"/>
    </xf>
    <xf numFmtId="0" fontId="44" fillId="21" borderId="0" xfId="0" applyFont="1" applyFill="1"/>
    <xf numFmtId="0" fontId="130" fillId="21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131" fillId="0" borderId="0" xfId="6"/>
    <xf numFmtId="0" fontId="131" fillId="0" borderId="0" xfId="6" applyAlignment="1">
      <alignment vertical="center"/>
    </xf>
    <xf numFmtId="0" fontId="135" fillId="0" borderId="0" xfId="6" applyFont="1" applyAlignment="1">
      <alignment vertical="center"/>
    </xf>
    <xf numFmtId="0" fontId="132" fillId="0" borderId="0" xfId="6" applyFont="1"/>
    <xf numFmtId="0" fontId="135" fillId="0" borderId="106" xfId="6" applyFont="1" applyBorder="1"/>
    <xf numFmtId="0" fontId="135" fillId="0" borderId="106" xfId="6" applyFont="1" applyFill="1" applyBorder="1"/>
    <xf numFmtId="0" fontId="134" fillId="0" borderId="106" xfId="6" applyFont="1" applyBorder="1" applyAlignment="1"/>
    <xf numFmtId="0" fontId="135" fillId="33" borderId="107" xfId="6" applyFont="1" applyFill="1" applyBorder="1" applyAlignment="1">
      <alignment horizontal="left" vertical="center" wrapText="1"/>
    </xf>
    <xf numFmtId="0" fontId="135" fillId="33" borderId="108" xfId="6" applyFont="1" applyFill="1" applyBorder="1" applyAlignment="1">
      <alignment horizontal="left" vertical="center"/>
    </xf>
    <xf numFmtId="166" fontId="135" fillId="33" borderId="108" xfId="6" applyNumberFormat="1" applyFont="1" applyFill="1" applyBorder="1" applyAlignment="1">
      <alignment horizontal="center" vertical="center"/>
    </xf>
    <xf numFmtId="0" fontId="135" fillId="33" borderId="109" xfId="6" applyFont="1" applyFill="1" applyBorder="1" applyAlignment="1">
      <alignment horizontal="center" vertical="center" wrapText="1"/>
    </xf>
    <xf numFmtId="0" fontId="136" fillId="0" borderId="0" xfId="6" applyFont="1" applyAlignment="1">
      <alignment vertical="center"/>
    </xf>
    <xf numFmtId="169" fontId="137" fillId="32" borderId="110" xfId="6" applyNumberFormat="1" applyFont="1" applyFill="1" applyBorder="1" applyAlignment="1">
      <alignment horizontal="center" vertical="center" wrapText="1"/>
    </xf>
    <xf numFmtId="0" fontId="134" fillId="33" borderId="107" xfId="6" applyFont="1" applyFill="1" applyBorder="1" applyAlignment="1">
      <alignment vertical="center" wrapText="1"/>
    </xf>
    <xf numFmtId="166" fontId="134" fillId="33" borderId="109" xfId="6" applyNumberFormat="1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left" vertical="center" indent="2"/>
    </xf>
    <xf numFmtId="0" fontId="135" fillId="33" borderId="111" xfId="6" applyFont="1" applyFill="1" applyBorder="1" applyAlignment="1">
      <alignment horizontal="left" vertical="center" indent="2"/>
    </xf>
    <xf numFmtId="0" fontId="135" fillId="0" borderId="0" xfId="6" applyFont="1" applyFill="1" applyAlignment="1">
      <alignment vertical="center"/>
    </xf>
    <xf numFmtId="0" fontId="134" fillId="0" borderId="0" xfId="6" applyFont="1" applyFill="1" applyBorder="1" applyAlignment="1">
      <alignment horizontal="left" vertical="center" wrapText="1" indent="2"/>
    </xf>
    <xf numFmtId="0" fontId="131" fillId="0" borderId="0" xfId="6" applyAlignment="1">
      <alignment vertical="center" wrapText="1"/>
    </xf>
    <xf numFmtId="0" fontId="136" fillId="0" borderId="0" xfId="6" applyFont="1" applyAlignment="1">
      <alignment vertical="center" wrapText="1"/>
    </xf>
    <xf numFmtId="0" fontId="135" fillId="0" borderId="0" xfId="6" applyFont="1" applyAlignment="1">
      <alignment horizontal="center" vertical="center"/>
    </xf>
    <xf numFmtId="0" fontId="135" fillId="0" borderId="0" xfId="6" applyFont="1" applyFill="1" applyAlignment="1">
      <alignment horizontal="left" vertical="center" indent="2"/>
    </xf>
    <xf numFmtId="0" fontId="135" fillId="0" borderId="0" xfId="6" applyFont="1" applyAlignment="1">
      <alignment horizontal="left" vertical="center" indent="2"/>
    </xf>
    <xf numFmtId="0" fontId="134" fillId="0" borderId="0" xfId="6" applyFont="1" applyFill="1" applyBorder="1" applyAlignment="1">
      <alignment horizontal="left" vertical="center" indent="2"/>
    </xf>
    <xf numFmtId="0" fontId="132" fillId="0" borderId="106" xfId="6" applyFont="1" applyBorder="1"/>
    <xf numFmtId="0" fontId="132" fillId="0" borderId="106" xfId="6" applyFont="1" applyFill="1" applyBorder="1"/>
    <xf numFmtId="0" fontId="139" fillId="0" borderId="106" xfId="6" applyFont="1" applyBorder="1" applyAlignment="1"/>
    <xf numFmtId="0" fontId="134" fillId="0" borderId="0" xfId="6" applyFont="1" applyAlignment="1">
      <alignment horizontal="center" vertical="center"/>
    </xf>
    <xf numFmtId="0" fontId="139" fillId="0" borderId="0" xfId="6" applyFont="1" applyBorder="1" applyAlignment="1">
      <alignment horizontal="left" indent="2"/>
    </xf>
    <xf numFmtId="0" fontId="140" fillId="0" borderId="0" xfId="6" applyFont="1" applyBorder="1" applyAlignment="1">
      <alignment vertical="center" wrapText="1"/>
    </xf>
    <xf numFmtId="0" fontId="141" fillId="0" borderId="0" xfId="6" applyFont="1" applyAlignment="1">
      <alignment horizontal="right" vertical="center" wrapText="1"/>
    </xf>
    <xf numFmtId="0" fontId="141" fillId="0" borderId="0" xfId="6" applyFont="1" applyAlignment="1">
      <alignment vertical="center" wrapText="1"/>
    </xf>
    <xf numFmtId="0" fontId="142" fillId="0" borderId="0" xfId="6" applyFont="1" applyAlignment="1"/>
    <xf numFmtId="0" fontId="139" fillId="0" borderId="0" xfId="6" applyFont="1" applyAlignment="1">
      <alignment horizontal="center"/>
    </xf>
    <xf numFmtId="0" fontId="132" fillId="0" borderId="0" xfId="6" applyFont="1" applyAlignment="1">
      <alignment vertical="top"/>
    </xf>
    <xf numFmtId="0" fontId="76" fillId="0" borderId="0" xfId="158"/>
    <xf numFmtId="0" fontId="76" fillId="0" borderId="0" xfId="158" applyBorder="1"/>
    <xf numFmtId="0" fontId="76" fillId="35" borderId="0" xfId="158" applyFill="1" applyBorder="1"/>
    <xf numFmtId="166" fontId="76" fillId="0" borderId="0" xfId="158" applyNumberFormat="1"/>
    <xf numFmtId="166" fontId="151" fillId="36" borderId="112" xfId="158" applyNumberFormat="1" applyFont="1" applyFill="1" applyBorder="1"/>
    <xf numFmtId="166" fontId="76" fillId="36" borderId="0" xfId="158" applyNumberFormat="1" applyFill="1"/>
    <xf numFmtId="165" fontId="151" fillId="36" borderId="112" xfId="158" applyNumberFormat="1" applyFont="1" applyFill="1" applyBorder="1"/>
    <xf numFmtId="165" fontId="151" fillId="35" borderId="44" xfId="158" applyNumberFormat="1" applyFont="1" applyFill="1" applyBorder="1"/>
    <xf numFmtId="166" fontId="151" fillId="37" borderId="112" xfId="158" applyNumberFormat="1" applyFont="1" applyFill="1" applyBorder="1"/>
    <xf numFmtId="166" fontId="76" fillId="37" borderId="0" xfId="158" applyNumberFormat="1" applyFill="1"/>
    <xf numFmtId="3" fontId="151" fillId="37" borderId="0" xfId="158" applyNumberFormat="1" applyFont="1" applyFill="1"/>
    <xf numFmtId="3" fontId="151" fillId="35" borderId="0" xfId="158" applyNumberFormat="1" applyFont="1" applyFill="1" applyBorder="1"/>
    <xf numFmtId="0" fontId="151" fillId="37" borderId="112" xfId="158" applyFont="1" applyFill="1" applyBorder="1"/>
    <xf numFmtId="3" fontId="76" fillId="14" borderId="9" xfId="158" applyNumberFormat="1" applyFill="1" applyBorder="1"/>
    <xf numFmtId="3" fontId="76" fillId="35" borderId="44" xfId="158" applyNumberFormat="1" applyFill="1" applyBorder="1"/>
    <xf numFmtId="0" fontId="76" fillId="14" borderId="9" xfId="158" applyFill="1" applyBorder="1"/>
    <xf numFmtId="0" fontId="78" fillId="0" borderId="0" xfId="158" applyFont="1"/>
    <xf numFmtId="3" fontId="76" fillId="14" borderId="8" xfId="158" applyNumberFormat="1" applyFill="1" applyBorder="1"/>
    <xf numFmtId="0" fontId="76" fillId="14" borderId="8" xfId="158" applyFill="1" applyBorder="1"/>
    <xf numFmtId="3" fontId="76" fillId="14" borderId="113" xfId="158" applyNumberFormat="1" applyFill="1" applyBorder="1"/>
    <xf numFmtId="170" fontId="76" fillId="0" borderId="0" xfId="158" applyNumberFormat="1"/>
    <xf numFmtId="166" fontId="151" fillId="0" borderId="0" xfId="158" applyNumberFormat="1" applyFont="1" applyBorder="1"/>
    <xf numFmtId="0" fontId="76" fillId="14" borderId="8" xfId="158" applyFont="1" applyFill="1" applyBorder="1"/>
    <xf numFmtId="166" fontId="151" fillId="0" borderId="114" xfId="158" applyNumberFormat="1" applyFont="1" applyBorder="1"/>
    <xf numFmtId="3" fontId="76" fillId="14" borderId="7" xfId="158" applyNumberFormat="1" applyFill="1" applyBorder="1"/>
    <xf numFmtId="0" fontId="4" fillId="14" borderId="8" xfId="158" applyFont="1" applyFill="1" applyBorder="1" applyAlignment="1">
      <alignment horizontal="left"/>
    </xf>
    <xf numFmtId="166" fontId="151" fillId="0" borderId="44" xfId="158" applyNumberFormat="1" applyFont="1" applyBorder="1"/>
    <xf numFmtId="3" fontId="76" fillId="0" borderId="8" xfId="158" applyNumberFormat="1" applyBorder="1"/>
    <xf numFmtId="3" fontId="76" fillId="0" borderId="115" xfId="158" applyNumberFormat="1" applyBorder="1"/>
    <xf numFmtId="0" fontId="76" fillId="0" borderId="8" xfId="158" applyBorder="1"/>
    <xf numFmtId="0" fontId="76" fillId="0" borderId="0" xfId="158" applyAlignment="1">
      <alignment horizontal="right"/>
    </xf>
    <xf numFmtId="166" fontId="151" fillId="0" borderId="116" xfId="158" applyNumberFormat="1" applyFont="1" applyBorder="1"/>
    <xf numFmtId="3" fontId="76" fillId="0" borderId="7" xfId="158" applyNumberFormat="1" applyBorder="1"/>
    <xf numFmtId="0" fontId="76" fillId="0" borderId="7" xfId="158" applyBorder="1"/>
    <xf numFmtId="0" fontId="151" fillId="32" borderId="112" xfId="158" applyFont="1" applyFill="1" applyBorder="1" applyAlignment="1">
      <alignment horizontal="right"/>
    </xf>
    <xf numFmtId="3" fontId="151" fillId="32" borderId="112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left"/>
    </xf>
    <xf numFmtId="0" fontId="151" fillId="32" borderId="112" xfId="158" applyFont="1" applyFill="1" applyBorder="1" applyAlignment="1">
      <alignment horizontal="left"/>
    </xf>
    <xf numFmtId="0" fontId="151" fillId="15" borderId="112" xfId="158" applyFont="1" applyFill="1" applyBorder="1" applyAlignment="1">
      <alignment horizontal="left"/>
    </xf>
    <xf numFmtId="0" fontId="78" fillId="0" borderId="0" xfId="158" applyFont="1" applyProtection="1">
      <protection locked="0"/>
    </xf>
    <xf numFmtId="166" fontId="151" fillId="37" borderId="117" xfId="158" applyNumberFormat="1" applyFont="1" applyFill="1" applyBorder="1"/>
    <xf numFmtId="3" fontId="76" fillId="0" borderId="9" xfId="158" applyNumberFormat="1" applyBorder="1"/>
    <xf numFmtId="0" fontId="76" fillId="35" borderId="44" xfId="158" applyFill="1" applyBorder="1"/>
    <xf numFmtId="0" fontId="76" fillId="0" borderId="9" xfId="158" applyBorder="1"/>
    <xf numFmtId="0" fontId="76" fillId="0" borderId="0" xfId="158" applyProtection="1">
      <protection locked="0"/>
    </xf>
    <xf numFmtId="0" fontId="76" fillId="0" borderId="15" xfId="158" applyBorder="1"/>
    <xf numFmtId="0" fontId="131" fillId="0" borderId="3" xfId="24" applyBorder="1" applyAlignment="1">
      <alignment horizontal="left" indent="1"/>
    </xf>
    <xf numFmtId="0" fontId="4" fillId="38" borderId="14" xfId="24" applyFont="1" applyFill="1" applyBorder="1" applyAlignment="1">
      <alignment horizontal="right" indent="1"/>
    </xf>
    <xf numFmtId="0" fontId="76" fillId="0" borderId="13" xfId="158" applyBorder="1"/>
    <xf numFmtId="0" fontId="131" fillId="0" borderId="0" xfId="24" applyBorder="1" applyAlignment="1">
      <alignment horizontal="left" indent="1"/>
    </xf>
    <xf numFmtId="0" fontId="4" fillId="38" borderId="12" xfId="24" applyFont="1" applyFill="1" applyBorder="1" applyAlignment="1">
      <alignment horizontal="right" indent="1"/>
    </xf>
    <xf numFmtId="0" fontId="76" fillId="0" borderId="118" xfId="158" applyBorder="1"/>
    <xf numFmtId="0" fontId="131" fillId="0" borderId="114" xfId="24" applyBorder="1" applyAlignment="1">
      <alignment horizontal="left" indent="1"/>
    </xf>
    <xf numFmtId="0" fontId="4" fillId="38" borderId="119" xfId="24" applyFont="1" applyFill="1" applyBorder="1" applyAlignment="1">
      <alignment horizontal="right" indent="1"/>
    </xf>
    <xf numFmtId="0" fontId="131" fillId="0" borderId="118" xfId="24" applyBorder="1" applyAlignment="1">
      <alignment horizontal="center"/>
    </xf>
    <xf numFmtId="0" fontId="4" fillId="39" borderId="119" xfId="24" applyFont="1" applyFill="1" applyBorder="1" applyAlignment="1">
      <alignment horizontal="left" indent="1"/>
    </xf>
    <xf numFmtId="0" fontId="131" fillId="0" borderId="0" xfId="24"/>
    <xf numFmtId="0" fontId="131" fillId="0" borderId="15" xfId="24" applyBorder="1" applyAlignment="1">
      <alignment horizontal="center"/>
    </xf>
    <xf numFmtId="0" fontId="4" fillId="38" borderId="14" xfId="24" applyFont="1" applyFill="1" applyBorder="1" applyAlignment="1">
      <alignment horizontal="left" indent="1"/>
    </xf>
    <xf numFmtId="0" fontId="131" fillId="0" borderId="13" xfId="24" applyBorder="1" applyAlignment="1">
      <alignment horizontal="center"/>
    </xf>
    <xf numFmtId="0" fontId="4" fillId="38" borderId="12" xfId="24" applyFont="1" applyFill="1" applyBorder="1" applyAlignment="1">
      <alignment horizontal="left" indent="1"/>
    </xf>
    <xf numFmtId="0" fontId="151" fillId="0" borderId="44" xfId="158" applyFont="1" applyBorder="1"/>
    <xf numFmtId="3" fontId="76" fillId="14" borderId="116" xfId="158" applyNumberFormat="1" applyFill="1" applyBorder="1"/>
    <xf numFmtId="0" fontId="76" fillId="14" borderId="7" xfId="158" applyFill="1" applyBorder="1"/>
    <xf numFmtId="0" fontId="151" fillId="0" borderId="112" xfId="158" applyFont="1" applyBorder="1" applyAlignment="1">
      <alignment horizontal="center"/>
    </xf>
    <xf numFmtId="0" fontId="76" fillId="0" borderId="11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21" xfId="158" applyBorder="1" applyAlignment="1">
      <alignment horizontal="center"/>
    </xf>
    <xf numFmtId="3" fontId="151" fillId="32" borderId="6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right"/>
    </xf>
    <xf numFmtId="0" fontId="151" fillId="32" borderId="6" xfId="158" applyFont="1" applyFill="1" applyBorder="1" applyAlignment="1">
      <alignment horizontal="left"/>
    </xf>
    <xf numFmtId="9" fontId="76" fillId="40" borderId="0" xfId="158" applyNumberFormat="1" applyFill="1" applyAlignment="1">
      <alignment horizontal="center" vertical="center"/>
    </xf>
    <xf numFmtId="0" fontId="76" fillId="40" borderId="0" xfId="158" applyFont="1" applyFill="1" applyAlignment="1">
      <alignment vertical="center"/>
    </xf>
    <xf numFmtId="0" fontId="152" fillId="35" borderId="0" xfId="158" applyFont="1" applyFill="1" applyBorder="1" applyAlignment="1">
      <alignment horizontal="center" vertical="center"/>
    </xf>
    <xf numFmtId="0" fontId="152" fillId="0" borderId="121" xfId="158" applyFont="1" applyBorder="1" applyAlignment="1">
      <alignment vertical="center"/>
    </xf>
    <xf numFmtId="0" fontId="153" fillId="21" borderId="0" xfId="0" applyFont="1" applyFill="1" applyAlignment="1">
      <alignment horizontal="left" vertical="center" readingOrder="1"/>
    </xf>
    <xf numFmtId="0" fontId="154" fillId="21" borderId="0" xfId="0" applyFont="1" applyFill="1" applyAlignment="1">
      <alignment horizontal="left" vertical="center" readingOrder="1"/>
    </xf>
    <xf numFmtId="0" fontId="155" fillId="21" borderId="0" xfId="0" applyFont="1" applyFill="1" applyAlignment="1">
      <alignment horizontal="left" vertical="center" wrapText="1" readingOrder="1"/>
    </xf>
    <xf numFmtId="0" fontId="0" fillId="21" borderId="0" xfId="0" applyFill="1" applyAlignment="1">
      <alignment horizontal="left"/>
    </xf>
    <xf numFmtId="0" fontId="157" fillId="21" borderId="0" xfId="0" applyFont="1" applyFill="1" applyAlignment="1">
      <alignment horizontal="left" vertical="center" readingOrder="1"/>
    </xf>
    <xf numFmtId="165" fontId="156" fillId="21" borderId="0" xfId="0" applyNumberFormat="1" applyFont="1" applyFill="1" applyAlignment="1">
      <alignment horizontal="left" vertical="center" readingOrder="1"/>
    </xf>
    <xf numFmtId="0" fontId="137" fillId="23" borderId="111" xfId="6" applyFont="1" applyFill="1" applyBorder="1" applyAlignment="1">
      <alignment horizontal="left" vertical="center" indent="2"/>
    </xf>
    <xf numFmtId="166" fontId="137" fillId="23" borderId="109" xfId="6" applyNumberFormat="1" applyFont="1" applyFill="1" applyBorder="1" applyAlignment="1">
      <alignment horizontal="center" vertical="center"/>
    </xf>
    <xf numFmtId="0" fontId="137" fillId="23" borderId="107" xfId="6" applyFont="1" applyFill="1" applyBorder="1" applyAlignment="1">
      <alignment vertical="center" wrapText="1"/>
    </xf>
    <xf numFmtId="169" fontId="137" fillId="23" borderId="110" xfId="6" applyNumberFormat="1" applyFont="1" applyFill="1" applyBorder="1" applyAlignment="1">
      <alignment horizontal="center" vertical="center" wrapText="1"/>
    </xf>
    <xf numFmtId="0" fontId="138" fillId="23" borderId="109" xfId="6" applyFont="1" applyFill="1" applyBorder="1" applyAlignment="1">
      <alignment horizontal="center" vertical="center" wrapText="1"/>
    </xf>
    <xf numFmtId="166" fontId="138" fillId="23" borderId="108" xfId="6" applyNumberFormat="1" applyFont="1" applyFill="1" applyBorder="1" applyAlignment="1">
      <alignment horizontal="center" vertical="center"/>
    </xf>
    <xf numFmtId="0" fontId="138" fillId="23" borderId="108" xfId="6" applyFont="1" applyFill="1" applyBorder="1" applyAlignment="1">
      <alignment horizontal="left" vertical="center"/>
    </xf>
    <xf numFmtId="0" fontId="138" fillId="23" borderId="107" xfId="6" applyFont="1" applyFill="1" applyBorder="1" applyAlignment="1">
      <alignment horizontal="left" vertical="center" wrapText="1"/>
    </xf>
    <xf numFmtId="0" fontId="137" fillId="23" borderId="111" xfId="6" applyFont="1" applyFill="1" applyBorder="1" applyAlignment="1">
      <alignment horizontal="left" vertical="center" wrapText="1" indent="2"/>
    </xf>
    <xf numFmtId="0" fontId="30" fillId="21" borderId="0" xfId="1" applyFont="1" applyFill="1" applyAlignment="1" applyProtection="1">
      <alignment horizontal="center" vertical="center"/>
    </xf>
    <xf numFmtId="10" fontId="4" fillId="0" borderId="13" xfId="0" applyNumberFormat="1" applyFont="1" applyFill="1" applyBorder="1" applyAlignment="1" applyProtection="1">
      <alignment horizontal="right" vertical="center"/>
    </xf>
    <xf numFmtId="10" fontId="4" fillId="0" borderId="41" xfId="0" applyNumberFormat="1" applyFont="1" applyFill="1" applyBorder="1" applyAlignment="1" applyProtection="1">
      <alignment horizontal="right" vertical="center"/>
    </xf>
    <xf numFmtId="164" fontId="4" fillId="0" borderId="12" xfId="0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Fill="1" applyBorder="1" applyAlignment="1" applyProtection="1">
      <alignment horizontal="right" vertical="center"/>
    </xf>
    <xf numFmtId="164" fontId="4" fillId="0" borderId="40" xfId="0" applyNumberFormat="1" applyFont="1" applyFill="1" applyBorder="1" applyAlignment="1" applyProtection="1">
      <alignment horizontal="right" vertical="center"/>
    </xf>
    <xf numFmtId="164" fontId="4" fillId="0" borderId="41" xfId="0" applyNumberFormat="1" applyFont="1" applyFill="1" applyBorder="1" applyAlignment="1" applyProtection="1">
      <alignment horizontal="right" vertical="center"/>
    </xf>
    <xf numFmtId="164" fontId="4" fillId="8" borderId="38" xfId="0" applyNumberFormat="1" applyFont="1" applyFill="1" applyBorder="1" applyAlignment="1">
      <alignment horizontal="right"/>
    </xf>
    <xf numFmtId="164" fontId="4" fillId="8" borderId="23" xfId="0" applyNumberFormat="1" applyFont="1" applyFill="1" applyBorder="1" applyAlignment="1">
      <alignment horizontal="right"/>
    </xf>
    <xf numFmtId="164" fontId="4" fillId="8" borderId="42" xfId="0" applyNumberFormat="1" applyFont="1" applyFill="1" applyBorder="1" applyAlignment="1">
      <alignment horizontal="right"/>
    </xf>
    <xf numFmtId="164" fontId="4" fillId="8" borderId="12" xfId="0" applyNumberFormat="1" applyFont="1" applyFill="1" applyBorder="1" applyAlignment="1">
      <alignment horizontal="right"/>
    </xf>
    <xf numFmtId="164" fontId="4" fillId="8" borderId="0" xfId="0" applyNumberFormat="1" applyFont="1" applyFill="1" applyBorder="1" applyAlignment="1">
      <alignment horizontal="right"/>
    </xf>
    <xf numFmtId="164" fontId="4" fillId="8" borderId="39" xfId="0" applyNumberFormat="1" applyFont="1" applyFill="1" applyBorder="1" applyAlignment="1">
      <alignment horizontal="right"/>
    </xf>
    <xf numFmtId="164" fontId="4" fillId="8" borderId="14" xfId="0" applyNumberFormat="1" applyFont="1" applyFill="1" applyBorder="1" applyAlignment="1">
      <alignment horizontal="right"/>
    </xf>
    <xf numFmtId="164" fontId="4" fillId="8" borderId="3" xfId="0" applyNumberFormat="1" applyFont="1" applyFill="1" applyBorder="1" applyAlignment="1">
      <alignment horizontal="right"/>
    </xf>
    <xf numFmtId="164" fontId="4" fillId="8" borderId="43" xfId="0" applyNumberFormat="1" applyFont="1" applyFill="1" applyBorder="1" applyAlignment="1">
      <alignment horizontal="right"/>
    </xf>
    <xf numFmtId="0" fontId="11" fillId="0" borderId="122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center" vertical="center" wrapText="1"/>
    </xf>
    <xf numFmtId="0" fontId="99" fillId="21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4" fillId="0" borderId="123" xfId="0" applyNumberFormat="1" applyFont="1" applyBorder="1"/>
    <xf numFmtId="3" fontId="4" fillId="0" borderId="124" xfId="0" applyNumberFormat="1" applyFont="1" applyBorder="1"/>
    <xf numFmtId="3" fontId="4" fillId="0" borderId="125" xfId="0" applyNumberFormat="1" applyFont="1" applyBorder="1"/>
    <xf numFmtId="168" fontId="0" fillId="0" borderId="0" xfId="0" applyNumberFormat="1" applyFill="1"/>
    <xf numFmtId="166" fontId="4" fillId="0" borderId="13" xfId="0" applyNumberFormat="1" applyFont="1" applyFill="1" applyBorder="1" applyAlignment="1" applyProtection="1">
      <alignment horizontal="right" vertical="center"/>
    </xf>
    <xf numFmtId="0" fontId="76" fillId="0" borderId="7" xfId="158" applyFont="1" applyFill="1" applyBorder="1"/>
    <xf numFmtId="0" fontId="76" fillId="0" borderId="8" xfId="158" applyFont="1" applyFill="1" applyBorder="1"/>
    <xf numFmtId="0" fontId="76" fillId="0" borderId="8" xfId="158" applyFill="1" applyBorder="1"/>
    <xf numFmtId="164" fontId="11" fillId="2" borderId="122" xfId="0" applyNumberFormat="1" applyFont="1" applyFill="1" applyBorder="1" applyAlignment="1" applyProtection="1">
      <alignment horizontal="center" vertical="center"/>
    </xf>
    <xf numFmtId="0" fontId="11" fillId="0" borderId="114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vertical="center"/>
    </xf>
    <xf numFmtId="164" fontId="4" fillId="0" borderId="13" xfId="0" applyNumberFormat="1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vertical="center"/>
    </xf>
    <xf numFmtId="0" fontId="4" fillId="41" borderId="12" xfId="0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center" vertical="center"/>
    </xf>
    <xf numFmtId="10" fontId="4" fillId="41" borderId="0" xfId="0" applyNumberFormat="1" applyFont="1" applyFill="1" applyBorder="1" applyAlignment="1" applyProtection="1">
      <alignment horizontal="center" vertical="center"/>
    </xf>
    <xf numFmtId="164" fontId="4" fillId="41" borderId="0" xfId="0" applyNumberFormat="1" applyFont="1" applyFill="1" applyBorder="1" applyAlignment="1" applyProtection="1">
      <alignment horizontal="left" vertical="center"/>
    </xf>
    <xf numFmtId="10" fontId="4" fillId="41" borderId="0" xfId="0" applyNumberFormat="1" applyFont="1" applyFill="1" applyBorder="1" applyAlignment="1">
      <alignment horizontal="left"/>
    </xf>
    <xf numFmtId="0" fontId="4" fillId="41" borderId="0" xfId="0" applyFont="1" applyFill="1" applyBorder="1" applyAlignment="1" applyProtection="1">
      <alignment horizontal="left" vertical="center"/>
    </xf>
    <xf numFmtId="0" fontId="4" fillId="41" borderId="13" xfId="0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right" vertical="center"/>
    </xf>
    <xf numFmtId="10" fontId="4" fillId="41" borderId="0" xfId="0" applyNumberFormat="1" applyFont="1" applyFill="1" applyBorder="1" applyAlignment="1" applyProtection="1">
      <alignment horizontal="right" vertical="center"/>
    </xf>
    <xf numFmtId="10" fontId="4" fillId="41" borderId="13" xfId="0" applyNumberFormat="1" applyFont="1" applyFill="1" applyBorder="1" applyAlignment="1" applyProtection="1">
      <alignment horizontal="right" vertical="center"/>
    </xf>
    <xf numFmtId="3" fontId="4" fillId="41" borderId="0" xfId="0" applyNumberFormat="1" applyFont="1" applyFill="1" applyBorder="1" applyAlignment="1" applyProtection="1">
      <alignment horizontal="right" vertical="center"/>
    </xf>
    <xf numFmtId="0" fontId="90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/>
    <xf numFmtId="10" fontId="4" fillId="17" borderId="0" xfId="0" applyNumberFormat="1" applyFont="1" applyFill="1" applyBorder="1" applyAlignment="1" applyProtection="1">
      <alignment horizontal="right" vertical="center"/>
    </xf>
    <xf numFmtId="10" fontId="4" fillId="17" borderId="13" xfId="0" applyNumberFormat="1" applyFont="1" applyFill="1" applyBorder="1" applyAlignment="1" applyProtection="1">
      <alignment horizontal="right" vertical="center"/>
    </xf>
    <xf numFmtId="0" fontId="137" fillId="23" borderId="0" xfId="6" applyFont="1" applyFill="1" applyAlignment="1">
      <alignment horizontal="left" vertical="center" indent="1"/>
    </xf>
    <xf numFmtId="0" fontId="99" fillId="23" borderId="0" xfId="6" applyFont="1" applyFill="1" applyAlignment="1">
      <alignment horizontal="right" vertical="center" indent="1"/>
    </xf>
    <xf numFmtId="0" fontId="134" fillId="0" borderId="0" xfId="6" applyFont="1" applyAlignment="1">
      <alignment horizontal="center" vertical="center"/>
    </xf>
    <xf numFmtId="0" fontId="132" fillId="0" borderId="0" xfId="6" applyFont="1" applyAlignment="1">
      <alignment horizontal="center" vertical="top"/>
    </xf>
    <xf numFmtId="0" fontId="139" fillId="34" borderId="0" xfId="6" applyFont="1" applyFill="1" applyAlignment="1">
      <alignment horizontal="center" vertical="center"/>
    </xf>
    <xf numFmtId="0" fontId="99" fillId="21" borderId="0" xfId="6" applyFont="1" applyFill="1" applyBorder="1" applyAlignment="1">
      <alignment horizontal="center" vertical="center"/>
    </xf>
    <xf numFmtId="0" fontId="127" fillId="28" borderId="17" xfId="0" applyFont="1" applyFill="1" applyBorder="1" applyAlignment="1">
      <alignment horizontal="left" vertical="center"/>
    </xf>
    <xf numFmtId="0" fontId="120" fillId="21" borderId="0" xfId="0" applyFont="1" applyFill="1" applyBorder="1" applyAlignment="1" applyProtection="1">
      <alignment horizontal="center" vertical="center"/>
    </xf>
    <xf numFmtId="0" fontId="92" fillId="21" borderId="0" xfId="0" applyFont="1" applyFill="1" applyBorder="1" applyAlignment="1" applyProtection="1">
      <alignment horizontal="center" vertical="top"/>
    </xf>
    <xf numFmtId="0" fontId="42" fillId="23" borderId="95" xfId="0" applyFont="1" applyFill="1" applyBorder="1" applyAlignment="1">
      <alignment horizontal="center" vertical="center" wrapText="1"/>
    </xf>
    <xf numFmtId="0" fontId="67" fillId="0" borderId="63" xfId="0" applyFont="1" applyFill="1" applyBorder="1" applyAlignment="1" applyProtection="1">
      <alignment horizontal="left" vertical="center" indent="1"/>
      <protection locked="0"/>
    </xf>
    <xf numFmtId="0" fontId="67" fillId="0" borderId="64" xfId="0" applyFont="1" applyFill="1" applyBorder="1" applyAlignment="1" applyProtection="1">
      <alignment horizontal="left" vertical="center" indent="1"/>
      <protection locked="0"/>
    </xf>
    <xf numFmtId="0" fontId="122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5" xfId="0" applyFont="1" applyFill="1" applyBorder="1" applyAlignment="1">
      <alignment horizontal="center" vertical="top"/>
    </xf>
    <xf numFmtId="0" fontId="59" fillId="0" borderId="1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67" fillId="0" borderId="53" xfId="0" applyFont="1" applyFill="1" applyBorder="1" applyAlignment="1" applyProtection="1">
      <alignment horizontal="left" vertical="center" indent="1"/>
      <protection locked="0"/>
    </xf>
    <xf numFmtId="0" fontId="67" fillId="0" borderId="54" xfId="0" applyFont="1" applyFill="1" applyBorder="1" applyAlignment="1" applyProtection="1">
      <alignment horizontal="left" vertical="center" indent="1"/>
      <protection locked="0"/>
    </xf>
    <xf numFmtId="0" fontId="67" fillId="0" borderId="55" xfId="0" applyFont="1" applyFill="1" applyBorder="1" applyAlignment="1" applyProtection="1">
      <alignment horizontal="left" vertical="center" indent="1"/>
      <protection locked="0"/>
    </xf>
    <xf numFmtId="0" fontId="96" fillId="22" borderId="4" xfId="0" applyFont="1" applyFill="1" applyBorder="1" applyAlignment="1">
      <alignment horizontal="center" vertical="center" textRotation="90" wrapText="1"/>
    </xf>
    <xf numFmtId="0" fontId="96" fillId="22" borderId="11" xfId="0" applyFont="1" applyFill="1" applyBorder="1" applyAlignment="1">
      <alignment horizontal="center" vertical="center" textRotation="90" wrapText="1"/>
    </xf>
    <xf numFmtId="0" fontId="96" fillId="22" borderId="5" xfId="0" applyFont="1" applyFill="1" applyBorder="1" applyAlignment="1">
      <alignment horizontal="center" vertical="center" textRotation="90" wrapText="1"/>
    </xf>
    <xf numFmtId="0" fontId="96" fillId="22" borderId="14" xfId="0" applyFont="1" applyFill="1" applyBorder="1" applyAlignment="1">
      <alignment horizontal="center" vertical="center" textRotation="90" wrapText="1"/>
    </xf>
    <xf numFmtId="0" fontId="96" fillId="22" borderId="3" xfId="0" applyFont="1" applyFill="1" applyBorder="1" applyAlignment="1">
      <alignment horizontal="center" vertical="center" textRotation="90" wrapText="1"/>
    </xf>
    <xf numFmtId="0" fontId="96" fillId="22" borderId="15" xfId="0" applyFont="1" applyFill="1" applyBorder="1" applyAlignment="1">
      <alignment horizontal="center" vertical="center" textRotation="90" wrapText="1"/>
    </xf>
    <xf numFmtId="0" fontId="42" fillId="21" borderId="101" xfId="0" applyFont="1" applyFill="1" applyBorder="1" applyAlignment="1">
      <alignment horizontal="center" vertical="center" wrapText="1"/>
    </xf>
    <xf numFmtId="0" fontId="42" fillId="21" borderId="102" xfId="0" applyFont="1" applyFill="1" applyBorder="1" applyAlignment="1">
      <alignment horizontal="center" vertical="center" wrapText="1"/>
    </xf>
    <xf numFmtId="0" fontId="42" fillId="21" borderId="103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9" fontId="102" fillId="0" borderId="11" xfId="0" applyNumberFormat="1" applyFont="1" applyFill="1" applyBorder="1" applyAlignment="1">
      <alignment horizontal="center" vertical="center"/>
    </xf>
    <xf numFmtId="0" fontId="18" fillId="28" borderId="0" xfId="0" applyFont="1" applyFill="1" applyBorder="1" applyAlignment="1">
      <alignment horizontal="right" vertical="top"/>
    </xf>
    <xf numFmtId="0" fontId="18" fillId="28" borderId="56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center" vertical="center"/>
    </xf>
    <xf numFmtId="0" fontId="107" fillId="27" borderId="99" xfId="0" applyFont="1" applyFill="1" applyBorder="1" applyAlignment="1">
      <alignment horizontal="center" vertical="center" wrapText="1"/>
    </xf>
    <xf numFmtId="0" fontId="107" fillId="27" borderId="100" xfId="0" applyFont="1" applyFill="1" applyBorder="1" applyAlignment="1">
      <alignment horizontal="center" vertical="center" wrapText="1"/>
    </xf>
    <xf numFmtId="0" fontId="116" fillId="0" borderId="3" xfId="0" applyFont="1" applyFill="1" applyBorder="1" applyAlignment="1">
      <alignment horizontal="center" vertical="top"/>
    </xf>
    <xf numFmtId="0" fontId="38" fillId="12" borderId="96" xfId="0" applyFont="1" applyFill="1" applyBorder="1" applyAlignment="1" applyProtection="1">
      <alignment horizontal="center" vertical="center" shrinkToFit="1"/>
    </xf>
    <xf numFmtId="0" fontId="38" fillId="12" borderId="97" xfId="0" applyFont="1" applyFill="1" applyBorder="1" applyAlignment="1" applyProtection="1">
      <alignment horizontal="center" vertical="center" shrinkToFit="1"/>
    </xf>
    <xf numFmtId="0" fontId="38" fillId="12" borderId="98" xfId="0" applyFont="1" applyFill="1" applyBorder="1" applyAlignment="1" applyProtection="1">
      <alignment horizontal="center" vertical="center" shrinkToFit="1"/>
    </xf>
    <xf numFmtId="9" fontId="74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97" fillId="0" borderId="66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69" xfId="0" applyFont="1" applyBorder="1" applyAlignment="1">
      <alignment horizontal="center" vertical="center" wrapText="1"/>
    </xf>
    <xf numFmtId="0" fontId="97" fillId="0" borderId="66" xfId="0" applyFont="1" applyBorder="1" applyAlignment="1">
      <alignment horizontal="center" vertical="center" wrapText="1" shrinkToFit="1"/>
    </xf>
    <xf numFmtId="0" fontId="97" fillId="0" borderId="72" xfId="0" applyFont="1" applyBorder="1" applyAlignment="1">
      <alignment horizontal="center" vertical="center" wrapText="1" shrinkToFit="1"/>
    </xf>
    <xf numFmtId="0" fontId="97" fillId="0" borderId="68" xfId="0" applyFont="1" applyBorder="1" applyAlignment="1">
      <alignment horizontal="center" vertical="center" wrapText="1" shrinkToFit="1"/>
    </xf>
    <xf numFmtId="0" fontId="97" fillId="0" borderId="73" xfId="0" applyFont="1" applyBorder="1" applyAlignment="1">
      <alignment horizontal="center" vertical="center" wrapText="1" shrinkToFit="1"/>
    </xf>
    <xf numFmtId="0" fontId="108" fillId="19" borderId="0" xfId="0" applyFont="1" applyFill="1" applyAlignment="1">
      <alignment horizontal="center"/>
    </xf>
    <xf numFmtId="0" fontId="54" fillId="19" borderId="0" xfId="0" applyFont="1" applyFill="1" applyAlignment="1">
      <alignment horizontal="center"/>
    </xf>
    <xf numFmtId="0" fontId="104" fillId="19" borderId="0" xfId="0" applyFont="1" applyFill="1" applyAlignment="1">
      <alignment horizontal="center"/>
    </xf>
    <xf numFmtId="0" fontId="114" fillId="19" borderId="0" xfId="0" applyFont="1" applyFill="1" applyBorder="1" applyAlignment="1">
      <alignment horizontal="right" wrapText="1"/>
    </xf>
    <xf numFmtId="0" fontId="33" fillId="22" borderId="57" xfId="0" applyFont="1" applyFill="1" applyBorder="1" applyAlignment="1">
      <alignment horizontal="center" vertical="center"/>
    </xf>
    <xf numFmtId="0" fontId="33" fillId="22" borderId="58" xfId="0" applyFont="1" applyFill="1" applyBorder="1" applyAlignment="1">
      <alignment horizontal="center" vertical="center"/>
    </xf>
    <xf numFmtId="0" fontId="83" fillId="0" borderId="5" xfId="4" applyFont="1" applyFill="1" applyBorder="1" applyAlignment="1">
      <alignment horizontal="center" vertical="center"/>
    </xf>
    <xf numFmtId="0" fontId="83" fillId="0" borderId="13" xfId="4" applyFont="1" applyFill="1" applyBorder="1" applyAlignment="1">
      <alignment horizontal="center" vertical="center"/>
    </xf>
    <xf numFmtId="0" fontId="83" fillId="0" borderId="15" xfId="4" applyFont="1" applyFill="1" applyBorder="1" applyAlignment="1">
      <alignment horizontal="center" vertical="center"/>
    </xf>
    <xf numFmtId="0" fontId="99" fillId="21" borderId="36" xfId="4" applyFont="1" applyFill="1" applyBorder="1" applyAlignment="1">
      <alignment horizontal="center" vertical="center"/>
    </xf>
    <xf numFmtId="0" fontId="99" fillId="21" borderId="24" xfId="4" applyFont="1" applyFill="1" applyBorder="1" applyAlignment="1">
      <alignment horizontal="center" vertical="center"/>
    </xf>
    <xf numFmtId="0" fontId="96" fillId="21" borderId="11" xfId="4" applyFont="1" applyFill="1" applyBorder="1" applyAlignment="1">
      <alignment horizontal="center" vertical="center"/>
    </xf>
    <xf numFmtId="0" fontId="96" fillId="21" borderId="5" xfId="4" applyFont="1" applyFill="1" applyBorder="1" applyAlignment="1">
      <alignment horizontal="center" vertical="center"/>
    </xf>
    <xf numFmtId="0" fontId="50" fillId="19" borderId="4" xfId="4" applyFont="1" applyFill="1" applyBorder="1" applyAlignment="1">
      <alignment horizontal="left" vertical="center"/>
    </xf>
    <xf numFmtId="0" fontId="50" fillId="19" borderId="11" xfId="4" applyFont="1" applyFill="1" applyBorder="1" applyAlignment="1">
      <alignment horizontal="left" vertical="center"/>
    </xf>
    <xf numFmtId="0" fontId="83" fillId="0" borderId="12" xfId="4" applyFont="1" applyBorder="1" applyAlignment="1">
      <alignment horizontal="left" vertical="center" wrapText="1"/>
    </xf>
    <xf numFmtId="0" fontId="83" fillId="0" borderId="0" xfId="4" applyFont="1" applyBorder="1" applyAlignment="1">
      <alignment horizontal="left" vertical="center" wrapText="1"/>
    </xf>
    <xf numFmtId="0" fontId="83" fillId="0" borderId="13" xfId="4" applyFont="1" applyBorder="1" applyAlignment="1">
      <alignment horizontal="left" vertical="center" wrapText="1"/>
    </xf>
    <xf numFmtId="0" fontId="83" fillId="0" borderId="14" xfId="4" applyFont="1" applyBorder="1" applyAlignment="1">
      <alignment horizontal="left" vertical="center" wrapText="1"/>
    </xf>
    <xf numFmtId="0" fontId="83" fillId="0" borderId="3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50" fillId="19" borderId="14" xfId="4" applyFont="1" applyFill="1" applyBorder="1" applyAlignment="1">
      <alignment horizontal="left" vertical="center" wrapText="1"/>
    </xf>
    <xf numFmtId="0" fontId="50" fillId="19" borderId="3" xfId="4" applyFont="1" applyFill="1" applyBorder="1" applyAlignment="1">
      <alignment horizontal="left" vertical="center" wrapText="1"/>
    </xf>
    <xf numFmtId="0" fontId="99" fillId="23" borderId="36" xfId="4" applyFont="1" applyFill="1" applyBorder="1" applyAlignment="1">
      <alignment horizontal="center" vertical="center"/>
    </xf>
    <xf numFmtId="0" fontId="99" fillId="23" borderId="37" xfId="4" applyFont="1" applyFill="1" applyBorder="1" applyAlignment="1">
      <alignment horizontal="center" vertical="center"/>
    </xf>
    <xf numFmtId="0" fontId="52" fillId="22" borderId="75" xfId="0" applyFont="1" applyFill="1" applyBorder="1" applyAlignment="1">
      <alignment horizontal="center" vertical="center" wrapText="1"/>
    </xf>
    <xf numFmtId="0" fontId="52" fillId="22" borderId="76" xfId="0" applyFont="1" applyFill="1" applyBorder="1" applyAlignment="1">
      <alignment horizontal="center" vertical="center" wrapText="1"/>
    </xf>
    <xf numFmtId="0" fontId="52" fillId="22" borderId="77" xfId="0" applyFont="1" applyFill="1" applyBorder="1" applyAlignment="1">
      <alignment horizontal="center" vertical="center"/>
    </xf>
    <xf numFmtId="0" fontId="42" fillId="21" borderId="82" xfId="0" applyFont="1" applyFill="1" applyBorder="1" applyAlignment="1">
      <alignment horizontal="center" vertical="center" wrapText="1"/>
    </xf>
    <xf numFmtId="0" fontId="42" fillId="21" borderId="83" xfId="0" applyFont="1" applyFill="1" applyBorder="1" applyAlignment="1">
      <alignment horizontal="center" vertical="center" wrapText="1"/>
    </xf>
    <xf numFmtId="0" fontId="42" fillId="21" borderId="84" xfId="0" applyFont="1" applyFill="1" applyBorder="1" applyAlignment="1">
      <alignment horizontal="center" vertical="center" wrapText="1"/>
    </xf>
    <xf numFmtId="0" fontId="42" fillId="23" borderId="86" xfId="0" applyFont="1" applyFill="1" applyBorder="1" applyAlignment="1">
      <alignment horizontal="center" vertical="center" wrapText="1"/>
    </xf>
    <xf numFmtId="0" fontId="42" fillId="23" borderId="87" xfId="0" applyFont="1" applyFill="1" applyBorder="1" applyAlignment="1">
      <alignment horizontal="center" vertical="center" wrapText="1"/>
    </xf>
    <xf numFmtId="0" fontId="42" fillId="23" borderId="88" xfId="0" applyFont="1" applyFill="1" applyBorder="1" applyAlignment="1">
      <alignment horizontal="center" vertical="center" wrapText="1"/>
    </xf>
    <xf numFmtId="0" fontId="107" fillId="27" borderId="91" xfId="0" applyFont="1" applyFill="1" applyBorder="1" applyAlignment="1">
      <alignment horizontal="center" vertical="center" wrapText="1"/>
    </xf>
    <xf numFmtId="0" fontId="107" fillId="27" borderId="92" xfId="0" applyFont="1" applyFill="1" applyBorder="1" applyAlignment="1">
      <alignment horizontal="center" vertical="center" wrapText="1"/>
    </xf>
    <xf numFmtId="0" fontId="107" fillId="27" borderId="93" xfId="0" applyFont="1" applyFill="1" applyBorder="1" applyAlignment="1">
      <alignment horizontal="center" vertical="center" wrapText="1"/>
    </xf>
    <xf numFmtId="0" fontId="94" fillId="19" borderId="0" xfId="0" applyFont="1" applyFill="1" applyAlignment="1">
      <alignment horizontal="center"/>
    </xf>
    <xf numFmtId="0" fontId="115" fillId="19" borderId="0" xfId="0" applyFont="1" applyFill="1" applyBorder="1" applyAlignment="1">
      <alignment horizontal="right" wrapText="1"/>
    </xf>
    <xf numFmtId="0" fontId="96" fillId="22" borderId="78" xfId="0" applyFont="1" applyFill="1" applyBorder="1" applyAlignment="1">
      <alignment horizontal="center" vertical="center"/>
    </xf>
    <xf numFmtId="0" fontId="95" fillId="22" borderId="79" xfId="0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 wrapText="1"/>
    </xf>
    <xf numFmtId="0" fontId="97" fillId="0" borderId="73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 shrinkToFit="1"/>
    </xf>
    <xf numFmtId="0" fontId="97" fillId="0" borderId="69" xfId="0" applyFont="1" applyBorder="1" applyAlignment="1">
      <alignment horizontal="center" vertical="center" wrapText="1" shrinkToFit="1"/>
    </xf>
    <xf numFmtId="0" fontId="33" fillId="22" borderId="78" xfId="0" applyFont="1" applyFill="1" applyBorder="1" applyAlignment="1">
      <alignment horizontal="center" vertical="center"/>
    </xf>
    <xf numFmtId="0" fontId="33" fillId="22" borderId="79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/>
    </xf>
    <xf numFmtId="164" fontId="4" fillId="13" borderId="47" xfId="0" applyNumberFormat="1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/>
    </xf>
    <xf numFmtId="164" fontId="4" fillId="13" borderId="13" xfId="0" applyNumberFormat="1" applyFont="1" applyFill="1" applyBorder="1" applyAlignment="1">
      <alignment horizontal="center"/>
    </xf>
    <xf numFmtId="164" fontId="4" fillId="13" borderId="3" xfId="0" applyNumberFormat="1" applyFont="1" applyFill="1" applyBorder="1" applyAlignment="1">
      <alignment horizontal="center"/>
    </xf>
    <xf numFmtId="164" fontId="4" fillId="13" borderId="1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52" fillId="0" borderId="122" xfId="158" applyFont="1" applyBorder="1" applyAlignment="1">
      <alignment horizontal="center" vertical="center"/>
    </xf>
    <xf numFmtId="0" fontId="76" fillId="0" borderId="121" xfId="158" applyBorder="1" applyAlignment="1">
      <alignment horizontal="center"/>
    </xf>
    <xf numFmtId="0" fontId="76" fillId="0" borderId="12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16" xfId="158" applyBorder="1" applyAlignment="1">
      <alignment horizontal="center" vertical="center"/>
    </xf>
    <xf numFmtId="0" fontId="76" fillId="0" borderId="6" xfId="158" applyBorder="1" applyAlignment="1">
      <alignment horizontal="center" vertical="center"/>
    </xf>
    <xf numFmtId="0" fontId="4" fillId="0" borderId="11" xfId="0" applyFont="1" applyBorder="1" applyAlignment="1">
      <alignment horizontal="center"/>
    </xf>
  </cellXfs>
  <cellStyles count="168">
    <cellStyle name="čárky 2" xfId="8"/>
    <cellStyle name="čárky 2 2" xfId="9"/>
    <cellStyle name="Hypertextový odkaz" xfId="1" builtinId="8"/>
    <cellStyle name="Hypertextový odkaz 2" xfId="7"/>
    <cellStyle name="Hypertextový odkaz 2 2" xfId="10"/>
    <cellStyle name="Hypertextový odkaz 2 3" xfId="11"/>
    <cellStyle name="Hypertextový odkaz 3" xfId="12"/>
    <cellStyle name="Hypertextový odkaz 4" xfId="13"/>
    <cellStyle name="Hypertextový odkaz 5" xfId="14"/>
    <cellStyle name="Chybně 2" xfId="15"/>
    <cellStyle name="Normal_Sheet2" xfId="16"/>
    <cellStyle name="Normální" xfId="0" builtinId="0"/>
    <cellStyle name="normální 10" xfId="17"/>
    <cellStyle name="normální 10 2" xfId="18"/>
    <cellStyle name="normální 11" xfId="19"/>
    <cellStyle name="normální 11 2" xfId="20"/>
    <cellStyle name="normální 12" xfId="21"/>
    <cellStyle name="normální 13" xfId="22"/>
    <cellStyle name="normální 14" xfId="23"/>
    <cellStyle name="Normální 15" xfId="24"/>
    <cellStyle name="Normální 16" xfId="25"/>
    <cellStyle name="Normální 17" xfId="26"/>
    <cellStyle name="Normální 18" xfId="27"/>
    <cellStyle name="Normální 19" xfId="28"/>
    <cellStyle name="normální 2" xfId="2"/>
    <cellStyle name="Normální 2 2" xfId="29"/>
    <cellStyle name="Normální 2 2 10" xfId="30"/>
    <cellStyle name="normální 2 2 2" xfId="31"/>
    <cellStyle name="normální 2 2 2 2" xfId="32"/>
    <cellStyle name="Normální 2 2 3" xfId="33"/>
    <cellStyle name="Normální 2 2 4" xfId="34"/>
    <cellStyle name="Normální 2 2 5" xfId="35"/>
    <cellStyle name="Normální 2 2 6" xfId="36"/>
    <cellStyle name="Normální 2 2 7" xfId="37"/>
    <cellStyle name="Normální 2 2 8" xfId="38"/>
    <cellStyle name="Normální 2 2 9" xfId="39"/>
    <cellStyle name="Normální 2 3" xfId="40"/>
    <cellStyle name="Normální 20" xfId="41"/>
    <cellStyle name="Normální 21" xfId="42"/>
    <cellStyle name="Normální 22" xfId="43"/>
    <cellStyle name="Normální 23" xfId="44"/>
    <cellStyle name="Normální 24" xfId="45"/>
    <cellStyle name="Normální 25" xfId="46"/>
    <cellStyle name="Normální 26" xfId="47"/>
    <cellStyle name="Normální 27" xfId="48"/>
    <cellStyle name="Normální 28" xfId="49"/>
    <cellStyle name="Normální 29" xfId="50"/>
    <cellStyle name="normální 3" xfId="3"/>
    <cellStyle name="Normální 3 10" xfId="51"/>
    <cellStyle name="Normální 3 11" xfId="52"/>
    <cellStyle name="normální 3 12" xfId="53"/>
    <cellStyle name="normální 3 13" xfId="54"/>
    <cellStyle name="normální 3 14" xfId="55"/>
    <cellStyle name="normální 3 15" xfId="56"/>
    <cellStyle name="normální 3 16" xfId="57"/>
    <cellStyle name="normální 3 17" xfId="58"/>
    <cellStyle name="normální 3 18" xfId="59"/>
    <cellStyle name="normální 3 19" xfId="60"/>
    <cellStyle name="normální 3 2" xfId="61"/>
    <cellStyle name="normální 3 2 2" xfId="62"/>
    <cellStyle name="normální 3 2 2 2" xfId="63"/>
    <cellStyle name="normální 3 20" xfId="64"/>
    <cellStyle name="normální 3 21" xfId="65"/>
    <cellStyle name="normální 3 22" xfId="66"/>
    <cellStyle name="normální 3 23" xfId="67"/>
    <cellStyle name="normální 3 24" xfId="68"/>
    <cellStyle name="normální 3 25" xfId="69"/>
    <cellStyle name="normální 3 26" xfId="70"/>
    <cellStyle name="Normální 3 3" xfId="71"/>
    <cellStyle name="Normální 3 4" xfId="72"/>
    <cellStyle name="Normální 3 5" xfId="73"/>
    <cellStyle name="Normální 3 6" xfId="74"/>
    <cellStyle name="Normální 3 7" xfId="75"/>
    <cellStyle name="Normální 3 8" xfId="76"/>
    <cellStyle name="Normální 3 9" xfId="77"/>
    <cellStyle name="Normální 30" xfId="78"/>
    <cellStyle name="Normální 31" xfId="79"/>
    <cellStyle name="Normální 32" xfId="80"/>
    <cellStyle name="Normální 33" xfId="81"/>
    <cellStyle name="Normální 34" xfId="82"/>
    <cellStyle name="Normální 35" xfId="83"/>
    <cellStyle name="Normální 36" xfId="84"/>
    <cellStyle name="Normální 37" xfId="85"/>
    <cellStyle name="Normální 38" xfId="86"/>
    <cellStyle name="Normální 39" xfId="87"/>
    <cellStyle name="Normální 4" xfId="6"/>
    <cellStyle name="Normální 4 2" xfId="88"/>
    <cellStyle name="Normální 4 3" xfId="89"/>
    <cellStyle name="Normální 4 4" xfId="90"/>
    <cellStyle name="Normální 40" xfId="91"/>
    <cellStyle name="Normální 41" xfId="92"/>
    <cellStyle name="Normální 42" xfId="93"/>
    <cellStyle name="Normální 43" xfId="94"/>
    <cellStyle name="Normální 44" xfId="95"/>
    <cellStyle name="Normální 45" xfId="96"/>
    <cellStyle name="Normální 46" xfId="97"/>
    <cellStyle name="Normální 47" xfId="98"/>
    <cellStyle name="Normální 48" xfId="99"/>
    <cellStyle name="Normální 49" xfId="100"/>
    <cellStyle name="normální 5" xfId="101"/>
    <cellStyle name="Normální 5 10" xfId="102"/>
    <cellStyle name="normální 5 11" xfId="103"/>
    <cellStyle name="normální 5 12" xfId="104"/>
    <cellStyle name="normální 5 13" xfId="105"/>
    <cellStyle name="normální 5 14" xfId="106"/>
    <cellStyle name="normální 5 15" xfId="107"/>
    <cellStyle name="normální 5 16" xfId="108"/>
    <cellStyle name="normální 5 17" xfId="109"/>
    <cellStyle name="normální 5 18" xfId="110"/>
    <cellStyle name="normální 5 19" xfId="111"/>
    <cellStyle name="normální 5 2" xfId="112"/>
    <cellStyle name="normální 5 2 2" xfId="113"/>
    <cellStyle name="normální 5 2 3" xfId="114"/>
    <cellStyle name="normální 5 20" xfId="115"/>
    <cellStyle name="normální 5 21" xfId="116"/>
    <cellStyle name="normální 5 22" xfId="117"/>
    <cellStyle name="normální 5 23" xfId="118"/>
    <cellStyle name="normální 5 24" xfId="119"/>
    <cellStyle name="normální 5 25" xfId="120"/>
    <cellStyle name="normální 5 26" xfId="121"/>
    <cellStyle name="normální 5 27" xfId="122"/>
    <cellStyle name="normální 5 28" xfId="123"/>
    <cellStyle name="normální 5 29" xfId="124"/>
    <cellStyle name="Normální 5 3" xfId="125"/>
    <cellStyle name="normální 5 30" xfId="126"/>
    <cellStyle name="normální 5 31" xfId="127"/>
    <cellStyle name="normální 5 32" xfId="128"/>
    <cellStyle name="normální 5 33" xfId="129"/>
    <cellStyle name="normální 5 34" xfId="130"/>
    <cellStyle name="Normální 5 4" xfId="131"/>
    <cellStyle name="Normální 5 5" xfId="132"/>
    <cellStyle name="Normální 5 6" xfId="133"/>
    <cellStyle name="Normální 5 7" xfId="134"/>
    <cellStyle name="Normální 5 8" xfId="135"/>
    <cellStyle name="Normální 5 9" xfId="136"/>
    <cellStyle name="Normální 50" xfId="137"/>
    <cellStyle name="Normální 51" xfId="138"/>
    <cellStyle name="Normální 52" xfId="139"/>
    <cellStyle name="Normální 53" xfId="140"/>
    <cellStyle name="Normální 54" xfId="141"/>
    <cellStyle name="Normální 55" xfId="142"/>
    <cellStyle name="Normální 56" xfId="143"/>
    <cellStyle name="Normální 57" xfId="144"/>
    <cellStyle name="Normální 58" xfId="145"/>
    <cellStyle name="Normální 59" xfId="146"/>
    <cellStyle name="normální 6" xfId="147"/>
    <cellStyle name="normální 6 10" xfId="148"/>
    <cellStyle name="Normální 6 2" xfId="149"/>
    <cellStyle name="normální 6 3" xfId="150"/>
    <cellStyle name="normální 6 4" xfId="151"/>
    <cellStyle name="normální 6 5" xfId="152"/>
    <cellStyle name="normální 6 6" xfId="153"/>
    <cellStyle name="normální 6 7" xfId="154"/>
    <cellStyle name="normální 6 8" xfId="155"/>
    <cellStyle name="normální 6 9" xfId="156"/>
    <cellStyle name="Normální 60" xfId="157"/>
    <cellStyle name="Normální 61" xfId="158"/>
    <cellStyle name="Normální 62" xfId="4"/>
    <cellStyle name="normální 7" xfId="159"/>
    <cellStyle name="Normální 7 2" xfId="160"/>
    <cellStyle name="Normální 7 3" xfId="161"/>
    <cellStyle name="normální 8" xfId="162"/>
    <cellStyle name="Normální 8 2" xfId="163"/>
    <cellStyle name="Normální 8 3" xfId="164"/>
    <cellStyle name="normální 9" xfId="165"/>
    <cellStyle name="Normální 9 2" xfId="166"/>
    <cellStyle name="Poznámka 2" xfId="167"/>
    <cellStyle name="Procenta 2" xfId="5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solid">
          <fgColor indexed="64"/>
          <bgColor indexed="42"/>
        </patternFill>
      </fill>
      <alignment horizontal="left" vertical="top" textRotation="90" wrapText="1" indent="0" justifyLastLine="0" shrinkToFit="0" readingOrder="0"/>
    </dxf>
    <dxf>
      <font>
        <strike val="0"/>
        <color auto="1"/>
      </font>
      <fill>
        <patternFill>
          <bgColor indexed="22"/>
        </patternFill>
      </fill>
    </dxf>
    <dxf>
      <font>
        <b val="0"/>
        <i val="0"/>
        <color auto="1"/>
      </font>
      <fill>
        <patternFill patternType="none">
          <bgColor indexed="65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3D00"/>
      <rgbColor rgb="00FFFFFF"/>
      <rgbColor rgb="0000BA00"/>
      <rgbColor rgb="00F55470"/>
      <rgbColor rgb="000063D1"/>
      <rgbColor rgb="00FFFF4F"/>
      <rgbColor rgb="0000C477"/>
      <rgbColor rgb="00E8C7FF"/>
      <rgbColor rgb="00007000"/>
      <rgbColor rgb="00A80F00"/>
      <rgbColor rgb="00000A73"/>
      <rgbColor rgb="00FFA817"/>
      <rgbColor rgb="004F9EFF"/>
      <rgbColor rgb="00CC3399"/>
      <rgbColor rgb="00E5E5E5"/>
      <rgbColor rgb="004C4C4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F253F"/>
      <rgbColor rgb="007F7F7F"/>
      <rgbColor rgb="00E5E5E5"/>
      <rgbColor rgb="00BFBFBF"/>
      <rgbColor rgb="00800000"/>
      <rgbColor rgb="00008080"/>
      <rgbColor rgb="000000FF"/>
      <rgbColor rgb="0087C2ED"/>
      <rgbColor rgb="00FFF2FA"/>
      <rgbColor rgb="00FFD1D1"/>
      <rgbColor rgb="00FFFFBA"/>
      <rgbColor rgb="00D4F2FF"/>
      <rgbColor rgb="009EFFA8"/>
      <rgbColor rgb="00E5EDF7"/>
      <rgbColor rgb="00D9FFF0"/>
      <rgbColor rgb="0021C4FF"/>
      <rgbColor rgb="00FFBAE3"/>
      <rgbColor rgb="00FFD90F"/>
      <rgbColor rgb="0021E3BD"/>
      <rgbColor rgb="00B2FF66"/>
      <rgbColor rgb="00759100"/>
      <rgbColor rgb="001747BA"/>
      <rgbColor rgb="00999999"/>
      <rgbColor rgb="00663399"/>
      <rgbColor rgb="00FF2E38"/>
      <rgbColor rgb="00690000"/>
      <rgbColor rgb="00FF6B08"/>
      <rgbColor rgb="004F4F00"/>
      <rgbColor rgb="005288B8"/>
      <rgbColor rgb="00003687"/>
      <rgbColor rgb="00000000"/>
    </indexedColors>
    <mruColors>
      <color rgb="FF00ADD0"/>
      <color rgb="FF003C69"/>
      <color rgb="FFF45E5E"/>
      <color rgb="FF00C0E6"/>
      <color rgb="FF0CD0EA"/>
      <color rgb="FF00233E"/>
      <color rgb="FF007D96"/>
      <color rgb="FF9BEEFF"/>
      <color rgb="FF008FAC"/>
      <color rgb="FF00C6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2.3775093190703409E-2"/>
          <c:w val="0.96816447944008066"/>
          <c:h val="0.95575874626628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Org_nast!$AG$9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Org_nast!$AG$10:$AG$34</c:f>
              <c:numCache>
                <c:formatCode>0.00%</c:formatCode>
                <c:ptCount val="25"/>
                <c:pt idx="0">
                  <c:v>0.31299917678054701</c:v>
                </c:pt>
                <c:pt idx="1">
                  <c:v>0.19869233043269763</c:v>
                </c:pt>
                <c:pt idx="2">
                  <c:v>0.14731820587929806</c:v>
                </c:pt>
                <c:pt idx="3">
                  <c:v>0.18613936496178266</c:v>
                </c:pt>
                <c:pt idx="4">
                  <c:v>0.39531576789548367</c:v>
                </c:pt>
                <c:pt idx="5">
                  <c:v>0.29255020348971833</c:v>
                </c:pt>
                <c:pt idx="6">
                  <c:v>0.27391987486586561</c:v>
                </c:pt>
                <c:pt idx="7">
                  <c:v>0.19549730618544589</c:v>
                </c:pt>
                <c:pt idx="8">
                  <c:v>0.43066874716113068</c:v>
                </c:pt>
                <c:pt idx="9">
                  <c:v>0.20418823950810852</c:v>
                </c:pt>
                <c:pt idx="10">
                  <c:v>0.3625894918701692</c:v>
                </c:pt>
                <c:pt idx="11">
                  <c:v>0.22999830260070839</c:v>
                </c:pt>
                <c:pt idx="12">
                  <c:v>0.20344668657497847</c:v>
                </c:pt>
                <c:pt idx="13">
                  <c:v>0.13537043129756973</c:v>
                </c:pt>
                <c:pt idx="14">
                  <c:v>0.38948352437196482</c:v>
                </c:pt>
                <c:pt idx="15">
                  <c:v>0.25292771720968493</c:v>
                </c:pt>
                <c:pt idx="16">
                  <c:v>0.17346313294460738</c:v>
                </c:pt>
                <c:pt idx="17">
                  <c:v>0.23450078979827926</c:v>
                </c:pt>
                <c:pt idx="18">
                  <c:v>0.4431373148656883</c:v>
                </c:pt>
                <c:pt idx="19">
                  <c:v>0.20059823561751861</c:v>
                </c:pt>
                <c:pt idx="20">
                  <c:v>0.26678340822649999</c:v>
                </c:pt>
                <c:pt idx="21">
                  <c:v>0.2304262939055485</c:v>
                </c:pt>
                <c:pt idx="22">
                  <c:v>0.19614408177093828</c:v>
                </c:pt>
                <c:pt idx="23">
                  <c:v>0.3202391563227443</c:v>
                </c:pt>
                <c:pt idx="24">
                  <c:v>0.30321430370149666</c:v>
                </c:pt>
              </c:numCache>
            </c:numRef>
          </c:val>
        </c:ser>
        <c:ser>
          <c:idx val="1"/>
          <c:order val="1"/>
          <c:tx>
            <c:strRef>
              <c:f>Org_nast!$AH$9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4C4C4C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Org_nast!$AH$10:$AH$34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8231808"/>
        <c:axId val="84025344"/>
      </c:barChart>
      <c:scatterChart>
        <c:scatterStyle val="lineMarker"/>
        <c:varyColors val="0"/>
        <c:ser>
          <c:idx val="6"/>
          <c:order val="2"/>
          <c:tx>
            <c:v>MinXY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Org_nast!$AI$10:$AI$34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ser>
          <c:idx val="3"/>
          <c:order val="3"/>
          <c:tx>
            <c:v>MaxXY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Org_nast!$AJ$10:$AJ$34</c:f>
              <c:numCache>
                <c:formatCode>0.00%</c:formatCode>
                <c:ptCount val="25"/>
                <c:pt idx="0">
                  <c:v>0.87606844638229608</c:v>
                </c:pt>
                <c:pt idx="1">
                  <c:v>0.87606844638229608</c:v>
                </c:pt>
                <c:pt idx="2">
                  <c:v>0.87606844638229608</c:v>
                </c:pt>
                <c:pt idx="3">
                  <c:v>0.87606844638229608</c:v>
                </c:pt>
                <c:pt idx="4">
                  <c:v>0.87606844638229608</c:v>
                </c:pt>
                <c:pt idx="5">
                  <c:v>0.87606844638229608</c:v>
                </c:pt>
                <c:pt idx="6">
                  <c:v>0.87606844638229608</c:v>
                </c:pt>
                <c:pt idx="7">
                  <c:v>0.87606844638229608</c:v>
                </c:pt>
                <c:pt idx="8">
                  <c:v>0.87606844638229608</c:v>
                </c:pt>
                <c:pt idx="9">
                  <c:v>0.87606844638229608</c:v>
                </c:pt>
                <c:pt idx="10">
                  <c:v>0.87606844638229608</c:v>
                </c:pt>
                <c:pt idx="11">
                  <c:v>0.87606844638229608</c:v>
                </c:pt>
                <c:pt idx="12">
                  <c:v>0.87606844638229608</c:v>
                </c:pt>
                <c:pt idx="13">
                  <c:v>0.87606844638229608</c:v>
                </c:pt>
                <c:pt idx="14">
                  <c:v>0.87606844638229608</c:v>
                </c:pt>
                <c:pt idx="15">
                  <c:v>0.87606844638229608</c:v>
                </c:pt>
                <c:pt idx="16">
                  <c:v>0.87606844638229608</c:v>
                </c:pt>
                <c:pt idx="17">
                  <c:v>0.87606844638229608</c:v>
                </c:pt>
                <c:pt idx="18">
                  <c:v>0.87606844638229608</c:v>
                </c:pt>
                <c:pt idx="19">
                  <c:v>0.87606844638229608</c:v>
                </c:pt>
                <c:pt idx="20">
                  <c:v>0.87606844638229608</c:v>
                </c:pt>
                <c:pt idx="21">
                  <c:v>0.87606844638229608</c:v>
                </c:pt>
                <c:pt idx="22">
                  <c:v>0.87606844638229608</c:v>
                </c:pt>
                <c:pt idx="23">
                  <c:v>0.87606844638229608</c:v>
                </c:pt>
                <c:pt idx="24">
                  <c:v>0.87606844638229608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26880"/>
        <c:axId val="84028416"/>
      </c:scatterChart>
      <c:catAx>
        <c:axId val="782318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84025344"/>
        <c:crosses val="autoZero"/>
        <c:auto val="1"/>
        <c:lblAlgn val="ctr"/>
        <c:lblOffset val="100"/>
        <c:noMultiLvlLbl val="0"/>
      </c:catAx>
      <c:valAx>
        <c:axId val="84025344"/>
        <c:scaling>
          <c:orientation val="minMax"/>
          <c:max val="1"/>
        </c:scaling>
        <c:delete val="1"/>
        <c:axPos val="t"/>
        <c:numFmt formatCode="0.00%" sourceLinked="1"/>
        <c:majorTickMark val="out"/>
        <c:minorTickMark val="none"/>
        <c:tickLblPos val="nextTo"/>
        <c:crossAx val="78231808"/>
        <c:crosses val="autoZero"/>
        <c:crossBetween val="between"/>
      </c:valAx>
      <c:valAx>
        <c:axId val="8402688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84028416"/>
        <c:crossesAt val="10"/>
        <c:crossBetween val="midCat"/>
        <c:majorUnit val="100"/>
      </c:valAx>
      <c:valAx>
        <c:axId val="84028416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026880"/>
        <c:crosses val="max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1996050218668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Org_nast!$AB$9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Org_nast!$AB$10:$AB$34</c:f>
              <c:numCache>
                <c:formatCode>0.00%</c:formatCode>
                <c:ptCount val="25"/>
                <c:pt idx="0">
                  <c:v>1.6584194118741857</c:v>
                </c:pt>
                <c:pt idx="1">
                  <c:v>1.4347047072789534</c:v>
                </c:pt>
                <c:pt idx="2">
                  <c:v>1.4205153688557659</c:v>
                </c:pt>
                <c:pt idx="3">
                  <c:v>1.3247548192567273</c:v>
                </c:pt>
                <c:pt idx="4">
                  <c:v>1.2008108265762518</c:v>
                </c:pt>
                <c:pt idx="5">
                  <c:v>1.1621505979481577</c:v>
                </c:pt>
                <c:pt idx="6">
                  <c:v>#N/A</c:v>
                </c:pt>
                <c:pt idx="7">
                  <c:v>#N/A</c:v>
                </c:pt>
                <c:pt idx="8">
                  <c:v>1.1330583607493407</c:v>
                </c:pt>
                <c:pt idx="9">
                  <c:v>#N/A</c:v>
                </c:pt>
                <c:pt idx="10">
                  <c:v>#N/A</c:v>
                </c:pt>
                <c:pt idx="11">
                  <c:v>1.1977582355192815</c:v>
                </c:pt>
                <c:pt idx="12">
                  <c:v>1.4123622819640842</c:v>
                </c:pt>
                <c:pt idx="13">
                  <c:v>1.4700138506449294</c:v>
                </c:pt>
                <c:pt idx="14">
                  <c:v>1.1255590169608862</c:v>
                </c:pt>
                <c:pt idx="15">
                  <c:v>#N/A</c:v>
                </c:pt>
                <c:pt idx="16">
                  <c:v>1.2229257400412614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Org_nast!$AC$9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Org_nast!$AC$10:$AC$34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0.99930403291400072</c:v>
                </c:pt>
                <c:pt idx="7">
                  <c:v>0.91625757569168742</c:v>
                </c:pt>
                <c:pt idx="8">
                  <c:v>#N/A</c:v>
                </c:pt>
                <c:pt idx="9">
                  <c:v>0.87186468181442123</c:v>
                </c:pt>
                <c:pt idx="10">
                  <c:v>0.86922056502558609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0.90286698043221714</c:v>
                </c:pt>
                <c:pt idx="16">
                  <c:v>#N/A</c:v>
                </c:pt>
                <c:pt idx="17">
                  <c:v>0.84670729960117852</c:v>
                </c:pt>
                <c:pt idx="18">
                  <c:v>0.80894508080589778</c:v>
                </c:pt>
                <c:pt idx="19">
                  <c:v>0.80226221378111884</c:v>
                </c:pt>
                <c:pt idx="20">
                  <c:v>0.73633538226867024</c:v>
                </c:pt>
                <c:pt idx="21">
                  <c:v>0.7285973734445701</c:v>
                </c:pt>
                <c:pt idx="22">
                  <c:v>0.78828588552611656</c:v>
                </c:pt>
                <c:pt idx="23">
                  <c:v>0.7315787438620065</c:v>
                </c:pt>
                <c:pt idx="24">
                  <c:v>0.88651089536138084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4044800"/>
        <c:axId val="84067072"/>
      </c:barChart>
      <c:catAx>
        <c:axId val="84044800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84067072"/>
        <c:crossesAt val="0"/>
        <c:auto val="1"/>
        <c:lblAlgn val="ctr"/>
        <c:lblOffset val="100"/>
        <c:tickLblSkip val="1"/>
        <c:noMultiLvlLbl val="0"/>
      </c:catAx>
      <c:valAx>
        <c:axId val="84067072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8404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2029914529912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Org_nast!$W$9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Org_nast!$W$10:$W$34</c:f>
              <c:numCache>
                <c:formatCode>0.00%</c:formatCode>
                <c:ptCount val="25"/>
                <c:pt idx="0">
                  <c:v>0.8148021496370742</c:v>
                </c:pt>
                <c:pt idx="1">
                  <c:v>0.92382446322067602</c:v>
                </c:pt>
                <c:pt idx="2">
                  <c:v>0.85456980674013738</c:v>
                </c:pt>
                <c:pt idx="3">
                  <c:v>0.87097416017690588</c:v>
                </c:pt>
                <c:pt idx="4">
                  <c:v>0.82990046649411731</c:v>
                </c:pt>
                <c:pt idx="5">
                  <c:v>#N/A</c:v>
                </c:pt>
                <c:pt idx="6">
                  <c:v>#N/A</c:v>
                </c:pt>
                <c:pt idx="7">
                  <c:v>0.85756219345355877</c:v>
                </c:pt>
                <c:pt idx="8">
                  <c:v>#N/A</c:v>
                </c:pt>
                <c:pt idx="9">
                  <c:v>1.1868758579465541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1.122012407643312</c:v>
                </c:pt>
                <c:pt idx="21">
                  <c:v>0.91594754934210521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Org_nast!$X$9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Org_nast!$X$10:$X$34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0.7960067018757967</c:v>
                </c:pt>
                <c:pt idx="6">
                  <c:v>0.76519515508079383</c:v>
                </c:pt>
                <c:pt idx="7">
                  <c:v>#N/A</c:v>
                </c:pt>
                <c:pt idx="8">
                  <c:v>0.65812674885321099</c:v>
                </c:pt>
                <c:pt idx="9">
                  <c:v>#N/A</c:v>
                </c:pt>
                <c:pt idx="10">
                  <c:v>0.78616803314539285</c:v>
                </c:pt>
                <c:pt idx="11">
                  <c:v>0.61680587616471294</c:v>
                </c:pt>
                <c:pt idx="12">
                  <c:v>0.60730201411161</c:v>
                </c:pt>
                <c:pt idx="13">
                  <c:v>0.60492529153838981</c:v>
                </c:pt>
                <c:pt idx="14">
                  <c:v>0.55992558265582648</c:v>
                </c:pt>
                <c:pt idx="15">
                  <c:v>0.67265298818828223</c:v>
                </c:pt>
                <c:pt idx="16">
                  <c:v>0.50877859680284199</c:v>
                </c:pt>
                <c:pt idx="17">
                  <c:v>0.68576315140845068</c:v>
                </c:pt>
                <c:pt idx="18">
                  <c:v>0.72353658850226932</c:v>
                </c:pt>
                <c:pt idx="19">
                  <c:v>0.73100742899211801</c:v>
                </c:pt>
                <c:pt idx="20">
                  <c:v>#N/A</c:v>
                </c:pt>
                <c:pt idx="21">
                  <c:v>#N/A</c:v>
                </c:pt>
                <c:pt idx="22">
                  <c:v>0.71849572471840584</c:v>
                </c:pt>
                <c:pt idx="23">
                  <c:v>0.7835390013994985</c:v>
                </c:pt>
                <c:pt idx="24">
                  <c:v>0.59386949144706425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4112512"/>
        <c:axId val="84114048"/>
      </c:barChart>
      <c:catAx>
        <c:axId val="84112512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84114048"/>
        <c:crossesAt val="0"/>
        <c:auto val="1"/>
        <c:lblAlgn val="ctr"/>
        <c:lblOffset val="100"/>
        <c:tickLblSkip val="1"/>
        <c:noMultiLvlLbl val="0"/>
      </c:catAx>
      <c:valAx>
        <c:axId val="84114048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8411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cs-CZ">
                <a:solidFill>
                  <a:srgbClr val="00233E"/>
                </a:solidFill>
              </a:rPr>
              <a:t>Počty organizací dle úrovně ratingu</a:t>
            </a:r>
          </a:p>
        </c:rich>
      </c:tx>
      <c:layout>
        <c:manualLayout>
          <c:xMode val="edge"/>
          <c:yMode val="edge"/>
          <c:x val="0.34478023388120616"/>
          <c:y val="1.7528539980398324E-2"/>
        </c:manualLayout>
      </c:layout>
      <c:overlay val="0"/>
      <c:spPr>
        <a:solidFill>
          <a:sysClr val="window" lastClr="FFFFFF"/>
        </a:solidFill>
        <a:ln w="127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09297178006223E-2"/>
          <c:y val="1.0495356320732572E-2"/>
          <c:w val="0.91027438936263738"/>
          <c:h val="0.91464281566154815"/>
        </c:manualLayout>
      </c:layout>
      <c:lineChart>
        <c:grouping val="standard"/>
        <c:varyColors val="0"/>
        <c:ser>
          <c:idx val="1"/>
          <c:order val="0"/>
          <c:tx>
            <c:strRef>
              <c:f>data!$BG$26</c:f>
              <c:strCache>
                <c:ptCount val="1"/>
                <c:pt idx="0">
                  <c:v>A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circle"/>
            <c:size val="15"/>
            <c:spPr>
              <a:solidFill>
                <a:srgbClr val="00B050"/>
              </a:solidFill>
            </c:spPr>
          </c:marker>
          <c:dLbls>
            <c:dLbl>
              <c:idx val="2"/>
              <c:layout>
                <c:manualLayout>
                  <c:x val="-8.6575563978932976E-5"/>
                  <c:y val="-1.6307787579213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786605479530085E-3"/>
                  <c:y val="-8.4737650216212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2007544701561858E-2"/>
                  <c:y val="2.574044180454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3.5155501427739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6179723095101256E-3"/>
                  <c:y val="2.117857551449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166814060091242E-2"/>
                  <c:y val="3.258325279715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1912935397863573E-2"/>
                  <c:y val="3.4864188253685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848197430753692E-2"/>
                  <c:y val="-2.900200452918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0848197430753692E-2"/>
                  <c:y val="-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883535339003659E-3"/>
                  <c:y val="-2.4440133616121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C47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data!$BG$27:$BG$42</c:f>
              <c:numCache>
                <c:formatCode>@</c:formatCode>
                <c:ptCount val="16"/>
                <c:pt idx="0">
                  <c:v>37</c:v>
                </c:pt>
                <c:pt idx="1">
                  <c:v>58</c:v>
                </c:pt>
                <c:pt idx="2" formatCode="General">
                  <c:v>62</c:v>
                </c:pt>
                <c:pt idx="3">
                  <c:v>48</c:v>
                </c:pt>
                <c:pt idx="4">
                  <c:v>32</c:v>
                </c:pt>
                <c:pt idx="5">
                  <c:v>26</c:v>
                </c:pt>
                <c:pt idx="6">
                  <c:v>32</c:v>
                </c:pt>
                <c:pt idx="7" formatCode="General">
                  <c:v>33</c:v>
                </c:pt>
                <c:pt idx="8" formatCode="General">
                  <c:v>37</c:v>
                </c:pt>
                <c:pt idx="9" formatCode="General">
                  <c:v>38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data!$BH$26</c:f>
              <c:strCache>
                <c:ptCount val="1"/>
                <c:pt idx="0">
                  <c:v>B</c:v>
                </c:pt>
              </c:strCache>
            </c:strRef>
          </c:tx>
          <c:spPr>
            <a:ln w="31750">
              <a:solidFill>
                <a:srgbClr val="F79646"/>
              </a:solidFill>
            </a:ln>
          </c:spPr>
          <c:marker>
            <c:symbol val="circle"/>
            <c:size val="15"/>
            <c:spPr>
              <a:solidFill>
                <a:srgbClr val="F79646"/>
              </a:solidFill>
            </c:spPr>
          </c:marker>
          <c:dLbls>
            <c:dLbl>
              <c:idx val="1"/>
              <c:layout>
                <c:manualLayout>
                  <c:x val="-4.5082249056912285E-2"/>
                  <c:y val="8.47376349972305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869466669994E-2"/>
                  <c:y val="1.303563359346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57046148137E-2"/>
                  <c:y val="2.900218413040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700074266026813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-3.258307319593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48288714872959E-2"/>
                  <c:y val="-3.258307319593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6179723095100406E-3"/>
                  <c:y val="-6.499768045028180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21787049344E-2"/>
                  <c:y val="-3.018556890914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356404901531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515800185635385E-2"/>
                  <c:y val="2.67212486738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A81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data!$BH$27:$BH$42</c:f>
              <c:numCache>
                <c:formatCode>General</c:formatCode>
                <c:ptCount val="16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35</c:v>
                </c:pt>
                <c:pt idx="7">
                  <c:v>39</c:v>
                </c:pt>
                <c:pt idx="8">
                  <c:v>39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data!$BI$26</c:f>
              <c:strCache>
                <c:ptCount val="1"/>
                <c:pt idx="0">
                  <c:v>C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2007544701561858E-2"/>
                  <c:y val="-2.900199932038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700074266026813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13165360816912E-2"/>
                  <c:y val="-3.3563875442245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765762028874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-2.871069135512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53211530376885E-2"/>
                  <c:y val="3.72616843947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9352233284319664E-5"/>
                  <c:y val="-1.3035456333466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21787049344E-2"/>
                  <c:y val="2.947755214808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680076912347528E-2"/>
                  <c:y val="3.0302317340623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2E38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data!$BI$27:$BI$42</c:f>
              <c:numCache>
                <c:formatCode>General</c:formatCode>
                <c:ptCount val="16"/>
                <c:pt idx="0">
                  <c:v>46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  <c:pt idx="8">
                  <c:v>45</c:v>
                </c:pt>
                <c:pt idx="9">
                  <c:v>40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data!$BJ$26</c:f>
              <c:strCache>
                <c:ptCount val="1"/>
                <c:pt idx="0">
                  <c:v>D</c:v>
                </c:pt>
              </c:strCache>
            </c:strRef>
          </c:tx>
          <c:spPr>
            <a:ln w="31750">
              <a:solidFill>
                <a:sysClr val="windowText" lastClr="000000"/>
              </a:solidFill>
            </a:ln>
          </c:spPr>
          <c:marker>
            <c:symbol val="circle"/>
            <c:size val="1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2.77762207903994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16127991932938E-2"/>
                  <c:y val="3.5844984062190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486436159322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70688084958519E-3"/>
                  <c:y val="6.19264885166594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-3.942587248459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21787049344E-2"/>
                  <c:y val="-3.403913984436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53809483794335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-3.258306734397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0302132297106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2.672124867386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9.3614602830099803E-3"/>
                  <c:y val="-2.117839591328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data!$BJ$27:$BJ$42</c:f>
              <c:numCache>
                <c:formatCode>General</c:formatCode>
                <c:ptCount val="16"/>
                <c:pt idx="0">
                  <c:v>58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  <c:pt idx="4">
                  <c:v>59</c:v>
                </c:pt>
                <c:pt idx="5">
                  <c:v>56</c:v>
                </c:pt>
                <c:pt idx="6">
                  <c:v>56</c:v>
                </c:pt>
                <c:pt idx="7">
                  <c:v>54</c:v>
                </c:pt>
                <c:pt idx="8">
                  <c:v>52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88608"/>
        <c:axId val="85631360"/>
      </c:lineChart>
      <c:catAx>
        <c:axId val="85588608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5631360"/>
        <c:crosses val="autoZero"/>
        <c:auto val="1"/>
        <c:lblAlgn val="ctr"/>
        <c:lblOffset val="100"/>
        <c:noMultiLvlLbl val="0"/>
      </c:catAx>
      <c:valAx>
        <c:axId val="85631360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rgbClr val="003C69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5588608"/>
        <c:crosses val="autoZero"/>
        <c:crossBetween val="between"/>
      </c:valAx>
      <c:spPr>
        <a:solidFill>
          <a:sysClr val="window" lastClr="FFFFFF"/>
        </a:solidFill>
        <a:ln>
          <a:solidFill>
            <a:srgbClr val="00233E"/>
          </a:solidFill>
        </a:ln>
      </c:spPr>
    </c:plotArea>
    <c:legend>
      <c:legendPos val="tr"/>
      <c:layout>
        <c:manualLayout>
          <c:xMode val="edge"/>
          <c:yMode val="edge"/>
          <c:x val="0.74325348789145806"/>
          <c:y val="1.8475577197901324E-2"/>
          <c:w val="0.17021635931872148"/>
          <c:h val="5.3602983837546622E-2"/>
        </c:manualLayout>
      </c:layout>
      <c:overlay val="0"/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rgbClr val="4F81BD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anchor="t" anchorCtr="1"/>
          <a:lstStyle/>
          <a:p>
            <a:pPr>
              <a:defRPr sz="1400" b="1" i="0" u="none" strike="noStrike" baseline="0">
                <a:solidFill>
                  <a:srgbClr val="00233E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Vývoj využívání SSN v průběhu let 2011/2015</a:t>
            </a:r>
            <a:r>
              <a:rPr lang="cs-CZ" baseline="0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včetně procentuálního plnění plánu</a:t>
            </a:r>
          </a:p>
        </c:rich>
      </c:tx>
      <c:layout>
        <c:manualLayout>
          <c:xMode val="edge"/>
          <c:yMode val="edge"/>
          <c:x val="0.18447262247838617"/>
          <c:y val="2.8075646550453633E-2"/>
        </c:manualLayout>
      </c:layout>
      <c:overlay val="1"/>
      <c:spPr>
        <a:solidFill>
          <a:sysClr val="window" lastClr="FFFFFF"/>
        </a:solidFill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62782999091645E-2"/>
          <c:y val="1.9953393809780853E-2"/>
          <c:w val="0.89508916873384092"/>
          <c:h val="0.80405546789522486"/>
        </c:manualLayout>
      </c:layout>
      <c:lineChart>
        <c:grouping val="standard"/>
        <c:varyColors val="0"/>
        <c:ser>
          <c:idx val="0"/>
          <c:order val="0"/>
          <c:tx>
            <c:strRef>
              <c:f>data!$AZ$1</c:f>
              <c:strCache>
                <c:ptCount val="1"/>
                <c:pt idx="0">
                  <c:v>Evidované nákupy
(čtvrtletní plán = 973,16 mil.Kč)</c:v>
                </c:pt>
              </c:strCache>
            </c:strRef>
          </c:tx>
          <c:spPr>
            <a:ln w="50800">
              <a:solidFill>
                <a:srgbClr val="00ADD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17470244334194E-2"/>
                  <c:y val="-8.4183807100933136E-3"/>
                </c:manualLayout>
              </c:layout>
              <c:tx>
                <c:strRef>
                  <c:f>data!$BC$12</c:f>
                  <c:strCache>
                    <c:ptCount val="1"/>
                    <c:pt idx="0">
                      <c:v>5,33%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data!$BC$13</c:f>
                  <c:strCache>
                    <c:ptCount val="1"/>
                    <c:pt idx="0">
                      <c:v>6,45%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75445834719692E-2"/>
                  <c:y val="-2.8900089886106338E-2"/>
                </c:manualLayout>
              </c:layout>
              <c:tx>
                <c:strRef>
                  <c:f>data!$BC$14</c:f>
                  <c:strCache>
                    <c:ptCount val="1"/>
                    <c:pt idx="0">
                      <c:v>11,34%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data!$BC$15</c:f>
                  <c:strCache>
                    <c:ptCount val="1"/>
                    <c:pt idx="0">
                      <c:v>20,46%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403188237833906E-2"/>
                  <c:y val="-2.4842894282295098E-2"/>
                </c:manualLayout>
              </c:layout>
              <c:tx>
                <c:strRef>
                  <c:f>data!$BC$16</c:f>
                  <c:strCache>
                    <c:ptCount val="1"/>
                    <c:pt idx="0">
                      <c:v>67,17%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419991667992709E-2"/>
                  <c:y val="-2.6491749062264123E-2"/>
                </c:manualLayout>
              </c:layout>
              <c:tx>
                <c:strRef>
                  <c:f>data!$BC$17</c:f>
                  <c:strCache>
                    <c:ptCount val="1"/>
                    <c:pt idx="0">
                      <c:v>68,25%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7331812500904119E-2"/>
                  <c:y val="3.1308430709948536E-2"/>
                </c:manualLayout>
              </c:layout>
              <c:tx>
                <c:strRef>
                  <c:f>data!$BC$18</c:f>
                  <c:strCache>
                    <c:ptCount val="1"/>
                    <c:pt idx="0">
                      <c:v>67,31%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7793684880299056E-3"/>
                  <c:y val="-2.2915364821288562E-2"/>
                </c:manualLayout>
              </c:layout>
              <c:tx>
                <c:strRef>
                  <c:f>data!$BC$19</c:f>
                  <c:strCache>
                    <c:ptCount val="1"/>
                    <c:pt idx="0">
                      <c:v>80,06%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5396825396825397E-2"/>
                  <c:y val="1.6377460487764617E-2"/>
                </c:manualLayout>
              </c:layout>
              <c:tx>
                <c:strRef>
                  <c:f>data!$BC$20</c:f>
                  <c:strCache>
                    <c:ptCount val="1"/>
                    <c:pt idx="0">
                      <c:v>75,90%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088023088023088E-2"/>
                  <c:y val="1.6377460487764662E-2"/>
                </c:manualLayout>
              </c:layout>
              <c:tx>
                <c:strRef>
                  <c:f>data!$BC$21</c:f>
                  <c:strCache>
                    <c:ptCount val="1"/>
                    <c:pt idx="0">
                      <c:v>76,96%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396825396825397E-2"/>
                  <c:y val="2.1056734912840224E-2"/>
                </c:manualLayout>
              </c:layout>
              <c:tx>
                <c:strRef>
                  <c:f>data!$BC$22</c:f>
                  <c:strCache>
                    <c:ptCount val="1"/>
                    <c:pt idx="0">
                      <c:v>79,41%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933621933621934E-2"/>
                  <c:y val="-1.8717097700302426E-2"/>
                </c:manualLayout>
              </c:layout>
              <c:tx>
                <c:strRef>
                  <c:f>data!$BC$23</c:f>
                  <c:strCache>
                    <c:ptCount val="1"/>
                    <c:pt idx="0">
                      <c:v>86,92%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779220779220779E-2"/>
                  <c:y val="1.8717097700302422E-2"/>
                </c:manualLayout>
              </c:layout>
              <c:tx>
                <c:strRef>
                  <c:f>data!$BC$24</c:f>
                  <c:strCache>
                    <c:ptCount val="1"/>
                    <c:pt idx="0">
                      <c:v>73,39%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9624819624819625E-2"/>
                  <c:y val="1.6377460487764617E-2"/>
                </c:manualLayout>
              </c:layout>
              <c:tx>
                <c:strRef>
                  <c:f>data!$BC$25</c:f>
                  <c:strCache>
                    <c:ptCount val="1"/>
                    <c:pt idx="0">
                      <c:v>79,44%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4242424242424242E-2"/>
                  <c:y val="1.4037823275226794E-2"/>
                </c:manualLayout>
              </c:layout>
              <c:tx>
                <c:strRef>
                  <c:f>data!$BC$26</c:f>
                  <c:strCache>
                    <c:ptCount val="1"/>
                    <c:pt idx="0">
                      <c:v>78,48%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088023088023088E-2"/>
                  <c:y val="-2.3396372125378026E-2"/>
                </c:manualLayout>
              </c:layout>
              <c:tx>
                <c:strRef>
                  <c:f>data!$BC$27</c:f>
                  <c:strCache>
                    <c:ptCount val="1"/>
                    <c:pt idx="0">
                      <c:v>108,57%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867243867243867E-2"/>
                  <c:y val="1.1698186062689013E-2"/>
                </c:manualLayout>
              </c:layout>
              <c:tx>
                <c:strRef>
                  <c:f>data!$BC$28</c:f>
                  <c:strCache>
                    <c:ptCount val="1"/>
                    <c:pt idx="0">
                      <c:v>73,80%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305254337168133E-2"/>
                  <c:y val="-2.533103510551455E-2"/>
                </c:manualLayout>
              </c:layout>
              <c:tx>
                <c:strRef>
                  <c:f>data!$BC$29</c:f>
                  <c:strCache>
                    <c:ptCount val="1"/>
                    <c:pt idx="0">
                      <c:v>76,32%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663052046017596E-2"/>
                  <c:y val="2.0725392359057359E-2"/>
                </c:manualLayout>
              </c:layout>
              <c:tx>
                <c:strRef>
                  <c:f>data!$BC$30</c:f>
                  <c:strCache>
                    <c:ptCount val="1"/>
                    <c:pt idx="0">
                      <c:v>74,80%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6449706267128222E-2"/>
                  <c:y val="-1.3816928239371572E-2"/>
                </c:manualLayout>
              </c:layout>
              <c:tx>
                <c:strRef>
                  <c:f>data!$BC$31</c:f>
                  <c:strCache>
                    <c:ptCount val="1"/>
                    <c:pt idx="0">
                      <c:v>89,64%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1611373762395081E-2"/>
                  <c:y val="2.3028213732285953E-2"/>
                </c:manualLayout>
              </c:layout>
              <c:tx>
                <c:strRef>
                  <c:f>data!$BC$32</c:f>
                  <c:strCache>
                    <c:ptCount val="1"/>
                    <c:pt idx="0">
                      <c:v>63,04%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6161136659741416E-2"/>
                  <c:y val="-2.3028213732285953E-2"/>
                </c:manualLayout>
              </c:layout>
              <c:tx>
                <c:strRef>
                  <c:f>data!$BC$33</c:f>
                  <c:strCache>
                    <c:ptCount val="1"/>
                    <c:pt idx="0">
                      <c:v>64,26%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ADD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data!$AY$12:$AY$33</c:f>
              <c:strCache>
                <c:ptCount val="22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</c:strCache>
            </c:strRef>
          </c:cat>
          <c:val>
            <c:numRef>
              <c:f>data!$AZ$12:$AZ$33</c:f>
              <c:numCache>
                <c:formatCode>#,##0</c:formatCode>
                <c:ptCount val="22"/>
                <c:pt idx="0">
                  <c:v>51870411.880000003</c:v>
                </c:pt>
                <c:pt idx="1">
                  <c:v>62751340.210000001</c:v>
                </c:pt>
                <c:pt idx="2">
                  <c:v>110363616.52</c:v>
                </c:pt>
                <c:pt idx="3">
                  <c:v>199153726.84</c:v>
                </c:pt>
                <c:pt idx="4">
                  <c:v>653670898.28999996</c:v>
                </c:pt>
                <c:pt idx="5">
                  <c:v>664181379.42999995</c:v>
                </c:pt>
                <c:pt idx="6">
                  <c:v>654998860.82000005</c:v>
                </c:pt>
                <c:pt idx="7">
                  <c:v>779127051.28999996</c:v>
                </c:pt>
                <c:pt idx="8">
                  <c:v>738674343.14999998</c:v>
                </c:pt>
                <c:pt idx="9">
                  <c:v>748931339.27999997</c:v>
                </c:pt>
                <c:pt idx="10">
                  <c:v>772737331.25999999</c:v>
                </c:pt>
                <c:pt idx="11">
                  <c:v>845864165.87</c:v>
                </c:pt>
                <c:pt idx="12">
                  <c:v>702868285.49000001</c:v>
                </c:pt>
                <c:pt idx="13">
                  <c:v>760805453.25999999</c:v>
                </c:pt>
                <c:pt idx="14">
                  <c:v>751638238.72000003</c:v>
                </c:pt>
                <c:pt idx="15">
                  <c:v>1039850438.64</c:v>
                </c:pt>
                <c:pt idx="16">
                  <c:v>688416275.38</c:v>
                </c:pt>
                <c:pt idx="17">
                  <c:v>711971191.53999996</c:v>
                </c:pt>
                <c:pt idx="18">
                  <c:v>697799609.38</c:v>
                </c:pt>
                <c:pt idx="19">
                  <c:v>836186587.54999995</c:v>
                </c:pt>
                <c:pt idx="20">
                  <c:v>588065190.44000006</c:v>
                </c:pt>
                <c:pt idx="21">
                  <c:v>599397867.48000002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data!$BA$1</c:f>
              <c:strCache>
                <c:ptCount val="1"/>
                <c:pt idx="0">
                  <c:v>Nákupy zařazené do eVŘ a realizované za dodrženou cenu
(čtvrtletní plán = 249,64 mil.Kč)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</c:spPr>
          </c:marker>
          <c:dLbls>
            <c:dLbl>
              <c:idx val="0"/>
              <c:layout>
                <c:manualLayout>
                  <c:x val="-4.7329560012111915E-2"/>
                  <c:y val="2.0506457982686088E-2"/>
                </c:manualLayout>
              </c:layout>
              <c:tx>
                <c:strRef>
                  <c:f>data!$BD$12</c:f>
                  <c:strCache>
                    <c:ptCount val="1"/>
                    <c:pt idx="0">
                      <c:v>18,05%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530395516122445E-2"/>
                  <c:y val="2.3199989978246901E-2"/>
                </c:manualLayout>
              </c:layout>
              <c:tx>
                <c:strRef>
                  <c:f>data!$BD$13</c:f>
                  <c:strCache>
                    <c:ptCount val="1"/>
                    <c:pt idx="0">
                      <c:v>20,73%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30436959914284E-2"/>
                  <c:y val="3.2558474104677548E-2"/>
                </c:manualLayout>
              </c:layout>
              <c:tx>
                <c:strRef>
                  <c:f>data!$BD$14</c:f>
                  <c:strCache>
                    <c:ptCount val="1"/>
                    <c:pt idx="0">
                      <c:v>24,43%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63916451214694E-2"/>
                  <c:y val="3.4968877329075845E-2"/>
                </c:manualLayout>
              </c:layout>
              <c:tx>
                <c:strRef>
                  <c:f>data!$BD$15</c:f>
                  <c:strCache>
                    <c:ptCount val="1"/>
                    <c:pt idx="0">
                      <c:v>36,67%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841450632380597E-2"/>
                  <c:y val="4.2200087002270813E-2"/>
                </c:manualLayout>
              </c:layout>
              <c:tx>
                <c:strRef>
                  <c:f>data!$BD$16</c:f>
                  <c:strCache>
                    <c:ptCount val="1"/>
                    <c:pt idx="0">
                      <c:v>48,26%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530436959914378E-2"/>
                  <c:y val="3.4968877329075845E-2"/>
                </c:manualLayout>
              </c:layout>
              <c:tx>
                <c:strRef>
                  <c:f>data!$BD$17</c:f>
                  <c:strCache>
                    <c:ptCount val="1"/>
                    <c:pt idx="0">
                      <c:v>53,98%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37493012368109E-2"/>
                  <c:y val="3.2558474104677548E-2"/>
                </c:manualLayout>
              </c:layout>
              <c:tx>
                <c:strRef>
                  <c:f>data!$BD$18</c:f>
                  <c:strCache>
                    <c:ptCount val="1"/>
                    <c:pt idx="0">
                      <c:v>52,27%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549425370807532E-2"/>
                  <c:y val="2.2897252974395734E-2"/>
                </c:manualLayout>
              </c:layout>
              <c:tx>
                <c:strRef>
                  <c:f>data!$BD$19</c:f>
                  <c:strCache>
                    <c:ptCount val="1"/>
                    <c:pt idx="0">
                      <c:v>58,74%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data!$BD$20</c:f>
                  <c:strCache>
                    <c:ptCount val="1"/>
                    <c:pt idx="0">
                      <c:v>54,45%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data!$BD$21</c:f>
                  <c:strCache>
                    <c:ptCount val="1"/>
                    <c:pt idx="0">
                      <c:v>53,12%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data!$BD$22</c:f>
                  <c:strCache>
                    <c:ptCount val="1"/>
                    <c:pt idx="0">
                      <c:v>53,30%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data!$BD$23</c:f>
                  <c:strCache>
                    <c:ptCount val="1"/>
                    <c:pt idx="0">
                      <c:v>63,52%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data!$BD$24</c:f>
                  <c:strCache>
                    <c:ptCount val="1"/>
                    <c:pt idx="0">
                      <c:v>51,18%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data!$BD$25</c:f>
                  <c:strCache>
                    <c:ptCount val="1"/>
                    <c:pt idx="0">
                      <c:v>49,37%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data!$BD$26</c:f>
                  <c:strCache>
                    <c:ptCount val="1"/>
                    <c:pt idx="0">
                      <c:v>48,89%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data!$BD$27</c:f>
                  <c:strCache>
                    <c:ptCount val="1"/>
                    <c:pt idx="0">
                      <c:v>53,37%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45272655275572E-2"/>
                  <c:y val="-2.3324651363647027E-2"/>
                </c:manualLayout>
              </c:layout>
              <c:tx>
                <c:strRef>
                  <c:f>data!$BD$28</c:f>
                  <c:strCache>
                    <c:ptCount val="1"/>
                    <c:pt idx="0">
                      <c:v>50,46%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9740963834099012E-2"/>
                  <c:y val="-2.808462922943962E-2"/>
                </c:manualLayout>
              </c:layout>
              <c:tx>
                <c:strRef>
                  <c:f>data!$BD$29</c:f>
                  <c:strCache>
                    <c:ptCount val="1"/>
                    <c:pt idx="0">
                      <c:v>51,15%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3012882106116666E-2"/>
                  <c:y val="-2.5627500691753034E-2"/>
                </c:manualLayout>
              </c:layout>
              <c:tx>
                <c:strRef>
                  <c:f>data!$BD$30</c:f>
                  <c:strCache>
                    <c:ptCount val="1"/>
                    <c:pt idx="0">
                      <c:v>52,45%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7256167094780131E-2"/>
                  <c:y val="-3.0696328536774047E-2"/>
                </c:manualLayout>
              </c:layout>
              <c:tx>
                <c:strRef>
                  <c:f>data!$BD$31</c:f>
                  <c:strCache>
                    <c:ptCount val="1"/>
                    <c:pt idx="0">
                      <c:v>50,75%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8649370641508508E-2"/>
                  <c:y val="-2.6090603509644834E-2"/>
                </c:manualLayout>
              </c:layout>
              <c:tx>
                <c:strRef>
                  <c:f>data!$BD$32</c:f>
                  <c:strCache>
                    <c:ptCount val="1"/>
                    <c:pt idx="0">
                      <c:v>43,23%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data!$BD$33</c:f>
                  <c:strCache>
                    <c:ptCount val="1"/>
                    <c:pt idx="0">
                      <c:v>47,77%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data!$AY$12:$AY$33</c:f>
              <c:strCache>
                <c:ptCount val="22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  <c:pt idx="21">
                  <c:v>2016/2Q</c:v>
                </c:pt>
              </c:strCache>
            </c:strRef>
          </c:cat>
          <c:val>
            <c:numRef>
              <c:f>data!$BA$12:$BA$33</c:f>
              <c:numCache>
                <c:formatCode>#,##0</c:formatCode>
                <c:ptCount val="22"/>
                <c:pt idx="0">
                  <c:v>46546653.359999999</c:v>
                </c:pt>
                <c:pt idx="1">
                  <c:v>53460675.329999998</c:v>
                </c:pt>
                <c:pt idx="2">
                  <c:v>63008609.990000002</c:v>
                </c:pt>
                <c:pt idx="3">
                  <c:v>94572810.780000001</c:v>
                </c:pt>
                <c:pt idx="4">
                  <c:v>124443973.3</c:v>
                </c:pt>
                <c:pt idx="5">
                  <c:v>139217529.84</c:v>
                </c:pt>
                <c:pt idx="6">
                  <c:v>134789844.06</c:v>
                </c:pt>
                <c:pt idx="7">
                  <c:v>151473394.62</c:v>
                </c:pt>
                <c:pt idx="8">
                  <c:v>140423134.97</c:v>
                </c:pt>
                <c:pt idx="9">
                  <c:v>137001022.65000001</c:v>
                </c:pt>
                <c:pt idx="10">
                  <c:v>137449507.97</c:v>
                </c:pt>
                <c:pt idx="11">
                  <c:v>163808390.37</c:v>
                </c:pt>
                <c:pt idx="12">
                  <c:v>143948890.43000001</c:v>
                </c:pt>
                <c:pt idx="13">
                  <c:v>138851925.16999999</c:v>
                </c:pt>
                <c:pt idx="14">
                  <c:v>137495814.33000001</c:v>
                </c:pt>
                <c:pt idx="15">
                  <c:v>150094847.16</c:v>
                </c:pt>
                <c:pt idx="16">
                  <c:v>136792388.38</c:v>
                </c:pt>
                <c:pt idx="17">
                  <c:v>138659966.03</c:v>
                </c:pt>
                <c:pt idx="18">
                  <c:v>142200449.03999999</c:v>
                </c:pt>
                <c:pt idx="19">
                  <c:v>137591699.21000001</c:v>
                </c:pt>
                <c:pt idx="20">
                  <c:v>117213784.23</c:v>
                </c:pt>
                <c:pt idx="21">
                  <c:v>129513699.25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4240"/>
        <c:axId val="86795776"/>
      </c:lineChart>
      <c:lineChart>
        <c:grouping val="standard"/>
        <c:varyColors val="0"/>
        <c:ser>
          <c:idx val="2"/>
          <c:order val="2"/>
          <c:tx>
            <c:strRef>
              <c:f>data!$BB$1</c:f>
              <c:strCache>
                <c:ptCount val="1"/>
                <c:pt idx="0">
                  <c:v>Úspora
(čtvrtletní plán = 24,96 mil.Kč)</c:v>
                </c:pt>
              </c:strCache>
            </c:strRef>
          </c:tx>
          <c:spPr>
            <a:ln w="50800">
              <a:solidFill>
                <a:srgbClr val="003C69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29650996902166E-2"/>
                  <c:y val="-3.5975742612968219E-3"/>
                </c:manualLayout>
              </c:layout>
              <c:tx>
                <c:strRef>
                  <c:f>data!$BE$12</c:f>
                  <c:strCache>
                    <c:ptCount val="1"/>
                    <c:pt idx="0">
                      <c:v>61,44%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data!$BE$13</c:f>
                  <c:strCache>
                    <c:ptCount val="1"/>
                    <c:pt idx="0">
                      <c:v>64,70%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data!$BE$14</c:f>
                  <c:strCache>
                    <c:ptCount val="1"/>
                    <c:pt idx="0">
                      <c:v>64,20%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data!$BE$15</c:f>
                  <c:strCache>
                    <c:ptCount val="1"/>
                    <c:pt idx="0">
                      <c:v>69,61%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693549669927627E-3"/>
                  <c:y val="2.3862825780665092E-2"/>
                </c:manualLayout>
              </c:layout>
              <c:tx>
                <c:strRef>
                  <c:f>data!$BE$16</c:f>
                  <c:strCache>
                    <c:ptCount val="1"/>
                    <c:pt idx="0">
                      <c:v>74,58%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373773501323717E-2"/>
                  <c:y val="2.2897252974395734E-2"/>
                </c:manualLayout>
              </c:layout>
              <c:tx>
                <c:strRef>
                  <c:f>data!$BE$17</c:f>
                  <c:strCache>
                    <c:ptCount val="1"/>
                    <c:pt idx="0">
                      <c:v>73,28%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94523411846247E-2"/>
                  <c:y val="-2.0770635968661345E-2"/>
                </c:manualLayout>
              </c:layout>
              <c:tx>
                <c:strRef>
                  <c:f>data!$BE$18</c:f>
                  <c:strCache>
                    <c:ptCount val="1"/>
                    <c:pt idx="0">
                      <c:v>77,14%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3083062870626708E-2"/>
                  <c:y val="2.5305593798237928E-2"/>
                </c:manualLayout>
              </c:layout>
              <c:tx>
                <c:strRef>
                  <c:f>data!$BE$19</c:f>
                  <c:strCache>
                    <c:ptCount val="1"/>
                    <c:pt idx="0">
                      <c:v>78,34%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733135630773426E-2"/>
                  <c:y val="-1.7529962094192688E-2"/>
                </c:manualLayout>
              </c:layout>
              <c:tx>
                <c:strRef>
                  <c:f>data!$BE$20</c:f>
                  <c:strCache>
                    <c:ptCount val="1"/>
                    <c:pt idx="0">
                      <c:v>92,31%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50649350649349E-2"/>
                  <c:y val="-2.6888326720941338E-2"/>
                </c:manualLayout>
              </c:layout>
              <c:tx>
                <c:strRef>
                  <c:f>data!$BE$21</c:f>
                  <c:strCache>
                    <c:ptCount val="1"/>
                    <c:pt idx="0">
                      <c:v>87,86%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2666757564395273E-2"/>
                  <c:y val="-1.0510866233176718E-2"/>
                </c:manualLayout>
              </c:layout>
              <c:tx>
                <c:strRef>
                  <c:f>data!$BE$22</c:f>
                  <c:strCache>
                    <c:ptCount val="1"/>
                    <c:pt idx="0">
                      <c:v>92,94%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445887445887444E-2"/>
                  <c:y val="-1.5190140658252303E-2"/>
                </c:manualLayout>
              </c:layout>
              <c:tx>
                <c:strRef>
                  <c:f>data!$BE$23</c:f>
                  <c:strCache>
                    <c:ptCount val="1"/>
                    <c:pt idx="0">
                      <c:v>113,78%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652236652236653E-2"/>
                  <c:y val="-2.4548689508403533E-2"/>
                </c:manualLayout>
              </c:layout>
              <c:tx>
                <c:strRef>
                  <c:f>data!$BE$24</c:f>
                  <c:strCache>
                    <c:ptCount val="1"/>
                    <c:pt idx="0">
                      <c:v>99,69%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216427492018043E-2"/>
                  <c:y val="-1.986959930673049E-2"/>
                </c:manualLayout>
              </c:layout>
              <c:tx>
                <c:strRef>
                  <c:f>data!$BE$25</c:f>
                  <c:strCache>
                    <c:ptCount val="1"/>
                    <c:pt idx="0">
                      <c:v>99,67%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343145743145743E-2"/>
                  <c:y val="-2.9228148156881701E-2"/>
                </c:manualLayout>
              </c:layout>
              <c:tx>
                <c:strRef>
                  <c:f>data!$BE$26</c:f>
                  <c:strCache>
                    <c:ptCount val="1"/>
                    <c:pt idx="0">
                      <c:v>94,30%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51195079904953E-2"/>
                  <c:y val="-1.9869415083327929E-2"/>
                </c:manualLayout>
              </c:layout>
              <c:tx>
                <c:strRef>
                  <c:f>data!$BE$27</c:f>
                  <c:strCache>
                    <c:ptCount val="1"/>
                    <c:pt idx="0">
                      <c:v>105,37%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8686390532544379E-2"/>
                  <c:y val="-3.8586512783630351E-2"/>
                </c:manualLayout>
              </c:layout>
              <c:tx>
                <c:strRef>
                  <c:f>data!$BE$28</c:f>
                  <c:strCache>
                    <c:ptCount val="1"/>
                    <c:pt idx="0">
                      <c:v>108,62%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data!$BE$29</c:f>
                  <c:strCache>
                    <c:ptCount val="1"/>
                    <c:pt idx="0">
                      <c:v>111,22%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702818409398101E-2"/>
                  <c:y val="2.4196850248070074E-2"/>
                </c:manualLayout>
              </c:layout>
              <c:tx>
                <c:strRef>
                  <c:f>data!$BE$30</c:f>
                  <c:strCache>
                    <c:ptCount val="1"/>
                    <c:pt idx="0">
                      <c:v>102,61%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data!$BE$31</c:f>
                  <c:strCache>
                    <c:ptCount val="1"/>
                    <c:pt idx="0">
                      <c:v>117,24%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data!$BE$32</c:f>
                  <c:strCache>
                    <c:ptCount val="1"/>
                    <c:pt idx="0">
                      <c:v>120,99%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data!$BE$33</c:f>
                  <c:strCache>
                    <c:ptCount val="1"/>
                    <c:pt idx="0">
                      <c:v>120,39%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data!$AY$12:$AY$30</c:f>
              <c:strCache>
                <c:ptCount val="19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</c:strCache>
            </c:strRef>
          </c:cat>
          <c:val>
            <c:numRef>
              <c:f>data!$BB$12:$BB$33</c:f>
              <c:numCache>
                <c:formatCode>#,##0</c:formatCode>
                <c:ptCount val="22"/>
                <c:pt idx="0">
                  <c:v>15845751.140000001</c:v>
                </c:pt>
                <c:pt idx="1">
                  <c:v>16684996.08</c:v>
                </c:pt>
                <c:pt idx="2">
                  <c:v>16556777.029999999</c:v>
                </c:pt>
                <c:pt idx="3">
                  <c:v>17951337.539999999</c:v>
                </c:pt>
                <c:pt idx="4">
                  <c:v>19234197.670000002</c:v>
                </c:pt>
                <c:pt idx="5">
                  <c:v>18899105.640000001</c:v>
                </c:pt>
                <c:pt idx="6">
                  <c:v>19892983.010000002</c:v>
                </c:pt>
                <c:pt idx="7">
                  <c:v>20201799.760000002</c:v>
                </c:pt>
                <c:pt idx="8">
                  <c:v>23805614.699999999</c:v>
                </c:pt>
                <c:pt idx="9">
                  <c:v>22657140.149999999</c:v>
                </c:pt>
                <c:pt idx="10">
                  <c:v>23966996.379999999</c:v>
                </c:pt>
                <c:pt idx="11">
                  <c:v>29343642.91</c:v>
                </c:pt>
                <c:pt idx="12">
                  <c:v>23868234.59</c:v>
                </c:pt>
                <c:pt idx="13">
                  <c:v>23863494.949999999</c:v>
                </c:pt>
                <c:pt idx="14">
                  <c:v>22578893.93</c:v>
                </c:pt>
                <c:pt idx="15">
                  <c:v>25228896.969999999</c:v>
                </c:pt>
                <c:pt idx="16">
                  <c:v>29447684.989999998</c:v>
                </c:pt>
                <c:pt idx="17">
                  <c:v>30153393.469999999</c:v>
                </c:pt>
                <c:pt idx="18">
                  <c:v>27818093.48</c:v>
                </c:pt>
                <c:pt idx="19">
                  <c:v>31786018.350000001</c:v>
                </c:pt>
                <c:pt idx="20">
                  <c:v>32802091.18</c:v>
                </c:pt>
                <c:pt idx="21">
                  <c:v>32639395.109999999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7696"/>
        <c:axId val="87581824"/>
      </c:lineChart>
      <c:catAx>
        <c:axId val="86794240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[$-405]mmmm;@" sourceLinked="0"/>
        <c:majorTickMark val="in"/>
        <c:minorTickMark val="none"/>
        <c:tickLblPos val="low"/>
        <c:spPr>
          <a:ln w="3175">
            <a:solidFill>
              <a:srgbClr val="003C69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233E"/>
                </a:solidFill>
                <a:latin typeface="+mn-lt"/>
                <a:ea typeface="Arial"/>
                <a:cs typeface="Arial"/>
              </a:defRPr>
            </a:pPr>
            <a:endParaRPr lang="cs-CZ"/>
          </a:p>
        </c:txPr>
        <c:crossAx val="86795776"/>
        <c:crosses val="autoZero"/>
        <c:auto val="1"/>
        <c:lblAlgn val="ctr"/>
        <c:lblOffset val="100"/>
        <c:noMultiLvlLbl val="0"/>
      </c:catAx>
      <c:valAx>
        <c:axId val="86795776"/>
        <c:scaling>
          <c:orientation val="minMax"/>
        </c:scaling>
        <c:delete val="0"/>
        <c:axPos val="l"/>
        <c:majorGridlines>
          <c:spPr>
            <a:ln w="6350">
              <a:solidFill>
                <a:srgbClr val="00233E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4C4C4C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6794240"/>
        <c:crossesAt val="1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</c:dispUnitsLbl>
        </c:dispUnits>
      </c:valAx>
      <c:catAx>
        <c:axId val="8679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87581824"/>
        <c:crosses val="autoZero"/>
        <c:auto val="1"/>
        <c:lblAlgn val="ctr"/>
        <c:lblOffset val="100"/>
        <c:noMultiLvlLbl val="0"/>
      </c:catAx>
      <c:valAx>
        <c:axId val="8758182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solidFill>
              <a:srgbClr val="00233E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86797696"/>
        <c:crosses val="max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rgbClr val="00233E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ADD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ayout>
        <c:manualLayout>
          <c:xMode val="edge"/>
          <c:yMode val="edge"/>
          <c:x val="3.7683632485420592E-3"/>
          <c:y val="0.89056042969740201"/>
          <c:w val="0.95927209705372618"/>
          <c:h val="0.1047603754360758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78740157499999996" l="0.70000000000000051" r="0.70000000000000051" t="0.78740157499999996" header="0.30000000000000027" footer="0.30000000000000027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Org_nast!$E$4" max="154" min="1" page="25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Org_nast!$E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http://www.npostrava.cz" TargetMode="External"/><Relationship Id="rId6" Type="http://schemas.openxmlformats.org/officeDocument/2006/relationships/hyperlink" Target="http://www.ecentre.cz/statutarni-mesto-ostrava/o-systemu/kolik-jsme-usetrili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ecentre.cz/statutarni-mesto-ostrava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10</xdr:row>
      <xdr:rowOff>219075</xdr:rowOff>
    </xdr:from>
    <xdr:to>
      <xdr:col>19</xdr:col>
      <xdr:colOff>85725</xdr:colOff>
      <xdr:row>36</xdr:row>
      <xdr:rowOff>104775</xdr:rowOff>
    </xdr:to>
    <xdr:graphicFrame macro="">
      <xdr:nvGraphicFramePr>
        <xdr:cNvPr id="3311111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14</xdr:col>
      <xdr:colOff>523875</xdr:colOff>
      <xdr:row>10</xdr:row>
      <xdr:rowOff>209550</xdr:rowOff>
    </xdr:from>
    <xdr:to>
      <xdr:col>16</xdr:col>
      <xdr:colOff>0</xdr:colOff>
      <xdr:row>36</xdr:row>
      <xdr:rowOff>95250</xdr:rowOff>
    </xdr:to>
    <xdr:graphicFrame macro="">
      <xdr:nvGraphicFramePr>
        <xdr:cNvPr id="33111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1876425</xdr:colOff>
          <xdr:row>10</xdr:row>
          <xdr:rowOff>133350</xdr:rowOff>
        </xdr:from>
        <xdr:to>
          <xdr:col>4</xdr:col>
          <xdr:colOff>0</xdr:colOff>
          <xdr:row>36</xdr:row>
          <xdr:rowOff>9525</xdr:rowOff>
        </xdr:to>
        <xdr:sp macro="" textlink="">
          <xdr:nvSpPr>
            <xdr:cNvPr id="3073" name="ScrollBar Liste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9525</xdr:rowOff>
        </xdr:from>
        <xdr:to>
          <xdr:col>5</xdr:col>
          <xdr:colOff>257175</xdr:colOff>
          <xdr:row>10</xdr:row>
          <xdr:rowOff>161925</xdr:rowOff>
        </xdr:to>
        <xdr:sp macro="" textlink="">
          <xdr:nvSpPr>
            <xdr:cNvPr id="3074" name="Option Button 0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10</xdr:row>
          <xdr:rowOff>9525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10</xdr:row>
          <xdr:rowOff>9525</xdr:rowOff>
        </xdr:from>
        <xdr:to>
          <xdr:col>8</xdr:col>
          <xdr:colOff>514350</xdr:colOff>
          <xdr:row>10</xdr:row>
          <xdr:rowOff>161925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10</xdr:row>
          <xdr:rowOff>9525</xdr:rowOff>
        </xdr:from>
        <xdr:to>
          <xdr:col>10</xdr:col>
          <xdr:colOff>295275</xdr:colOff>
          <xdr:row>10</xdr:row>
          <xdr:rowOff>161925</xdr:rowOff>
        </xdr:to>
        <xdr:sp macro="" textlink="">
          <xdr:nvSpPr>
            <xdr:cNvPr id="3078" name="Option 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10</xdr:row>
          <xdr:rowOff>9525</xdr:rowOff>
        </xdr:from>
        <xdr:to>
          <xdr:col>11</xdr:col>
          <xdr:colOff>400050</xdr:colOff>
          <xdr:row>10</xdr:row>
          <xdr:rowOff>161925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10</xdr:row>
          <xdr:rowOff>9525</xdr:rowOff>
        </xdr:from>
        <xdr:to>
          <xdr:col>12</xdr:col>
          <xdr:colOff>514350</xdr:colOff>
          <xdr:row>10</xdr:row>
          <xdr:rowOff>161925</xdr:rowOff>
        </xdr:to>
        <xdr:sp macro="" textlink="">
          <xdr:nvSpPr>
            <xdr:cNvPr id="3096" name="Option Button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10</xdr:row>
          <xdr:rowOff>9525</xdr:rowOff>
        </xdr:from>
        <xdr:to>
          <xdr:col>13</xdr:col>
          <xdr:colOff>390525</xdr:colOff>
          <xdr:row>10</xdr:row>
          <xdr:rowOff>161925</xdr:rowOff>
        </xdr:to>
        <xdr:sp macro="" textlink="">
          <xdr:nvSpPr>
            <xdr:cNvPr id="3098" name="Option Button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10</xdr:row>
          <xdr:rowOff>9525</xdr:rowOff>
        </xdr:from>
        <xdr:to>
          <xdr:col>15</xdr:col>
          <xdr:colOff>295275</xdr:colOff>
          <xdr:row>10</xdr:row>
          <xdr:rowOff>161925</xdr:rowOff>
        </xdr:to>
        <xdr:sp macro="" textlink="">
          <xdr:nvSpPr>
            <xdr:cNvPr id="4076" name="Option Button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285750</xdr:colOff>
          <xdr:row>10</xdr:row>
          <xdr:rowOff>9525</xdr:rowOff>
        </xdr:from>
        <xdr:to>
          <xdr:col>16</xdr:col>
          <xdr:colOff>504825</xdr:colOff>
          <xdr:row>10</xdr:row>
          <xdr:rowOff>161925</xdr:rowOff>
        </xdr:to>
        <xdr:sp macro="" textlink="">
          <xdr:nvSpPr>
            <xdr:cNvPr id="2398344" name="Option Button 1160" hidden="1">
              <a:extLst>
                <a:ext uri="{63B3BB69-23CF-44E3-9099-C40C66FF867C}">
                  <a14:compatExt spid="_x0000_s239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47624</xdr:colOff>
          <xdr:row>6</xdr:row>
          <xdr:rowOff>19050</xdr:rowOff>
        </xdr:from>
        <xdr:to>
          <xdr:col>3</xdr:col>
          <xdr:colOff>76200</xdr:colOff>
          <xdr:row>9</xdr:row>
          <xdr:rowOff>19050</xdr:rowOff>
        </xdr:to>
        <xdr:pic>
          <xdr:nvPicPr>
            <xdr:cNvPr id="3311113" name="Obrázek 18"/>
            <xdr:cNvPicPr>
              <a:picLocks noChangeAspect="1"/>
              <a:extLst>
                <a:ext uri="{84589F7E-364E-4C9E-8A38-B11213B215E9}">
                  <a14:cameraTool cellRange="jakaKSobr" spid="_x0000_s3311473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817" t="2817" r="4489" b="13381"/>
            <a:stretch>
              <a:fillRect/>
            </a:stretch>
          </xdr:blipFill>
          <xdr:spPr bwMode="auto">
            <a:xfrm>
              <a:off x="152399" y="1209675"/>
              <a:ext cx="2209801" cy="1133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10</xdr:row>
          <xdr:rowOff>9525</xdr:rowOff>
        </xdr:from>
        <xdr:to>
          <xdr:col>18</xdr:col>
          <xdr:colOff>295275</xdr:colOff>
          <xdr:row>10</xdr:row>
          <xdr:rowOff>161925</xdr:rowOff>
        </xdr:to>
        <xdr:sp macro="" textlink="">
          <xdr:nvSpPr>
            <xdr:cNvPr id="2398856" name="Option Button 1672" hidden="1">
              <a:extLst>
                <a:ext uri="{63B3BB69-23CF-44E3-9099-C40C66FF867C}">
                  <a14:compatExt spid="_x0000_s239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absolute">
    <xdr:from>
      <xdr:col>9</xdr:col>
      <xdr:colOff>514350</xdr:colOff>
      <xdr:row>10</xdr:row>
      <xdr:rowOff>190500</xdr:rowOff>
    </xdr:from>
    <xdr:to>
      <xdr:col>10</xdr:col>
      <xdr:colOff>895350</xdr:colOff>
      <xdr:row>36</xdr:row>
      <xdr:rowOff>76200</xdr:rowOff>
    </xdr:to>
    <xdr:graphicFrame macro="">
      <xdr:nvGraphicFramePr>
        <xdr:cNvPr id="33111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142875</xdr:rowOff>
    </xdr:from>
    <xdr:to>
      <xdr:col>12</xdr:col>
      <xdr:colOff>0</xdr:colOff>
      <xdr:row>36</xdr:row>
      <xdr:rowOff>133350</xdr:rowOff>
    </xdr:to>
    <xdr:graphicFrame macro="">
      <xdr:nvGraphicFramePr>
        <xdr:cNvPr id="29175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952875" y="1333500"/>
    <xdr:ext cx="5581650" cy="241772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33500"/>
          <a:ext cx="5581650" cy="2417720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14</xdr:col>
      <xdr:colOff>137584</xdr:colOff>
      <xdr:row>44</xdr:row>
      <xdr:rowOff>32808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35</xdr:row>
      <xdr:rowOff>38982</xdr:rowOff>
    </xdr:from>
    <xdr:to>
      <xdr:col>7</xdr:col>
      <xdr:colOff>297798</xdr:colOff>
      <xdr:row>53</xdr:row>
      <xdr:rowOff>66676</xdr:rowOff>
    </xdr:to>
    <xdr:pic>
      <xdr:nvPicPr>
        <xdr:cNvPr id="10" name="Obrázek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201657"/>
          <a:ext cx="3612498" cy="26565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41</xdr:row>
      <xdr:rowOff>79375</xdr:rowOff>
    </xdr:from>
    <xdr:to>
      <xdr:col>11</xdr:col>
      <xdr:colOff>205017</xdr:colOff>
      <xdr:row>56</xdr:row>
      <xdr:rowOff>136525</xdr:rowOff>
    </xdr:to>
    <xdr:pic>
      <xdr:nvPicPr>
        <xdr:cNvPr id="3" name="Obrázek 2" descr="Přehled nákupů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5" y="7099300"/>
          <a:ext cx="3548292" cy="225742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228600</xdr:colOff>
      <xdr:row>1</xdr:row>
      <xdr:rowOff>19050</xdr:rowOff>
    </xdr:from>
    <xdr:to>
      <xdr:col>8</xdr:col>
      <xdr:colOff>523875</xdr:colOff>
      <xdr:row>21</xdr:row>
      <xdr:rowOff>58361</xdr:rowOff>
    </xdr:to>
    <xdr:pic>
      <xdr:nvPicPr>
        <xdr:cNvPr id="7" name="Obráze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33425"/>
          <a:ext cx="4562475" cy="3011111"/>
        </a:xfrm>
        <a:prstGeom prst="rect">
          <a:avLst/>
        </a:prstGeom>
      </xdr:spPr>
    </xdr:pic>
    <xdr:clientData/>
  </xdr:twoCellAnchor>
  <xdr:twoCellAnchor editAs="oneCell">
    <xdr:from>
      <xdr:col>4</xdr:col>
      <xdr:colOff>69577</xdr:colOff>
      <xdr:row>13</xdr:row>
      <xdr:rowOff>47625</xdr:rowOff>
    </xdr:from>
    <xdr:to>
      <xdr:col>11</xdr:col>
      <xdr:colOff>37607</xdr:colOff>
      <xdr:row>29</xdr:row>
      <xdr:rowOff>38100</xdr:rowOff>
    </xdr:to>
    <xdr:pic>
      <xdr:nvPicPr>
        <xdr:cNvPr id="8" name="Obrázek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177" y="2314575"/>
          <a:ext cx="3701830" cy="256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2</xdr:col>
      <xdr:colOff>9525</xdr:colOff>
      <xdr:row>1</xdr:row>
      <xdr:rowOff>1238250</xdr:rowOff>
    </xdr:to>
    <xdr:pic>
      <xdr:nvPicPr>
        <xdr:cNvPr id="2921061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9525</xdr:colOff>
      <xdr:row>1</xdr:row>
      <xdr:rowOff>1238250</xdr:rowOff>
    </xdr:to>
    <xdr:pic>
      <xdr:nvPicPr>
        <xdr:cNvPr id="2921062" name="Obráze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1</xdr:row>
      <xdr:rowOff>1238250</xdr:rowOff>
    </xdr:to>
    <xdr:pic>
      <xdr:nvPicPr>
        <xdr:cNvPr id="2921063" name="Obráze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_vyber" displayName="T_vyber" ref="N2:BH180" insertRowShift="1" totalsRowShown="0" headerRowDxfId="48" dataDxfId="47">
  <autoFilter ref="N2:BH180"/>
  <tableColumns count="47">
    <tableColumn id="25" name="Id" dataDxfId="46"/>
    <tableColumn id="26" name="všechny organizace" dataDxfId="45"/>
    <tableColumn id="1" name="všechny obvody" dataDxfId="44"/>
    <tableColumn id="2" name="Hošťálkovice" dataDxfId="43"/>
    <tableColumn id="3" name="Hrabová" dataDxfId="42"/>
    <tableColumn id="4" name="Krásné Pole" dataDxfId="41"/>
    <tableColumn id="5" name="Lhotka" dataDxfId="40"/>
    <tableColumn id="6" name="Mariánské Hory a Hulváky" dataDxfId="39"/>
    <tableColumn id="7" name="Martinov" dataDxfId="38"/>
    <tableColumn id="8" name="Michálkovice" dataDxfId="37"/>
    <tableColumn id="9" name="Moravská Ostrava a Přívoz" dataDxfId="36"/>
    <tableColumn id="10" name="Nová Bělá" dataDxfId="35"/>
    <tableColumn id="11" name="Nová Ves" dataDxfId="34"/>
    <tableColumn id="12" name="Ostrava Jih" dataDxfId="33"/>
    <tableColumn id="13" name="Petřkovice" dataDxfId="32"/>
    <tableColumn id="14" name="Plesná" dataDxfId="31"/>
    <tableColumn id="15" name="Polanka" dataDxfId="30"/>
    <tableColumn id="16" name="Poruba" dataDxfId="29"/>
    <tableColumn id="17" name="Proskovice" dataDxfId="28"/>
    <tableColumn id="18" name="Pustkovec" dataDxfId="27"/>
    <tableColumn id="19" name="Radvanice a Bartovice" dataDxfId="26"/>
    <tableColumn id="20" name="Slezská Ostrava" dataDxfId="25"/>
    <tableColumn id="21" name="Stará Bělá" dataDxfId="24"/>
    <tableColumn id="22" name="Svinov" dataDxfId="23"/>
    <tableColumn id="23" name="Třebovice" dataDxfId="22"/>
    <tableColumn id="24" name="Vítkovice" dataDxfId="21"/>
    <tableColumn id="27" name="všechny resorty" dataDxfId="20"/>
    <tableColumn id="28" name="Kancelář primátora" dataDxfId="19"/>
    <tableColumn id="29" name="Resort dopravy" dataDxfId="18"/>
    <tableColumn id="30" name="Resort ŽP a IT" dataDxfId="17"/>
    <tableColumn id="31" name="Resort kultury a VLČ" dataDxfId="16"/>
    <tableColumn id="32" name="Resort školství a sportu" dataDxfId="15"/>
    <tableColumn id="33" name="Magistrát města" dataDxfId="14"/>
    <tableColumn id="34" name="Resort soc.věcí a zdravotnictví" dataDxfId="13"/>
    <tableColumn id="35" name="Sloupec1" dataDxfId="12"/>
    <tableColumn id="47" name="Sloupec2" dataDxfId="11"/>
    <tableColumn id="36" name="Referenční zadavatelé" dataDxfId="10"/>
    <tableColumn id="37" name="TOP 23 zadavatelů" dataDxfId="9"/>
    <tableColumn id="38" name="Magistrát a ÚMOby" dataDxfId="8"/>
    <tableColumn id="39" name="Obchodní organizace SMO" dataDxfId="7"/>
    <tableColumn id="40" name="Příspěvkové organizace SMO" dataDxfId="6"/>
    <tableColumn id="41" name="Příspěvkové organizace ÚMObů" dataDxfId="5"/>
    <tableColumn id="42" name="Městské obvody" dataDxfId="4"/>
    <tableColumn id="43" name="     Základní školy" dataDxfId="3"/>
    <tableColumn id="44" name="     Mateřské školy" dataDxfId="2"/>
    <tableColumn id="45" name="     Základní a mateřské školy" dataDxfId="1"/>
    <tableColumn id="46" name="     Ostatní PO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B12"/>
  <sheetViews>
    <sheetView showGridLines="0" showRowColHeaders="0" zoomScale="90" zoomScaleNormal="90" workbookViewId="0">
      <selection activeCell="B10" sqref="B10"/>
    </sheetView>
  </sheetViews>
  <sheetFormatPr defaultColWidth="0" defaultRowHeight="11.25" zeroHeight="1" x14ac:dyDescent="0.2"/>
  <cols>
    <col min="1" max="1" width="7.6640625" style="176" customWidth="1"/>
    <col min="2" max="2" width="104.33203125" style="176" customWidth="1"/>
    <col min="3" max="16384" width="9.33203125" style="176" hidden="1"/>
  </cols>
  <sheetData>
    <row r="1" spans="1:2" ht="32.25" customHeight="1" x14ac:dyDescent="0.2">
      <c r="A1" s="635"/>
      <c r="B1" s="635"/>
    </row>
    <row r="2" spans="1:2" ht="50.25" x14ac:dyDescent="0.2">
      <c r="A2" s="635"/>
      <c r="B2" s="632" t="s">
        <v>529</v>
      </c>
    </row>
    <row r="3" spans="1:2" ht="50.25" x14ac:dyDescent="0.2">
      <c r="A3" s="635"/>
      <c r="B3" s="632" t="s">
        <v>530</v>
      </c>
    </row>
    <row r="4" spans="1:2" ht="50.25" x14ac:dyDescent="0.2">
      <c r="A4" s="635"/>
      <c r="B4" s="632" t="s">
        <v>531</v>
      </c>
    </row>
    <row r="5" spans="1:2" ht="75" customHeight="1" x14ac:dyDescent="0.2">
      <c r="A5" s="635"/>
      <c r="B5" s="636" t="s">
        <v>536</v>
      </c>
    </row>
    <row r="6" spans="1:2" ht="35.25" x14ac:dyDescent="0.2">
      <c r="A6" s="635"/>
      <c r="B6" s="633" t="s">
        <v>532</v>
      </c>
    </row>
    <row r="7" spans="1:2" ht="35.25" x14ac:dyDescent="0.2">
      <c r="A7" s="635"/>
      <c r="B7" s="633" t="s">
        <v>533</v>
      </c>
    </row>
    <row r="8" spans="1:2" ht="35.25" x14ac:dyDescent="0.2">
      <c r="A8" s="635"/>
      <c r="B8" s="633" t="s">
        <v>534</v>
      </c>
    </row>
    <row r="9" spans="1:2" ht="104.25" customHeight="1" x14ac:dyDescent="0.2">
      <c r="A9" s="635"/>
      <c r="B9" s="634" t="s">
        <v>539</v>
      </c>
    </row>
    <row r="10" spans="1:2" ht="67.5" x14ac:dyDescent="0.2">
      <c r="A10" s="635"/>
      <c r="B10" s="637">
        <f>'III. Souhrn SMO'!N26</f>
        <v>551034272.16999996</v>
      </c>
    </row>
    <row r="11" spans="1:2" ht="36" x14ac:dyDescent="0.2">
      <c r="A11" s="635"/>
      <c r="B11" s="634" t="s">
        <v>535</v>
      </c>
    </row>
    <row r="12" spans="1:2" ht="29.25" customHeight="1" x14ac:dyDescent="0.2">
      <c r="A12" s="635"/>
      <c r="B12" s="635"/>
    </row>
  </sheetData>
  <sheetProtection sheet="1" objects="1" scenarios="1" selectLockedCells="1" selectUnlockedCells="1"/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workbookViewId="0">
      <selection activeCell="J31" sqref="J31:M37"/>
    </sheetView>
  </sheetViews>
  <sheetFormatPr defaultRowHeight="11.25" x14ac:dyDescent="0.2"/>
  <cols>
    <col min="1" max="2" width="3.1640625" style="557" bestFit="1" customWidth="1"/>
    <col min="3" max="3" width="22.1640625" style="557" bestFit="1" customWidth="1"/>
    <col min="4" max="4" width="5.83203125" style="557" bestFit="1" customWidth="1"/>
    <col min="5" max="6" width="13.6640625" style="557" bestFit="1" customWidth="1"/>
    <col min="7" max="8" width="12.1640625" style="557" bestFit="1" customWidth="1"/>
    <col min="9" max="9" width="1.5" style="557" customWidth="1"/>
    <col min="10" max="11" width="13.6640625" style="557" bestFit="1" customWidth="1"/>
    <col min="12" max="12" width="13.6640625" style="557" customWidth="1"/>
    <col min="13" max="13" width="12.1640625" style="557" bestFit="1" customWidth="1"/>
    <col min="14" max="14" width="2.33203125" style="557" customWidth="1"/>
    <col min="15" max="16" width="5.83203125" style="557" customWidth="1"/>
    <col min="17" max="17" width="7.5" style="557" customWidth="1"/>
    <col min="18" max="19" width="5.83203125" style="557" customWidth="1"/>
    <col min="20" max="20" width="8.33203125" style="557" customWidth="1"/>
    <col min="21" max="21" width="7.33203125" style="557" customWidth="1"/>
    <col min="22" max="23" width="9.33203125" style="557"/>
    <col min="24" max="24" width="6.6640625" style="557" customWidth="1"/>
    <col min="25" max="25" width="4" style="557" customWidth="1"/>
    <col min="26" max="16384" width="9.33203125" style="557"/>
  </cols>
  <sheetData>
    <row r="1" spans="1:25" ht="15" x14ac:dyDescent="0.2">
      <c r="D1" s="631"/>
      <c r="E1" s="824" t="s">
        <v>598</v>
      </c>
      <c r="F1" s="824"/>
      <c r="G1" s="824"/>
      <c r="H1" s="824"/>
      <c r="I1" s="630"/>
      <c r="J1" s="824" t="s">
        <v>603</v>
      </c>
      <c r="K1" s="824"/>
      <c r="L1" s="824"/>
      <c r="M1" s="824"/>
      <c r="O1" s="825" t="s">
        <v>528</v>
      </c>
      <c r="P1" s="826"/>
      <c r="Q1" s="827"/>
      <c r="R1" s="825" t="s">
        <v>527</v>
      </c>
      <c r="S1" s="826"/>
      <c r="T1" s="827"/>
      <c r="U1" s="828" t="s">
        <v>526</v>
      </c>
      <c r="W1" s="629" t="s">
        <v>245</v>
      </c>
      <c r="X1" s="628">
        <v>0.8</v>
      </c>
    </row>
    <row r="2" spans="1:25" ht="12" x14ac:dyDescent="0.2">
      <c r="C2" s="595" t="s">
        <v>525</v>
      </c>
      <c r="D2" s="627" t="s">
        <v>497</v>
      </c>
      <c r="E2" s="625" t="s">
        <v>496</v>
      </c>
      <c r="F2" s="625" t="s">
        <v>495</v>
      </c>
      <c r="G2" s="625" t="s">
        <v>494</v>
      </c>
      <c r="H2" s="625" t="s">
        <v>493</v>
      </c>
      <c r="I2" s="626"/>
      <c r="J2" s="625" t="s">
        <v>496</v>
      </c>
      <c r="K2" s="625" t="s">
        <v>495</v>
      </c>
      <c r="L2" s="625" t="s">
        <v>494</v>
      </c>
      <c r="M2" s="625" t="s">
        <v>493</v>
      </c>
      <c r="O2" s="622" t="s">
        <v>524</v>
      </c>
      <c r="P2" s="624" t="s">
        <v>523</v>
      </c>
      <c r="Q2" s="621" t="s">
        <v>522</v>
      </c>
      <c r="R2" s="623" t="s">
        <v>524</v>
      </c>
      <c r="S2" s="622" t="s">
        <v>523</v>
      </c>
      <c r="T2" s="621" t="s">
        <v>522</v>
      </c>
      <c r="U2" s="829"/>
      <c r="W2" s="612" t="s">
        <v>249</v>
      </c>
      <c r="X2" s="611" t="s">
        <v>251</v>
      </c>
    </row>
    <row r="3" spans="1:25" ht="12" x14ac:dyDescent="0.2">
      <c r="A3" s="557">
        <v>1</v>
      </c>
      <c r="B3" s="573">
        <v>51</v>
      </c>
      <c r="C3" s="620" t="s">
        <v>0</v>
      </c>
      <c r="D3" s="620" t="s">
        <v>521</v>
      </c>
      <c r="E3" s="619">
        <v>0</v>
      </c>
      <c r="F3" s="619">
        <v>0</v>
      </c>
      <c r="G3" s="619">
        <v>0</v>
      </c>
      <c r="H3" s="619">
        <v>0</v>
      </c>
      <c r="I3" s="599"/>
      <c r="J3" s="619">
        <v>0</v>
      </c>
      <c r="K3" s="619">
        <v>0</v>
      </c>
      <c r="L3" s="619">
        <v>0</v>
      </c>
      <c r="M3" s="619">
        <v>0</v>
      </c>
      <c r="Q3" s="618"/>
      <c r="T3" s="618"/>
      <c r="W3" s="617" t="s">
        <v>245</v>
      </c>
      <c r="X3" s="616">
        <v>40</v>
      </c>
    </row>
    <row r="4" spans="1:25" ht="12" x14ac:dyDescent="0.2">
      <c r="A4" s="557">
        <v>2</v>
      </c>
      <c r="B4" s="557">
        <v>52</v>
      </c>
      <c r="C4" s="586" t="s">
        <v>9</v>
      </c>
      <c r="D4" s="586" t="s">
        <v>520</v>
      </c>
      <c r="E4" s="589">
        <v>167381527.91666669</v>
      </c>
      <c r="F4" s="589">
        <v>17027274.200000003</v>
      </c>
      <c r="G4" s="589">
        <v>38409774.546089716</v>
      </c>
      <c r="H4" s="589">
        <v>29575753.489999998</v>
      </c>
      <c r="I4" s="599"/>
      <c r="J4" s="589">
        <v>200857833.5</v>
      </c>
      <c r="K4" s="589">
        <v>19311438.290000003</v>
      </c>
      <c r="L4" s="589">
        <v>46091729.455307662</v>
      </c>
      <c r="M4" s="589">
        <v>34381214.499999985</v>
      </c>
      <c r="O4" s="560">
        <f t="shared" ref="O4:O27" si="0">IF((F4/(E4*$X$1)*$X$3)&gt;$X$3,$X$3,F4/(E4*$X$1)*$X$3)</f>
        <v>5.0863659843269193</v>
      </c>
      <c r="P4" s="560">
        <f t="shared" ref="P4:P27" si="1">IF((H4/G4*$X$4)&gt;$X$4,$X$4,H4/G4*$X$4)</f>
        <v>46.200354737064096</v>
      </c>
      <c r="Q4" s="583">
        <f t="shared" ref="Q4:Q27" si="2">IF((F4/(E4*$X$1)*$X$3)&gt;$X$3,$X$3,F4/(E4*$X$1)*$X$3)+IF((H4/G4*$X$4)&gt;$X$4,$X$4,H4/G4*$X$4)</f>
        <v>51.286720721391013</v>
      </c>
      <c r="R4" s="560">
        <f t="shared" ref="R4:R27" si="3">IF((K4/(J4*$X$1)*$X$3)&gt;$X$3,$X$3,K4/(J4*$X$1)*$X$3)</f>
        <v>4.8072405127281232</v>
      </c>
      <c r="S4" s="560">
        <f t="shared" ref="S4:S27" si="4">IF((M4/L4*$X$4)&gt;$X$4,$X$4,M4/L4*$X$4)</f>
        <v>44.755813990452253</v>
      </c>
      <c r="T4" s="583">
        <f t="shared" ref="T4:T27" si="5">IF((K4/(J4*$X$1)*$X$3)&gt;$X$3,$X$3,K4/(J4*$X$1)*$X$3)+IF((M4/L4*$X$4)&gt;$X$4,$X$4,M4/L4*$X$4)</f>
        <v>49.563054503180375</v>
      </c>
      <c r="U4" s="577">
        <f t="shared" ref="U4:U27" si="6">T4-Q4</f>
        <v>-1.7236662182106386</v>
      </c>
      <c r="W4" s="615" t="s">
        <v>250</v>
      </c>
      <c r="X4" s="614">
        <v>60</v>
      </c>
    </row>
    <row r="5" spans="1:25" ht="12" x14ac:dyDescent="0.2">
      <c r="A5" s="557">
        <v>3</v>
      </c>
      <c r="B5" s="557">
        <v>53</v>
      </c>
      <c r="C5" s="586" t="s">
        <v>10</v>
      </c>
      <c r="D5" s="586" t="s">
        <v>519</v>
      </c>
      <c r="E5" s="584">
        <v>79569620.708333343</v>
      </c>
      <c r="F5" s="584">
        <v>31387217.980000004</v>
      </c>
      <c r="G5" s="584">
        <v>16449739.471694913</v>
      </c>
      <c r="H5" s="584">
        <v>23730378.029999997</v>
      </c>
      <c r="I5" s="599"/>
      <c r="J5" s="584">
        <v>95483544.849999994</v>
      </c>
      <c r="K5" s="584">
        <v>35810743.940000005</v>
      </c>
      <c r="L5" s="584">
        <v>19739687.366033901</v>
      </c>
      <c r="M5" s="584">
        <v>28325212.91</v>
      </c>
      <c r="O5" s="560">
        <f t="shared" si="0"/>
        <v>19.723116498852942</v>
      </c>
      <c r="P5" s="560">
        <f t="shared" si="1"/>
        <v>60</v>
      </c>
      <c r="Q5" s="583">
        <f t="shared" si="2"/>
        <v>79.723116498852946</v>
      </c>
      <c r="R5" s="560">
        <f t="shared" si="3"/>
        <v>18.752311718347357</v>
      </c>
      <c r="S5" s="560">
        <f t="shared" si="4"/>
        <v>60</v>
      </c>
      <c r="T5" s="583">
        <f t="shared" si="5"/>
        <v>78.752311718347357</v>
      </c>
      <c r="U5" s="577">
        <f t="shared" si="6"/>
        <v>-0.97080478050558838</v>
      </c>
      <c r="W5" s="613"/>
      <c r="X5" s="613"/>
    </row>
    <row r="6" spans="1:25" ht="12" x14ac:dyDescent="0.2">
      <c r="A6" s="557">
        <v>4</v>
      </c>
      <c r="B6" s="557">
        <v>54</v>
      </c>
      <c r="C6" s="586" t="s">
        <v>12</v>
      </c>
      <c r="D6" s="586" t="s">
        <v>518</v>
      </c>
      <c r="E6" s="584">
        <v>40504583.333333336</v>
      </c>
      <c r="F6" s="584">
        <v>18877661.140000001</v>
      </c>
      <c r="G6" s="584">
        <v>8858748.2515092101</v>
      </c>
      <c r="H6" s="584">
        <v>4030974.91</v>
      </c>
      <c r="I6" s="599"/>
      <c r="J6" s="584">
        <v>48605500</v>
      </c>
      <c r="K6" s="584">
        <v>23576916.689999998</v>
      </c>
      <c r="L6" s="584">
        <v>10630497.901811052</v>
      </c>
      <c r="M6" s="584">
        <v>4864928.1900000004</v>
      </c>
      <c r="O6" s="560">
        <f t="shared" si="0"/>
        <v>23.303117309769465</v>
      </c>
      <c r="P6" s="560">
        <f t="shared" si="1"/>
        <v>27.301655689199215</v>
      </c>
      <c r="Q6" s="583">
        <f t="shared" si="2"/>
        <v>50.604772998968684</v>
      </c>
      <c r="R6" s="560">
        <f t="shared" si="3"/>
        <v>24.253342409809587</v>
      </c>
      <c r="S6" s="560">
        <f t="shared" si="4"/>
        <v>27.458327361155074</v>
      </c>
      <c r="T6" s="583">
        <f t="shared" si="5"/>
        <v>51.711669770964662</v>
      </c>
      <c r="U6" s="577">
        <f t="shared" si="6"/>
        <v>1.1068967719959772</v>
      </c>
      <c r="W6" s="612" t="s">
        <v>253</v>
      </c>
      <c r="X6" s="611" t="s">
        <v>263</v>
      </c>
    </row>
    <row r="7" spans="1:25" ht="12" x14ac:dyDescent="0.2">
      <c r="B7" s="557">
        <v>55</v>
      </c>
      <c r="C7" s="586" t="s">
        <v>7</v>
      </c>
      <c r="D7" s="586" t="s">
        <v>517</v>
      </c>
      <c r="E7" s="584">
        <v>34551699.395833328</v>
      </c>
      <c r="F7" s="584">
        <v>20483578.73</v>
      </c>
      <c r="G7" s="584">
        <v>6342897.6926198239</v>
      </c>
      <c r="H7" s="584">
        <v>1110274.79</v>
      </c>
      <c r="I7" s="599"/>
      <c r="J7" s="584">
        <v>41462039.275000006</v>
      </c>
      <c r="K7" s="584">
        <v>24576551.609999999</v>
      </c>
      <c r="L7" s="584">
        <v>7611477.2311437875</v>
      </c>
      <c r="M7" s="584">
        <v>1297857.6399999999</v>
      </c>
      <c r="O7" s="560">
        <f t="shared" si="0"/>
        <v>29.641926574051752</v>
      </c>
      <c r="P7" s="560">
        <f t="shared" si="1"/>
        <v>10.502532222380086</v>
      </c>
      <c r="Q7" s="583">
        <f t="shared" si="2"/>
        <v>40.144458796431834</v>
      </c>
      <c r="R7" s="560">
        <f t="shared" si="3"/>
        <v>29.637412968274695</v>
      </c>
      <c r="S7" s="560">
        <f t="shared" si="4"/>
        <v>10.230794369504819</v>
      </c>
      <c r="T7" s="583">
        <f t="shared" si="5"/>
        <v>39.868207337779516</v>
      </c>
      <c r="U7" s="577">
        <f t="shared" si="6"/>
        <v>-0.27625145865231815</v>
      </c>
      <c r="W7" s="610">
        <v>0</v>
      </c>
      <c r="X7" s="609" t="s">
        <v>254</v>
      </c>
      <c r="Y7" s="608">
        <v>1</v>
      </c>
    </row>
    <row r="8" spans="1:25" ht="12" x14ac:dyDescent="0.2">
      <c r="B8" s="557">
        <v>56</v>
      </c>
      <c r="C8" s="586" t="s">
        <v>8</v>
      </c>
      <c r="D8" s="586" t="s">
        <v>516</v>
      </c>
      <c r="E8" s="584">
        <v>63332048.88750001</v>
      </c>
      <c r="F8" s="584">
        <v>26190579.309999999</v>
      </c>
      <c r="G8" s="584">
        <v>12486174.537514724</v>
      </c>
      <c r="H8" s="584">
        <v>7440182.54</v>
      </c>
      <c r="I8" s="599"/>
      <c r="J8" s="584">
        <v>75998458.665000007</v>
      </c>
      <c r="K8" s="584">
        <v>28775102.249999996</v>
      </c>
      <c r="L8" s="584">
        <v>14983409.445017666</v>
      </c>
      <c r="M8" s="584">
        <v>8635791.8100000005</v>
      </c>
      <c r="O8" s="560">
        <f t="shared" si="0"/>
        <v>20.677192487901088</v>
      </c>
      <c r="P8" s="560">
        <f t="shared" si="1"/>
        <v>35.752419690975628</v>
      </c>
      <c r="Q8" s="583">
        <f t="shared" si="2"/>
        <v>56.429612178876717</v>
      </c>
      <c r="R8" s="560">
        <f t="shared" si="3"/>
        <v>18.931372264298268</v>
      </c>
      <c r="S8" s="560">
        <f t="shared" si="4"/>
        <v>34.581415565086637</v>
      </c>
      <c r="T8" s="583">
        <f t="shared" si="5"/>
        <v>53.512787829384905</v>
      </c>
      <c r="U8" s="577">
        <f t="shared" si="6"/>
        <v>-2.9168243494918116</v>
      </c>
      <c r="W8" s="607">
        <v>29</v>
      </c>
      <c r="X8" s="606" t="s">
        <v>255</v>
      </c>
      <c r="Y8" s="605">
        <v>2</v>
      </c>
    </row>
    <row r="9" spans="1:25" ht="12" x14ac:dyDescent="0.2">
      <c r="B9" s="557">
        <v>57</v>
      </c>
      <c r="C9" s="586" t="s">
        <v>49</v>
      </c>
      <c r="D9" s="586" t="s">
        <v>515</v>
      </c>
      <c r="E9" s="584">
        <v>15214999.999999998</v>
      </c>
      <c r="F9" s="584">
        <v>9014502.7200000007</v>
      </c>
      <c r="G9" s="584">
        <v>2686157.7736854511</v>
      </c>
      <c r="H9" s="584">
        <v>1729148.24</v>
      </c>
      <c r="I9" s="599"/>
      <c r="J9" s="584">
        <v>18258000</v>
      </c>
      <c r="K9" s="584">
        <v>131429592.79000002</v>
      </c>
      <c r="L9" s="584">
        <v>3223389.3284225413</v>
      </c>
      <c r="M9" s="584">
        <v>2053602.75</v>
      </c>
      <c r="O9" s="560">
        <f t="shared" si="0"/>
        <v>29.623735524153794</v>
      </c>
      <c r="P9" s="560">
        <f t="shared" si="1"/>
        <v>38.623529643850695</v>
      </c>
      <c r="Q9" s="583">
        <f t="shared" si="2"/>
        <v>68.247265168004489</v>
      </c>
      <c r="R9" s="560">
        <f t="shared" si="3"/>
        <v>40</v>
      </c>
      <c r="S9" s="560">
        <f t="shared" si="4"/>
        <v>38.225653945531732</v>
      </c>
      <c r="T9" s="583">
        <f t="shared" si="5"/>
        <v>78.225653945531732</v>
      </c>
      <c r="U9" s="577">
        <f t="shared" si="6"/>
        <v>9.9783887775272433</v>
      </c>
      <c r="W9" s="607">
        <v>37</v>
      </c>
      <c r="X9" s="606" t="s">
        <v>256</v>
      </c>
      <c r="Y9" s="605">
        <v>3</v>
      </c>
    </row>
    <row r="10" spans="1:25" ht="12" x14ac:dyDescent="0.2">
      <c r="A10" s="601">
        <v>10</v>
      </c>
      <c r="B10" s="557">
        <v>58</v>
      </c>
      <c r="C10" s="586" t="s">
        <v>11</v>
      </c>
      <c r="D10" s="586" t="s">
        <v>514</v>
      </c>
      <c r="E10" s="584">
        <v>7644875</v>
      </c>
      <c r="F10" s="584">
        <v>400866.72000000003</v>
      </c>
      <c r="G10" s="584">
        <v>1918346.1994077894</v>
      </c>
      <c r="H10" s="584">
        <v>1153337.8699999999</v>
      </c>
      <c r="I10" s="599"/>
      <c r="J10" s="584">
        <v>9173850</v>
      </c>
      <c r="K10" s="584">
        <v>467224.8</v>
      </c>
      <c r="L10" s="584">
        <v>2302015.4392893473</v>
      </c>
      <c r="M10" s="584">
        <v>1377560.1</v>
      </c>
      <c r="O10" s="560">
        <f t="shared" si="0"/>
        <v>2.6218003564479475</v>
      </c>
      <c r="P10" s="560">
        <f t="shared" si="1"/>
        <v>36.072879974095784</v>
      </c>
      <c r="Q10" s="583">
        <f t="shared" si="2"/>
        <v>38.694680330543733</v>
      </c>
      <c r="R10" s="560">
        <f t="shared" si="3"/>
        <v>2.546503376445004</v>
      </c>
      <c r="S10" s="560">
        <f t="shared" si="4"/>
        <v>35.904887773261812</v>
      </c>
      <c r="T10" s="583">
        <f t="shared" si="5"/>
        <v>38.451391149706815</v>
      </c>
      <c r="U10" s="577">
        <f t="shared" si="6"/>
        <v>-0.24328918083691775</v>
      </c>
      <c r="W10" s="607">
        <v>45</v>
      </c>
      <c r="X10" s="606" t="s">
        <v>257</v>
      </c>
      <c r="Y10" s="605">
        <v>4</v>
      </c>
    </row>
    <row r="11" spans="1:25" ht="12" x14ac:dyDescent="0.2">
      <c r="A11" s="601">
        <v>11</v>
      </c>
      <c r="B11" s="557">
        <v>59</v>
      </c>
      <c r="C11" s="586" t="s">
        <v>47</v>
      </c>
      <c r="D11" s="586" t="s">
        <v>513</v>
      </c>
      <c r="E11" s="584">
        <v>8329535.833333333</v>
      </c>
      <c r="F11" s="584">
        <v>3529216.75</v>
      </c>
      <c r="G11" s="584">
        <v>1916508.3664701222</v>
      </c>
      <c r="H11" s="584">
        <v>1320447.1000000001</v>
      </c>
      <c r="I11" s="599"/>
      <c r="J11" s="584">
        <v>9995443</v>
      </c>
      <c r="K11" s="584">
        <v>4276117.5999999996</v>
      </c>
      <c r="L11" s="584">
        <v>2299810.0397641463</v>
      </c>
      <c r="M11" s="584">
        <v>1595900.35</v>
      </c>
      <c r="O11" s="560">
        <f t="shared" si="0"/>
        <v>21.184954483758247</v>
      </c>
      <c r="P11" s="560">
        <f t="shared" si="1"/>
        <v>41.339149562869977</v>
      </c>
      <c r="Q11" s="583">
        <f t="shared" si="2"/>
        <v>62.524104046628224</v>
      </c>
      <c r="R11" s="560">
        <f t="shared" si="3"/>
        <v>21.390335575921945</v>
      </c>
      <c r="S11" s="560">
        <f t="shared" si="4"/>
        <v>41.6356217880586</v>
      </c>
      <c r="T11" s="583">
        <f t="shared" si="5"/>
        <v>63.025957363980545</v>
      </c>
      <c r="U11" s="577">
        <f t="shared" si="6"/>
        <v>0.50185331735232097</v>
      </c>
      <c r="W11" s="607">
        <v>53</v>
      </c>
      <c r="X11" s="606" t="s">
        <v>258</v>
      </c>
      <c r="Y11" s="605">
        <v>5</v>
      </c>
    </row>
    <row r="12" spans="1:25" ht="12" x14ac:dyDescent="0.2">
      <c r="A12" s="601">
        <v>12</v>
      </c>
      <c r="B12" s="557">
        <v>60</v>
      </c>
      <c r="C12" s="586" t="s">
        <v>38</v>
      </c>
      <c r="D12" s="586" t="s">
        <v>512</v>
      </c>
      <c r="E12" s="584">
        <v>4145541.666666667</v>
      </c>
      <c r="F12" s="584">
        <v>27830.400000000001</v>
      </c>
      <c r="G12" s="584">
        <v>1072467.2691580378</v>
      </c>
      <c r="H12" s="584">
        <v>487102.71</v>
      </c>
      <c r="I12" s="599"/>
      <c r="J12" s="584">
        <v>4974650</v>
      </c>
      <c r="K12" s="584">
        <v>36644.980000000003</v>
      </c>
      <c r="L12" s="584">
        <v>1286960.7229896456</v>
      </c>
      <c r="M12" s="584">
        <v>587636.54</v>
      </c>
      <c r="O12" s="560">
        <f t="shared" si="0"/>
        <v>0.33566662981315265</v>
      </c>
      <c r="P12" s="560">
        <f t="shared" si="1"/>
        <v>27.25133292221085</v>
      </c>
      <c r="Q12" s="583">
        <f t="shared" si="2"/>
        <v>27.586999552024004</v>
      </c>
      <c r="R12" s="560">
        <f t="shared" si="3"/>
        <v>0.36831716804197284</v>
      </c>
      <c r="S12" s="560">
        <f t="shared" si="4"/>
        <v>27.396478983518815</v>
      </c>
      <c r="T12" s="583">
        <f t="shared" si="5"/>
        <v>27.764796151560788</v>
      </c>
      <c r="U12" s="577">
        <f t="shared" si="6"/>
        <v>0.17779659953678362</v>
      </c>
      <c r="W12" s="607">
        <v>61</v>
      </c>
      <c r="X12" s="606" t="s">
        <v>259</v>
      </c>
      <c r="Y12" s="605">
        <v>6</v>
      </c>
    </row>
    <row r="13" spans="1:25" ht="12" x14ac:dyDescent="0.2">
      <c r="A13" s="601">
        <v>13</v>
      </c>
      <c r="B13" s="557">
        <v>61</v>
      </c>
      <c r="C13" s="586" t="s">
        <v>46</v>
      </c>
      <c r="D13" s="586" t="s">
        <v>511</v>
      </c>
      <c r="E13" s="584">
        <v>4318541.666666666</v>
      </c>
      <c r="F13" s="584">
        <v>2090963.56</v>
      </c>
      <c r="G13" s="584">
        <v>1071202.4400337033</v>
      </c>
      <c r="H13" s="584">
        <v>884715.35000000009</v>
      </c>
      <c r="I13" s="599"/>
      <c r="J13" s="584">
        <v>5182250</v>
      </c>
      <c r="K13" s="584">
        <v>2312441.1999999997</v>
      </c>
      <c r="L13" s="584">
        <v>1285442.9280404442</v>
      </c>
      <c r="M13" s="584">
        <v>1031644.9299999999</v>
      </c>
      <c r="O13" s="560">
        <f t="shared" si="0"/>
        <v>24.209139582227799</v>
      </c>
      <c r="P13" s="560">
        <f t="shared" si="1"/>
        <v>49.554518376871748</v>
      </c>
      <c r="Q13" s="583">
        <f t="shared" si="2"/>
        <v>73.763657959099547</v>
      </c>
      <c r="R13" s="560">
        <f t="shared" si="3"/>
        <v>22.311169858652129</v>
      </c>
      <c r="S13" s="560">
        <f t="shared" si="4"/>
        <v>48.153593169911986</v>
      </c>
      <c r="T13" s="583">
        <f t="shared" si="5"/>
        <v>70.464763028564107</v>
      </c>
      <c r="U13" s="577">
        <f t="shared" si="6"/>
        <v>-3.2988949305354396</v>
      </c>
      <c r="W13" s="607">
        <v>69</v>
      </c>
      <c r="X13" s="606" t="s">
        <v>260</v>
      </c>
      <c r="Y13" s="605">
        <v>7</v>
      </c>
    </row>
    <row r="14" spans="1:25" ht="12" x14ac:dyDescent="0.2">
      <c r="A14" s="601">
        <v>14</v>
      </c>
      <c r="B14" s="557">
        <v>62</v>
      </c>
      <c r="C14" s="586" t="s">
        <v>43</v>
      </c>
      <c r="D14" s="586" t="s">
        <v>510</v>
      </c>
      <c r="E14" s="584">
        <v>5461596.25</v>
      </c>
      <c r="F14" s="584">
        <v>1421705.54</v>
      </c>
      <c r="G14" s="584">
        <v>987000.69648176909</v>
      </c>
      <c r="H14" s="584">
        <v>145190.91999999998</v>
      </c>
      <c r="I14" s="599"/>
      <c r="J14" s="584">
        <v>6553915.5</v>
      </c>
      <c r="K14" s="584">
        <v>2029426.8599999999</v>
      </c>
      <c r="L14" s="584">
        <v>1184400.8357781228</v>
      </c>
      <c r="M14" s="584">
        <v>167447.28999999998</v>
      </c>
      <c r="O14" s="560">
        <f t="shared" si="0"/>
        <v>13.015476382019269</v>
      </c>
      <c r="P14" s="560">
        <f t="shared" si="1"/>
        <v>8.8261895164335478</v>
      </c>
      <c r="Q14" s="583">
        <f t="shared" si="2"/>
        <v>21.841665898452817</v>
      </c>
      <c r="R14" s="560">
        <f t="shared" si="3"/>
        <v>15.482552834256101</v>
      </c>
      <c r="S14" s="560">
        <f t="shared" si="4"/>
        <v>8.4826328186432498</v>
      </c>
      <c r="T14" s="583">
        <f t="shared" si="5"/>
        <v>23.965185652899351</v>
      </c>
      <c r="U14" s="577">
        <f t="shared" si="6"/>
        <v>2.1235197544465336</v>
      </c>
      <c r="W14" s="607">
        <v>77</v>
      </c>
      <c r="X14" s="606" t="s">
        <v>14</v>
      </c>
      <c r="Y14" s="605">
        <v>8</v>
      </c>
    </row>
    <row r="15" spans="1:25" ht="12" x14ac:dyDescent="0.2">
      <c r="A15" s="601">
        <v>15</v>
      </c>
      <c r="B15" s="557">
        <v>63</v>
      </c>
      <c r="C15" s="586" t="s">
        <v>34</v>
      </c>
      <c r="D15" s="586" t="s">
        <v>509</v>
      </c>
      <c r="E15" s="584">
        <v>7906894.166666666</v>
      </c>
      <c r="F15" s="584">
        <v>7508.54</v>
      </c>
      <c r="G15" s="584">
        <v>1971618.8218333335</v>
      </c>
      <c r="H15" s="584">
        <v>312795.54000000004</v>
      </c>
      <c r="I15" s="599"/>
      <c r="J15" s="584">
        <v>9488273</v>
      </c>
      <c r="K15" s="584">
        <v>7508.54</v>
      </c>
      <c r="L15" s="584">
        <v>2365942.5861999998</v>
      </c>
      <c r="M15" s="584">
        <v>373852.94</v>
      </c>
      <c r="O15" s="560">
        <f t="shared" si="0"/>
        <v>4.7480969402967227E-2</v>
      </c>
      <c r="P15" s="560">
        <f t="shared" si="1"/>
        <v>9.5189456461714048</v>
      </c>
      <c r="Q15" s="583">
        <f t="shared" si="2"/>
        <v>9.5664266155743718</v>
      </c>
      <c r="R15" s="560">
        <f t="shared" si="3"/>
        <v>3.956747450247268E-2</v>
      </c>
      <c r="S15" s="560">
        <f t="shared" si="4"/>
        <v>9.4808625242370237</v>
      </c>
      <c r="T15" s="583">
        <f t="shared" si="5"/>
        <v>9.5204299987394965</v>
      </c>
      <c r="U15" s="577">
        <f t="shared" si="6"/>
        <v>-4.5996616834875326E-2</v>
      </c>
      <c r="W15" s="607">
        <v>85</v>
      </c>
      <c r="X15" s="606" t="s">
        <v>261</v>
      </c>
      <c r="Y15" s="605">
        <v>9</v>
      </c>
    </row>
    <row r="16" spans="1:25" ht="12" x14ac:dyDescent="0.2">
      <c r="B16" s="557">
        <v>64</v>
      </c>
      <c r="C16" s="586" t="s">
        <v>33</v>
      </c>
      <c r="D16" s="586" t="s">
        <v>508</v>
      </c>
      <c r="E16" s="584">
        <v>2941250</v>
      </c>
      <c r="F16" s="584">
        <v>1240174.1900000002</v>
      </c>
      <c r="G16" s="584">
        <v>539194.65274095768</v>
      </c>
      <c r="H16" s="584">
        <v>89773.18</v>
      </c>
      <c r="I16" s="599"/>
      <c r="J16" s="584">
        <v>3529500</v>
      </c>
      <c r="K16" s="584">
        <v>1353627.97</v>
      </c>
      <c r="L16" s="584">
        <v>647033.58328914933</v>
      </c>
      <c r="M16" s="584">
        <v>102085.48000000001</v>
      </c>
      <c r="O16" s="560">
        <f t="shared" si="0"/>
        <v>21.082434169145774</v>
      </c>
      <c r="P16" s="560">
        <f t="shared" si="1"/>
        <v>9.9896962490608257</v>
      </c>
      <c r="Q16" s="583">
        <f t="shared" si="2"/>
        <v>31.072130418206598</v>
      </c>
      <c r="R16" s="560">
        <f t="shared" si="3"/>
        <v>19.175916843745572</v>
      </c>
      <c r="S16" s="560">
        <f t="shared" si="4"/>
        <v>9.4664774104357043</v>
      </c>
      <c r="T16" s="583">
        <f t="shared" si="5"/>
        <v>28.642394254181276</v>
      </c>
      <c r="U16" s="577">
        <f t="shared" si="6"/>
        <v>-2.4297361640253214</v>
      </c>
      <c r="W16" s="604">
        <v>93</v>
      </c>
      <c r="X16" s="603" t="s">
        <v>262</v>
      </c>
      <c r="Y16" s="602">
        <v>10</v>
      </c>
    </row>
    <row r="17" spans="1:23" x14ac:dyDescent="0.2">
      <c r="B17" s="557">
        <v>65</v>
      </c>
      <c r="C17" s="586" t="s">
        <v>45</v>
      </c>
      <c r="D17" s="586" t="s">
        <v>507</v>
      </c>
      <c r="E17" s="584">
        <v>1038750.0000000001</v>
      </c>
      <c r="F17" s="584">
        <v>2982.33</v>
      </c>
      <c r="G17" s="584">
        <v>202556.25000000003</v>
      </c>
      <c r="H17" s="584">
        <v>335003.88</v>
      </c>
      <c r="I17" s="599"/>
      <c r="J17" s="584">
        <v>1246500</v>
      </c>
      <c r="K17" s="584">
        <v>4980.2299999999996</v>
      </c>
      <c r="L17" s="584">
        <v>243067.5</v>
      </c>
      <c r="M17" s="584">
        <v>402851.29</v>
      </c>
      <c r="O17" s="560">
        <f t="shared" si="0"/>
        <v>0.1435537906137184</v>
      </c>
      <c r="P17" s="560">
        <f t="shared" si="1"/>
        <v>60</v>
      </c>
      <c r="Q17" s="583">
        <f t="shared" si="2"/>
        <v>60.143553790613716</v>
      </c>
      <c r="R17" s="560">
        <f t="shared" si="3"/>
        <v>0.19976855194544724</v>
      </c>
      <c r="S17" s="560">
        <f t="shared" si="4"/>
        <v>60</v>
      </c>
      <c r="T17" s="583">
        <f t="shared" si="5"/>
        <v>60.199768551945446</v>
      </c>
      <c r="U17" s="577">
        <f t="shared" si="6"/>
        <v>5.6214761331730756E-2</v>
      </c>
    </row>
    <row r="18" spans="1:23" x14ac:dyDescent="0.2">
      <c r="B18" s="557">
        <v>66</v>
      </c>
      <c r="C18" s="586" t="s">
        <v>40</v>
      </c>
      <c r="D18" s="586" t="s">
        <v>506</v>
      </c>
      <c r="E18" s="584">
        <v>1193333.3333333333</v>
      </c>
      <c r="F18" s="584">
        <v>1804.59</v>
      </c>
      <c r="G18" s="584">
        <v>291871.34504595259</v>
      </c>
      <c r="H18" s="584">
        <v>99640.989999999991</v>
      </c>
      <c r="I18" s="599"/>
      <c r="J18" s="584">
        <v>1432000</v>
      </c>
      <c r="K18" s="584">
        <v>1804.59</v>
      </c>
      <c r="L18" s="584">
        <v>350245.61405514315</v>
      </c>
      <c r="M18" s="584">
        <v>119208.26999999999</v>
      </c>
      <c r="O18" s="560">
        <f t="shared" si="0"/>
        <v>7.5611312849162018E-2</v>
      </c>
      <c r="P18" s="560">
        <f t="shared" si="1"/>
        <v>20.483200908464458</v>
      </c>
      <c r="Q18" s="583">
        <f t="shared" si="2"/>
        <v>20.55881222131362</v>
      </c>
      <c r="R18" s="560">
        <f t="shared" si="3"/>
        <v>6.300942737430168E-2</v>
      </c>
      <c r="S18" s="560">
        <f t="shared" si="4"/>
        <v>20.421372639584007</v>
      </c>
      <c r="T18" s="583">
        <f t="shared" si="5"/>
        <v>20.484382066958307</v>
      </c>
      <c r="U18" s="577">
        <f t="shared" si="6"/>
        <v>-7.4430154355312084E-2</v>
      </c>
    </row>
    <row r="19" spans="1:23" x14ac:dyDescent="0.2">
      <c r="A19" s="601">
        <v>21</v>
      </c>
      <c r="B19" s="557">
        <v>67</v>
      </c>
      <c r="C19" s="586" t="s">
        <v>41</v>
      </c>
      <c r="D19" s="586" t="s">
        <v>505</v>
      </c>
      <c r="E19" s="584">
        <v>3363483.333333333</v>
      </c>
      <c r="F19" s="584">
        <v>328866.94</v>
      </c>
      <c r="G19" s="584">
        <v>926922.53299009148</v>
      </c>
      <c r="H19" s="584">
        <v>700345.22</v>
      </c>
      <c r="I19" s="599"/>
      <c r="J19" s="584">
        <v>4036180</v>
      </c>
      <c r="K19" s="584">
        <v>361407.41000000003</v>
      </c>
      <c r="L19" s="584">
        <v>1112307.0395881098</v>
      </c>
      <c r="M19" s="584">
        <v>806609.13</v>
      </c>
      <c r="O19" s="560">
        <f t="shared" si="0"/>
        <v>4.888785039319357</v>
      </c>
      <c r="P19" s="560">
        <f t="shared" si="1"/>
        <v>45.333576112826236</v>
      </c>
      <c r="Q19" s="583">
        <f t="shared" si="2"/>
        <v>50.222361152145595</v>
      </c>
      <c r="R19" s="560">
        <f t="shared" si="3"/>
        <v>4.4770972801014821</v>
      </c>
      <c r="S19" s="560">
        <f t="shared" si="4"/>
        <v>43.510061590477186</v>
      </c>
      <c r="T19" s="583">
        <f t="shared" si="5"/>
        <v>47.987158870578668</v>
      </c>
      <c r="U19" s="577">
        <f t="shared" si="6"/>
        <v>-2.2352022815669272</v>
      </c>
    </row>
    <row r="20" spans="1:23" x14ac:dyDescent="0.2">
      <c r="A20" s="601">
        <v>22</v>
      </c>
      <c r="B20" s="557">
        <v>68</v>
      </c>
      <c r="C20" s="586" t="s">
        <v>48</v>
      </c>
      <c r="D20" s="586" t="s">
        <v>504</v>
      </c>
      <c r="E20" s="584">
        <v>1413333.3333333333</v>
      </c>
      <c r="F20" s="584">
        <v>696226.87</v>
      </c>
      <c r="G20" s="584">
        <v>458895.16819355561</v>
      </c>
      <c r="H20" s="584">
        <v>96979</v>
      </c>
      <c r="I20" s="599"/>
      <c r="J20" s="584">
        <v>1696000</v>
      </c>
      <c r="K20" s="584">
        <v>801822.54</v>
      </c>
      <c r="L20" s="584">
        <v>550674.20183226676</v>
      </c>
      <c r="M20" s="584">
        <v>116151.83</v>
      </c>
      <c r="O20" s="560">
        <f t="shared" si="0"/>
        <v>24.630667570754717</v>
      </c>
      <c r="P20" s="560">
        <f t="shared" si="1"/>
        <v>12.679889446004662</v>
      </c>
      <c r="Q20" s="583">
        <f t="shared" si="2"/>
        <v>37.310557016759375</v>
      </c>
      <c r="R20" s="560">
        <f t="shared" si="3"/>
        <v>23.638636202830192</v>
      </c>
      <c r="S20" s="560">
        <f t="shared" si="4"/>
        <v>12.655595226381722</v>
      </c>
      <c r="T20" s="583">
        <f t="shared" si="5"/>
        <v>36.294231429211912</v>
      </c>
      <c r="U20" s="577">
        <f t="shared" si="6"/>
        <v>-1.0163255875474633</v>
      </c>
    </row>
    <row r="21" spans="1:23" x14ac:dyDescent="0.2">
      <c r="B21" s="557">
        <v>69</v>
      </c>
      <c r="C21" s="586" t="s">
        <v>35</v>
      </c>
      <c r="D21" s="586" t="s">
        <v>503</v>
      </c>
      <c r="E21" s="584">
        <v>3065833.333333333</v>
      </c>
      <c r="F21" s="584">
        <v>1915096.9</v>
      </c>
      <c r="G21" s="584">
        <v>871055.56269317563</v>
      </c>
      <c r="H21" s="584">
        <v>802913.05999999994</v>
      </c>
      <c r="I21" s="599"/>
      <c r="J21" s="584">
        <v>3679000</v>
      </c>
      <c r="K21" s="584">
        <v>2343338.5099999998</v>
      </c>
      <c r="L21" s="584">
        <v>1045266.6752318107</v>
      </c>
      <c r="M21" s="584">
        <v>965563.87999999989</v>
      </c>
      <c r="O21" s="560">
        <f t="shared" si="0"/>
        <v>31.232893177493885</v>
      </c>
      <c r="P21" s="560">
        <f t="shared" si="1"/>
        <v>55.306211983826444</v>
      </c>
      <c r="Q21" s="583">
        <f t="shared" si="2"/>
        <v>86.539105161320322</v>
      </c>
      <c r="R21" s="560">
        <f t="shared" si="3"/>
        <v>31.847492661049195</v>
      </c>
      <c r="S21" s="560">
        <f t="shared" si="4"/>
        <v>55.424930472553235</v>
      </c>
      <c r="T21" s="583">
        <f t="shared" si="5"/>
        <v>87.27242313360243</v>
      </c>
      <c r="U21" s="577">
        <f t="shared" si="6"/>
        <v>0.7333179722821086</v>
      </c>
      <c r="W21" s="560"/>
    </row>
    <row r="22" spans="1:23" ht="10.5" customHeight="1" x14ac:dyDescent="0.2">
      <c r="B22" s="557">
        <v>70</v>
      </c>
      <c r="C22" s="586" t="s">
        <v>44</v>
      </c>
      <c r="D22" s="586" t="s">
        <v>502</v>
      </c>
      <c r="E22" s="584">
        <v>2371208.333333333</v>
      </c>
      <c r="F22" s="584">
        <v>741283.83000000007</v>
      </c>
      <c r="G22" s="584">
        <v>691793.04878862109</v>
      </c>
      <c r="H22" s="584">
        <v>207903.21000000002</v>
      </c>
      <c r="I22" s="599"/>
      <c r="J22" s="584">
        <v>2845450</v>
      </c>
      <c r="K22" s="584">
        <v>917275.56</v>
      </c>
      <c r="L22" s="584">
        <v>830151.65854634531</v>
      </c>
      <c r="M22" s="584">
        <v>245176.62</v>
      </c>
      <c r="O22" s="560">
        <f t="shared" si="0"/>
        <v>15.630930011070308</v>
      </c>
      <c r="P22" s="560">
        <f t="shared" si="1"/>
        <v>18.031682483429403</v>
      </c>
      <c r="Q22" s="583">
        <f t="shared" si="2"/>
        <v>33.662612494499712</v>
      </c>
      <c r="R22" s="560">
        <f t="shared" si="3"/>
        <v>16.118286387038957</v>
      </c>
      <c r="S22" s="560">
        <f t="shared" si="4"/>
        <v>17.720373197542365</v>
      </c>
      <c r="T22" s="583">
        <f t="shared" si="5"/>
        <v>33.838659584581322</v>
      </c>
      <c r="U22" s="577">
        <f t="shared" si="6"/>
        <v>0.17604709008161024</v>
      </c>
    </row>
    <row r="23" spans="1:23" x14ac:dyDescent="0.2">
      <c r="B23" s="557">
        <v>71</v>
      </c>
      <c r="C23" s="586" t="s">
        <v>39</v>
      </c>
      <c r="D23" s="586" t="s">
        <v>501</v>
      </c>
      <c r="E23" s="584">
        <v>2143394.0333333332</v>
      </c>
      <c r="F23" s="584">
        <v>790954.07</v>
      </c>
      <c r="G23" s="584">
        <v>581257.15774956869</v>
      </c>
      <c r="H23" s="584">
        <v>205242.57</v>
      </c>
      <c r="I23" s="599"/>
      <c r="J23" s="584">
        <v>2572072.84</v>
      </c>
      <c r="K23" s="584">
        <v>892922.28</v>
      </c>
      <c r="L23" s="584">
        <v>697508.58929948241</v>
      </c>
      <c r="M23" s="584">
        <v>243746.38000000003</v>
      </c>
      <c r="O23" s="560">
        <f t="shared" si="0"/>
        <v>18.450972096109066</v>
      </c>
      <c r="P23" s="560">
        <f t="shared" si="1"/>
        <v>21.186068912558071</v>
      </c>
      <c r="Q23" s="583">
        <f t="shared" si="2"/>
        <v>39.63704100866714</v>
      </c>
      <c r="R23" s="560">
        <f t="shared" si="3"/>
        <v>17.358028631879648</v>
      </c>
      <c r="S23" s="560">
        <f t="shared" si="4"/>
        <v>20.967172339322552</v>
      </c>
      <c r="T23" s="583">
        <f t="shared" si="5"/>
        <v>38.3252009712022</v>
      </c>
      <c r="U23" s="577">
        <f t="shared" si="6"/>
        <v>-1.3118400374649397</v>
      </c>
    </row>
    <row r="24" spans="1:23" x14ac:dyDescent="0.2">
      <c r="B24" s="557">
        <v>72</v>
      </c>
      <c r="C24" s="586" t="s">
        <v>42</v>
      </c>
      <c r="D24" s="586" t="s">
        <v>500</v>
      </c>
      <c r="E24" s="584">
        <v>1023333.3333333333</v>
      </c>
      <c r="F24" s="584">
        <v>613648.69000000006</v>
      </c>
      <c r="G24" s="584">
        <v>173574.95833333331</v>
      </c>
      <c r="H24" s="584">
        <v>76273.27</v>
      </c>
      <c r="I24" s="599"/>
      <c r="J24" s="584">
        <v>1228000</v>
      </c>
      <c r="K24" s="584">
        <v>834703.99000000011</v>
      </c>
      <c r="L24" s="584">
        <v>208289.95</v>
      </c>
      <c r="M24" s="584">
        <v>90127.4</v>
      </c>
      <c r="O24" s="560">
        <f t="shared" si="0"/>
        <v>29.98283501628665</v>
      </c>
      <c r="P24" s="560">
        <f t="shared" si="1"/>
        <v>26.365532470481657</v>
      </c>
      <c r="Q24" s="583">
        <f t="shared" si="2"/>
        <v>56.348367486768311</v>
      </c>
      <c r="R24" s="560">
        <f t="shared" si="3"/>
        <v>33.986318811074923</v>
      </c>
      <c r="S24" s="560">
        <f t="shared" si="4"/>
        <v>25.962097547193224</v>
      </c>
      <c r="T24" s="583">
        <f t="shared" si="5"/>
        <v>59.948416358268148</v>
      </c>
      <c r="U24" s="577">
        <f t="shared" si="6"/>
        <v>3.6000488714998369</v>
      </c>
    </row>
    <row r="25" spans="1:23" x14ac:dyDescent="0.2">
      <c r="A25" s="596">
        <v>31</v>
      </c>
      <c r="B25" s="557">
        <v>73</v>
      </c>
      <c r="C25" s="586" t="s">
        <v>37</v>
      </c>
      <c r="D25" s="586" t="s">
        <v>499</v>
      </c>
      <c r="E25" s="584">
        <v>1432129.1666666667</v>
      </c>
      <c r="F25" s="584">
        <v>24975.68</v>
      </c>
      <c r="G25" s="584">
        <v>235986.99514119103</v>
      </c>
      <c r="H25" s="584">
        <v>102820.56</v>
      </c>
      <c r="I25" s="599"/>
      <c r="J25" s="584">
        <v>1718555</v>
      </c>
      <c r="K25" s="584">
        <v>24975.68</v>
      </c>
      <c r="L25" s="584">
        <v>283184.39416942926</v>
      </c>
      <c r="M25" s="584">
        <v>118671.95</v>
      </c>
      <c r="O25" s="560">
        <f t="shared" si="0"/>
        <v>0.87197721341475831</v>
      </c>
      <c r="P25" s="560">
        <f t="shared" si="1"/>
        <v>26.14226091700073</v>
      </c>
      <c r="Q25" s="583">
        <f t="shared" si="2"/>
        <v>27.014238130415489</v>
      </c>
      <c r="R25" s="560">
        <f t="shared" si="3"/>
        <v>0.726647677845632</v>
      </c>
      <c r="S25" s="560">
        <f t="shared" si="4"/>
        <v>25.143747842756877</v>
      </c>
      <c r="T25" s="583">
        <f t="shared" si="5"/>
        <v>25.870395520602511</v>
      </c>
      <c r="U25" s="577">
        <f t="shared" si="6"/>
        <v>-1.1438426098129781</v>
      </c>
    </row>
    <row r="26" spans="1:23" x14ac:dyDescent="0.2">
      <c r="A26" s="596">
        <v>32</v>
      </c>
      <c r="B26" s="557">
        <v>74</v>
      </c>
      <c r="C26" s="600" t="s">
        <v>36</v>
      </c>
      <c r="D26" s="600" t="s">
        <v>498</v>
      </c>
      <c r="E26" s="598">
        <v>1315833.3333333335</v>
      </c>
      <c r="F26" s="598">
        <v>0</v>
      </c>
      <c r="G26" s="598">
        <v>227974.85578293938</v>
      </c>
      <c r="H26" s="598">
        <v>131086.35</v>
      </c>
      <c r="I26" s="599"/>
      <c r="J26" s="598">
        <v>1579000</v>
      </c>
      <c r="K26" s="598">
        <v>0</v>
      </c>
      <c r="L26" s="598">
        <v>273569.82693952724</v>
      </c>
      <c r="M26" s="598">
        <v>157303.62</v>
      </c>
      <c r="O26" s="560">
        <f t="shared" si="0"/>
        <v>0</v>
      </c>
      <c r="P26" s="560">
        <f t="shared" si="1"/>
        <v>34.50021263524183</v>
      </c>
      <c r="Q26" s="583">
        <f t="shared" si="2"/>
        <v>34.50021263524183</v>
      </c>
      <c r="R26" s="560">
        <f t="shared" si="3"/>
        <v>0</v>
      </c>
      <c r="S26" s="560">
        <f t="shared" si="4"/>
        <v>34.500212635241837</v>
      </c>
      <c r="T26" s="583">
        <f t="shared" si="5"/>
        <v>34.500212635241837</v>
      </c>
      <c r="U26" s="577">
        <f t="shared" si="6"/>
        <v>0</v>
      </c>
    </row>
    <row r="27" spans="1:23" x14ac:dyDescent="0.2">
      <c r="A27" s="596">
        <v>33</v>
      </c>
      <c r="C27" s="569" t="s">
        <v>461</v>
      </c>
      <c r="E27" s="567">
        <f>SUM(E3:E26)</f>
        <v>459663346.35833329</v>
      </c>
      <c r="F27" s="567">
        <f>SUM(F3:F26)</f>
        <v>136814919.68000004</v>
      </c>
      <c r="G27" s="567">
        <f>SUM(G3:G26)</f>
        <v>99371718.593957976</v>
      </c>
      <c r="H27" s="567">
        <f>SUM(H3:H26)</f>
        <v>74768282.779999956</v>
      </c>
      <c r="I27" s="568"/>
      <c r="J27" s="567">
        <f>SUM(J3:J26)</f>
        <v>551596015.63</v>
      </c>
      <c r="K27" s="567">
        <f>SUM(K3:K26)</f>
        <v>280146568.31000012</v>
      </c>
      <c r="L27" s="567">
        <f>SUM(L3:L26)</f>
        <v>119246062.31274958</v>
      </c>
      <c r="M27" s="567">
        <f>SUM(M3:M26)</f>
        <v>88060145.799999997</v>
      </c>
      <c r="O27" s="566">
        <f t="shared" si="0"/>
        <v>14.882078456321503</v>
      </c>
      <c r="P27" s="566">
        <f t="shared" si="1"/>
        <v>45.144604825952584</v>
      </c>
      <c r="Q27" s="597">
        <f t="shared" si="2"/>
        <v>60.026683282274085</v>
      </c>
      <c r="R27" s="566">
        <f t="shared" si="3"/>
        <v>25.394179831958489</v>
      </c>
      <c r="S27" s="566">
        <f t="shared" si="4"/>
        <v>44.308454682072011</v>
      </c>
      <c r="T27" s="597">
        <f t="shared" si="5"/>
        <v>69.702634514030507</v>
      </c>
      <c r="U27" s="577">
        <f t="shared" si="6"/>
        <v>9.6759512317564216</v>
      </c>
    </row>
    <row r="28" spans="1:23" x14ac:dyDescent="0.2">
      <c r="A28" s="596">
        <v>34</v>
      </c>
      <c r="I28" s="559"/>
      <c r="U28" s="577"/>
    </row>
    <row r="29" spans="1:23" x14ac:dyDescent="0.2">
      <c r="A29" s="596">
        <v>35</v>
      </c>
      <c r="I29" s="559"/>
      <c r="U29" s="577"/>
    </row>
    <row r="30" spans="1:23" x14ac:dyDescent="0.2">
      <c r="A30" s="596">
        <v>36</v>
      </c>
      <c r="C30" s="595" t="s">
        <v>364</v>
      </c>
      <c r="D30" s="594" t="s">
        <v>497</v>
      </c>
      <c r="E30" s="591" t="s">
        <v>496</v>
      </c>
      <c r="F30" s="591" t="s">
        <v>495</v>
      </c>
      <c r="G30" s="592" t="s">
        <v>494</v>
      </c>
      <c r="H30" s="591" t="s">
        <v>493</v>
      </c>
      <c r="I30" s="593"/>
      <c r="J30" s="591" t="s">
        <v>496</v>
      </c>
      <c r="K30" s="591" t="s">
        <v>495</v>
      </c>
      <c r="L30" s="592" t="s">
        <v>494</v>
      </c>
      <c r="M30" s="591" t="s">
        <v>493</v>
      </c>
      <c r="U30" s="577"/>
    </row>
    <row r="31" spans="1:23" x14ac:dyDescent="0.2">
      <c r="B31" s="557">
        <v>81</v>
      </c>
      <c r="C31" s="674" t="s">
        <v>5</v>
      </c>
      <c r="D31" s="590" t="s">
        <v>492</v>
      </c>
      <c r="E31" s="589">
        <v>19934032.499999996</v>
      </c>
      <c r="F31" s="589">
        <v>7817498.5700000003</v>
      </c>
      <c r="G31" s="589">
        <v>1536978.6892499998</v>
      </c>
      <c r="H31" s="589">
        <v>2123847.87</v>
      </c>
      <c r="I31" s="571"/>
      <c r="J31" s="589">
        <v>23920839</v>
      </c>
      <c r="K31" s="589">
        <v>8792490.8200000003</v>
      </c>
      <c r="L31" s="589">
        <v>1844374.4271</v>
      </c>
      <c r="M31" s="589">
        <v>2333147.66</v>
      </c>
      <c r="O31" s="560">
        <f t="shared" ref="O31:O37" si="7">IF((F31/(E31*$X$1)*$X$3)&gt;$X$3,$X$3,F31/(E31*$X$1)*$X$3)</f>
        <v>19.608422355085459</v>
      </c>
      <c r="P31" s="560">
        <f t="shared" ref="P31:P37" si="8">IF((H31/G31*$X$4)&gt;$X$4,$X$4,H31/G31*$X$4)</f>
        <v>60</v>
      </c>
      <c r="Q31" s="588">
        <f t="shared" ref="Q31:Q37" si="9">IF((F31/(E31*$X$1)*$X$3)&gt;$X$3,$X$3,F31/(E31*$X$1)*$X$3)+IF((H31/G31*$X$4)&gt;$X$4,$X$4,H31/G31*$X$4)</f>
        <v>79.608422355085452</v>
      </c>
      <c r="R31" s="560">
        <f t="shared" ref="R31:R37" si="10">IF((K31/(J31*$X$1)*$X$3)&gt;$X$3,$X$3,K31/(J31*$X$1)*$X$3)</f>
        <v>18.378307759188548</v>
      </c>
      <c r="S31" s="560">
        <f t="shared" ref="S31:S37" si="11">IF((M31/L31*$X$4)&gt;$X$4,$X$4,M31/L31*$X$4)</f>
        <v>60</v>
      </c>
      <c r="T31" s="588">
        <f t="shared" ref="T31:T37" si="12">IF((K31/(J31*$X$1)*$X$3)&gt;$X$3,$X$3,K31/(J31*$X$1)*$X$3)+IF((M31/L31*$X$4)&gt;$X$4,$X$4,M31/L31*$X$4)</f>
        <v>78.378307759188544</v>
      </c>
      <c r="U31" s="577">
        <f t="shared" ref="U31:U37" si="13">T31-Q31</f>
        <v>-1.2301145958969073</v>
      </c>
    </row>
    <row r="32" spans="1:23" x14ac:dyDescent="0.2">
      <c r="B32" s="557">
        <v>82</v>
      </c>
      <c r="C32" s="675" t="s">
        <v>289</v>
      </c>
      <c r="D32" s="586" t="s">
        <v>491</v>
      </c>
      <c r="E32" s="584">
        <v>262528449.86718956</v>
      </c>
      <c r="F32" s="584">
        <v>164823637.02000001</v>
      </c>
      <c r="G32" s="584">
        <v>86797604.51619871</v>
      </c>
      <c r="H32" s="584">
        <v>59032967.609999999</v>
      </c>
      <c r="I32" s="571"/>
      <c r="J32" s="584">
        <v>315034139.84062749</v>
      </c>
      <c r="K32" s="584">
        <v>200836253.26999998</v>
      </c>
      <c r="L32" s="584">
        <v>104157125.41943845</v>
      </c>
      <c r="M32" s="584">
        <v>72265964.460000008</v>
      </c>
      <c r="O32" s="560">
        <f t="shared" si="7"/>
        <v>31.391576246952013</v>
      </c>
      <c r="P32" s="560">
        <f t="shared" si="8"/>
        <v>40.807324998686731</v>
      </c>
      <c r="Q32" s="583">
        <f t="shared" si="9"/>
        <v>72.198901245638751</v>
      </c>
      <c r="R32" s="560">
        <f t="shared" si="10"/>
        <v>31.875315699371654</v>
      </c>
      <c r="S32" s="560">
        <f t="shared" si="11"/>
        <v>41.629008578522054</v>
      </c>
      <c r="T32" s="583">
        <f t="shared" si="12"/>
        <v>73.504324277893716</v>
      </c>
      <c r="U32" s="577">
        <f t="shared" si="13"/>
        <v>1.3054230322549643</v>
      </c>
    </row>
    <row r="33" spans="1:21" x14ac:dyDescent="0.2">
      <c r="B33" s="557">
        <v>83</v>
      </c>
      <c r="C33" s="675" t="s">
        <v>444</v>
      </c>
      <c r="D33" s="586" t="s">
        <v>490</v>
      </c>
      <c r="E33" s="584">
        <v>110867405</v>
      </c>
      <c r="F33" s="584">
        <v>68069278.929999992</v>
      </c>
      <c r="G33" s="584">
        <v>19214677.108333331</v>
      </c>
      <c r="H33" s="584">
        <v>11915912.129999997</v>
      </c>
      <c r="I33" s="571"/>
      <c r="J33" s="584">
        <v>133040886</v>
      </c>
      <c r="K33" s="584">
        <v>84836217.129999995</v>
      </c>
      <c r="L33" s="584">
        <v>23057612.529999997</v>
      </c>
      <c r="M33" s="584">
        <v>14249849.57</v>
      </c>
      <c r="O33" s="560">
        <f t="shared" si="7"/>
        <v>30.698508245051819</v>
      </c>
      <c r="P33" s="560">
        <f t="shared" si="8"/>
        <v>37.208781795762093</v>
      </c>
      <c r="Q33" s="583">
        <f t="shared" si="9"/>
        <v>67.907290040813905</v>
      </c>
      <c r="R33" s="560">
        <f t="shared" si="10"/>
        <v>31.883513287035683</v>
      </c>
      <c r="S33" s="560">
        <f t="shared" si="11"/>
        <v>37.080637602335493</v>
      </c>
      <c r="T33" s="583">
        <f t="shared" si="12"/>
        <v>68.964150889371183</v>
      </c>
      <c r="U33" s="577">
        <f t="shared" si="13"/>
        <v>1.0568608485572781</v>
      </c>
    </row>
    <row r="34" spans="1:21" x14ac:dyDescent="0.2">
      <c r="A34" s="587" t="s">
        <v>489</v>
      </c>
      <c r="B34" s="557">
        <v>84</v>
      </c>
      <c r="C34" s="676" t="s">
        <v>577</v>
      </c>
      <c r="D34" s="586" t="s">
        <v>488</v>
      </c>
      <c r="E34" s="584">
        <v>76230554.583333328</v>
      </c>
      <c r="F34" s="584">
        <v>59336503.390000001</v>
      </c>
      <c r="G34" s="584">
        <v>8780222.8358171806</v>
      </c>
      <c r="H34" s="584">
        <v>6922009.5599999987</v>
      </c>
      <c r="I34" s="571"/>
      <c r="J34" s="584">
        <v>91476665.5</v>
      </c>
      <c r="K34" s="584">
        <v>64561650.549999997</v>
      </c>
      <c r="L34" s="584">
        <v>10536267.402980616</v>
      </c>
      <c r="M34" s="584">
        <v>8338141.8000000007</v>
      </c>
      <c r="O34" s="560">
        <f t="shared" si="7"/>
        <v>38.91910777399292</v>
      </c>
      <c r="P34" s="560">
        <f t="shared" si="8"/>
        <v>47.301826088716318</v>
      </c>
      <c r="Q34" s="583">
        <f t="shared" si="9"/>
        <v>86.220933862709245</v>
      </c>
      <c r="R34" s="560">
        <f t="shared" si="10"/>
        <v>35.288589826221852</v>
      </c>
      <c r="S34" s="560">
        <f t="shared" si="11"/>
        <v>47.482518131465881</v>
      </c>
      <c r="T34" s="583">
        <f t="shared" si="12"/>
        <v>82.771107957687732</v>
      </c>
      <c r="U34" s="577">
        <f t="shared" si="13"/>
        <v>-3.4498259050215125</v>
      </c>
    </row>
    <row r="35" spans="1:21" x14ac:dyDescent="0.2">
      <c r="B35" s="557">
        <v>85</v>
      </c>
      <c r="C35" s="676" t="s">
        <v>582</v>
      </c>
      <c r="D35" s="586" t="s">
        <v>487</v>
      </c>
      <c r="E35" s="584">
        <v>67312916.666666672</v>
      </c>
      <c r="F35" s="584">
        <v>43184346.439999998</v>
      </c>
      <c r="G35" s="584">
        <v>9235420.8333333358</v>
      </c>
      <c r="H35" s="584">
        <v>6101371.7100000009</v>
      </c>
      <c r="I35" s="571"/>
      <c r="J35" s="584">
        <v>80775500</v>
      </c>
      <c r="K35" s="584">
        <v>60369560.61999999</v>
      </c>
      <c r="L35" s="584">
        <v>11082505</v>
      </c>
      <c r="M35" s="584">
        <v>7330909.4300000006</v>
      </c>
      <c r="O35" s="560">
        <f t="shared" si="7"/>
        <v>32.077310402287814</v>
      </c>
      <c r="P35" s="560">
        <f t="shared" si="8"/>
        <v>39.638941116651871</v>
      </c>
      <c r="Q35" s="583">
        <f t="shared" si="9"/>
        <v>71.716251518939686</v>
      </c>
      <c r="R35" s="560">
        <f t="shared" si="10"/>
        <v>37.368732239354749</v>
      </c>
      <c r="S35" s="560">
        <f t="shared" si="11"/>
        <v>39.6890924750316</v>
      </c>
      <c r="T35" s="583">
        <f t="shared" si="12"/>
        <v>77.057824714386356</v>
      </c>
      <c r="U35" s="577">
        <f t="shared" si="13"/>
        <v>5.3415731954466708</v>
      </c>
    </row>
    <row r="36" spans="1:21" x14ac:dyDescent="0.2">
      <c r="B36" s="557">
        <v>86</v>
      </c>
      <c r="C36" s="676" t="s">
        <v>290</v>
      </c>
      <c r="D36" s="586" t="s">
        <v>486</v>
      </c>
      <c r="E36" s="584">
        <v>289755833.33333337</v>
      </c>
      <c r="F36" s="584">
        <v>181540612.94</v>
      </c>
      <c r="G36" s="584">
        <v>20282908.33333334</v>
      </c>
      <c r="H36" s="584">
        <v>4100228.81</v>
      </c>
      <c r="I36" s="571"/>
      <c r="J36" s="584">
        <v>347707000</v>
      </c>
      <c r="K36" s="584">
        <v>202975722.45999998</v>
      </c>
      <c r="L36" s="584">
        <v>24339490.000000004</v>
      </c>
      <c r="M36" s="584">
        <v>5535929.96</v>
      </c>
      <c r="O36" s="560">
        <f t="shared" si="7"/>
        <v>31.326481136128976</v>
      </c>
      <c r="P36" s="560">
        <f t="shared" si="8"/>
        <v>12.129115043906012</v>
      </c>
      <c r="Q36" s="583">
        <f t="shared" si="9"/>
        <v>43.455596180034988</v>
      </c>
      <c r="R36" s="560">
        <f t="shared" si="10"/>
        <v>29.187753260647611</v>
      </c>
      <c r="S36" s="560">
        <f t="shared" si="11"/>
        <v>13.646785433877206</v>
      </c>
      <c r="T36" s="583">
        <f t="shared" si="12"/>
        <v>42.834538694524817</v>
      </c>
      <c r="U36" s="577">
        <f t="shared" si="13"/>
        <v>-0.62105748551017115</v>
      </c>
    </row>
    <row r="37" spans="1:21" x14ac:dyDescent="0.2">
      <c r="B37" s="557">
        <v>87</v>
      </c>
      <c r="C37" s="675" t="s">
        <v>575</v>
      </c>
      <c r="D37" s="586" t="s">
        <v>485</v>
      </c>
      <c r="E37" s="585">
        <v>304695092.08333343</v>
      </c>
      <c r="F37" s="585">
        <v>132762423.38999999</v>
      </c>
      <c r="G37" s="585">
        <v>50318048.428877138</v>
      </c>
      <c r="H37" s="585">
        <v>40093333.219999999</v>
      </c>
      <c r="I37" s="571"/>
      <c r="J37" s="584">
        <v>365634110.5</v>
      </c>
      <c r="K37" s="584">
        <v>161602621.91</v>
      </c>
      <c r="L37" s="584">
        <v>60381658.114652559</v>
      </c>
      <c r="M37" s="584">
        <v>48613394.79999999</v>
      </c>
      <c r="O37" s="560">
        <f t="shared" si="7"/>
        <v>21.786111237014897</v>
      </c>
      <c r="P37" s="560">
        <f t="shared" si="8"/>
        <v>47.807895343958627</v>
      </c>
      <c r="Q37" s="583">
        <f t="shared" si="9"/>
        <v>69.594006580973527</v>
      </c>
      <c r="R37" s="560">
        <f t="shared" si="10"/>
        <v>22.098953197912859</v>
      </c>
      <c r="S37" s="560">
        <f t="shared" si="11"/>
        <v>48.306121081696354</v>
      </c>
      <c r="T37" s="583">
        <f t="shared" si="12"/>
        <v>70.405074279609209</v>
      </c>
      <c r="U37" s="577">
        <f t="shared" si="13"/>
        <v>0.81106769863568218</v>
      </c>
    </row>
    <row r="38" spans="1:21" ht="12" customHeight="1" x14ac:dyDescent="0.2">
      <c r="B38" s="557">
        <v>88</v>
      </c>
      <c r="C38" s="582" t="s">
        <v>484</v>
      </c>
      <c r="D38" s="575" t="s">
        <v>483</v>
      </c>
      <c r="E38" s="581">
        <v>0</v>
      </c>
      <c r="F38" s="581">
        <v>0</v>
      </c>
      <c r="G38" s="581">
        <v>0</v>
      </c>
      <c r="H38" s="581">
        <v>0</v>
      </c>
      <c r="I38" s="571"/>
      <c r="J38" s="581">
        <v>0</v>
      </c>
      <c r="K38" s="581">
        <v>0</v>
      </c>
      <c r="L38" s="581">
        <v>0</v>
      </c>
      <c r="M38" s="581">
        <v>0</v>
      </c>
      <c r="O38" s="560"/>
      <c r="P38" s="560"/>
      <c r="Q38" s="580"/>
      <c r="R38" s="560"/>
      <c r="S38" s="560"/>
      <c r="T38" s="580"/>
      <c r="U38" s="577"/>
    </row>
    <row r="39" spans="1:21" x14ac:dyDescent="0.2">
      <c r="B39" s="557">
        <v>89</v>
      </c>
      <c r="C39" s="579" t="s">
        <v>482</v>
      </c>
      <c r="D39" s="575" t="s">
        <v>481</v>
      </c>
      <c r="E39" s="574">
        <v>0</v>
      </c>
      <c r="F39" s="574">
        <v>0</v>
      </c>
      <c r="G39" s="574">
        <v>0</v>
      </c>
      <c r="H39" s="574">
        <v>0</v>
      </c>
      <c r="I39" s="571"/>
      <c r="J39" s="574">
        <v>0</v>
      </c>
      <c r="K39" s="574">
        <v>0</v>
      </c>
      <c r="L39" s="574">
        <v>0</v>
      </c>
      <c r="M39" s="574">
        <v>0</v>
      </c>
      <c r="O39" s="560"/>
      <c r="P39" s="560"/>
      <c r="Q39" s="578"/>
      <c r="R39" s="560"/>
      <c r="S39" s="560"/>
      <c r="T39" s="578"/>
      <c r="U39" s="577"/>
    </row>
    <row r="40" spans="1:21" x14ac:dyDescent="0.2">
      <c r="B40" s="573">
        <v>91</v>
      </c>
      <c r="C40" s="575" t="s">
        <v>480</v>
      </c>
      <c r="D40" s="575" t="s">
        <v>479</v>
      </c>
      <c r="E40" s="576">
        <v>0</v>
      </c>
      <c r="F40" s="576">
        <v>0</v>
      </c>
      <c r="G40" s="576">
        <v>0</v>
      </c>
      <c r="H40" s="576">
        <v>0</v>
      </c>
      <c r="I40" s="571"/>
      <c r="J40" s="576">
        <v>0</v>
      </c>
      <c r="K40" s="576">
        <v>0</v>
      </c>
      <c r="L40" s="576">
        <v>0</v>
      </c>
      <c r="M40" s="576">
        <v>0</v>
      </c>
    </row>
    <row r="41" spans="1:21" x14ac:dyDescent="0.2">
      <c r="B41" s="573">
        <v>92</v>
      </c>
      <c r="C41" s="575" t="s">
        <v>478</v>
      </c>
      <c r="D41" s="575" t="s">
        <v>477</v>
      </c>
      <c r="E41" s="574">
        <v>0</v>
      </c>
      <c r="F41" s="574">
        <v>0</v>
      </c>
      <c r="G41" s="574">
        <v>0</v>
      </c>
      <c r="H41" s="574">
        <v>0</v>
      </c>
      <c r="I41" s="571"/>
      <c r="J41" s="574">
        <v>0</v>
      </c>
      <c r="K41" s="574">
        <v>0</v>
      </c>
      <c r="L41" s="574">
        <v>0</v>
      </c>
      <c r="M41" s="574">
        <v>0</v>
      </c>
    </row>
    <row r="42" spans="1:21" x14ac:dyDescent="0.2">
      <c r="B42" s="573">
        <v>93</v>
      </c>
      <c r="C42" s="572" t="s">
        <v>476</v>
      </c>
      <c r="D42" s="572" t="s">
        <v>475</v>
      </c>
      <c r="E42" s="570">
        <v>0</v>
      </c>
      <c r="F42" s="570">
        <v>0</v>
      </c>
      <c r="G42" s="570">
        <v>0</v>
      </c>
      <c r="H42" s="570">
        <v>0</v>
      </c>
      <c r="I42" s="571"/>
      <c r="J42" s="570">
        <v>0</v>
      </c>
      <c r="K42" s="570">
        <v>0</v>
      </c>
      <c r="L42" s="570">
        <v>0</v>
      </c>
      <c r="M42" s="570">
        <v>0</v>
      </c>
    </row>
    <row r="43" spans="1:21" x14ac:dyDescent="0.2">
      <c r="C43" s="569" t="s">
        <v>463</v>
      </c>
      <c r="E43" s="567">
        <f>SUM(E31:E42)</f>
        <v>1131324284.0338564</v>
      </c>
      <c r="F43" s="567">
        <f>SUM(F31:F42)</f>
        <v>657534300.67999995</v>
      </c>
      <c r="G43" s="567">
        <f>SUM(G31:G42)</f>
        <v>196165860.74514306</v>
      </c>
      <c r="H43" s="567">
        <f>SUM(H31:H42)</f>
        <v>130289670.91</v>
      </c>
      <c r="I43" s="568"/>
      <c r="J43" s="567">
        <f>SUM(J31:J42)</f>
        <v>1357589140.8406274</v>
      </c>
      <c r="K43" s="567">
        <f>SUM(K31:K42)</f>
        <v>783974516.75999987</v>
      </c>
      <c r="L43" s="567">
        <f>SUM(L31:L42)</f>
        <v>235399032.89417166</v>
      </c>
      <c r="M43" s="567">
        <f>SUM(M31:M42)</f>
        <v>158667337.67999998</v>
      </c>
      <c r="O43" s="566">
        <f>IF((F43/(E43*$X$1)*$X$3)&gt;$X$3,$X$3,F43/(E43*$X$1)*$X$3)</f>
        <v>29.060381269970264</v>
      </c>
      <c r="P43" s="566">
        <f>IF((H43/G43*$X$4)&gt;$X$4,$X$4,H43/G43*$X$4)</f>
        <v>39.850870201906694</v>
      </c>
      <c r="Q43" s="565">
        <f>IF((F43/(E43*$X$1)*$X$3)&gt;$X$3,$X$3,F43/(E43*$X$1)*$X$3)+IF((H43/G43*$X$4)&gt;$X$4,$X$4,H43/G43*$X$4)</f>
        <v>68.911251471876966</v>
      </c>
      <c r="R43" s="566">
        <f>IF((K43/(J43*$X$1)*$X$3)&gt;$X$3,$X$3,K43/(J43*$X$1)*$X$3)</f>
        <v>28.873776799457826</v>
      </c>
      <c r="S43" s="566">
        <f>IF((M43/L43*$X$4)&gt;$X$4,$X$4,M43/L43*$X$4)</f>
        <v>40.442138371400716</v>
      </c>
      <c r="T43" s="565">
        <f>IF((K43/(J43*$X$1)*$X$3)&gt;$X$3,$X$3,K43/(J43*$X$1)*$X$3)+IF((M43/L43*$X$4)&gt;$X$4,$X$4,M43/L43*$X$4)</f>
        <v>69.315915170858545</v>
      </c>
      <c r="U43" s="560">
        <f>T43-Q43</f>
        <v>0.4046636989815795</v>
      </c>
    </row>
    <row r="44" spans="1:21" x14ac:dyDescent="0.2">
      <c r="I44" s="559"/>
    </row>
    <row r="45" spans="1:21" x14ac:dyDescent="0.2">
      <c r="I45" s="559"/>
    </row>
    <row r="46" spans="1:21" x14ac:dyDescent="0.2">
      <c r="I46" s="559"/>
    </row>
    <row r="47" spans="1:21" x14ac:dyDescent="0.2">
      <c r="C47" s="563" t="s">
        <v>464</v>
      </c>
      <c r="E47" s="563">
        <f>SUM(E27,E43)</f>
        <v>1590987630.3921897</v>
      </c>
      <c r="F47" s="563">
        <f>SUM(F27,F43)</f>
        <v>794349220.36000001</v>
      </c>
      <c r="G47" s="563">
        <f>SUM(G27,G43)</f>
        <v>295537579.33910102</v>
      </c>
      <c r="H47" s="563">
        <f>SUM(H27,H43)</f>
        <v>205057953.68999994</v>
      </c>
      <c r="I47" s="564"/>
      <c r="J47" s="563">
        <f>SUM(J27,J43)</f>
        <v>1909185156.4706273</v>
      </c>
      <c r="K47" s="563">
        <f>SUM(K27,K43)</f>
        <v>1064121085.0699999</v>
      </c>
      <c r="L47" s="563">
        <f>SUM(L27,L43)</f>
        <v>354645095.20692122</v>
      </c>
      <c r="M47" s="563">
        <f>SUM(M27,M43)</f>
        <v>246727483.47999996</v>
      </c>
      <c r="O47" s="562">
        <f>IF((F47/(E47*$X$1)*$X$3)&gt;$X$3,$X$3,F47/(E47*$X$1)*$X$3)</f>
        <v>24.964028795251764</v>
      </c>
      <c r="P47" s="562">
        <f>IF((H47/G47*$X$4)&gt;$X$4,$X$4,H47/G47*$X$4)</f>
        <v>41.63083845010091</v>
      </c>
      <c r="Q47" s="561">
        <f>IF((F47/(E47*$X$1)*$X$3)&gt;$X$3,$X$3,F47/(E47*$X$1)*$X$3)+IF((H47/G47*$X$4)&gt;$X$4,$X$4,H47/G47*$X$4)</f>
        <v>66.594867245352674</v>
      </c>
      <c r="R47" s="562">
        <f>IF((K47/(J47*$X$1)*$X$3)&gt;$X$3,$X$3,K47/(J47*$X$1)*$X$3)</f>
        <v>27.868462141125264</v>
      </c>
      <c r="S47" s="562">
        <f>IF((M47/L47*$X$4)&gt;$X$4,$X$4,M47/L47*$X$4)</f>
        <v>41.7421506990324</v>
      </c>
      <c r="T47" s="561">
        <f>IF((K47/(J47*$X$1)*$X$3)&gt;$X$3,$X$3,K47/(J47*$X$1)*$X$3)+IF((M47/L47*$X$4)&gt;$X$4,$X$4,M47/L47*$X$4)</f>
        <v>69.610612840157671</v>
      </c>
      <c r="U47" s="560">
        <f>T47-Q47</f>
        <v>3.0157455948049972</v>
      </c>
    </row>
    <row r="48" spans="1:21" x14ac:dyDescent="0.2">
      <c r="I48" s="559"/>
    </row>
    <row r="49" spans="9:9" x14ac:dyDescent="0.2">
      <c r="I49" s="559"/>
    </row>
    <row r="50" spans="9:9" x14ac:dyDescent="0.2">
      <c r="I50" s="558"/>
    </row>
  </sheetData>
  <mergeCells count="5">
    <mergeCell ref="E1:H1"/>
    <mergeCell ref="J1:M1"/>
    <mergeCell ref="O1:Q1"/>
    <mergeCell ref="R1:T1"/>
    <mergeCell ref="U1:U2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B76B83-8F97-4339-A82C-E66D89693EEF}">
            <x14:iconSet iconSet="5Arrows" custom="1">
              <x14:cfvo type="percent">
                <xm:f>0</xm:f>
              </x14:cfvo>
              <x14:cfvo type="num">
                <xm:f>-100</xm:f>
              </x14:cfvo>
              <x14:cfvo type="num">
                <xm:f>-0.1</xm:f>
              </x14:cfvo>
              <x14:cfvo type="num">
                <xm:f>0.1</xm:f>
              </x14:cfvo>
              <x14:cfvo type="num">
                <xm:f>100</xm:f>
              </x14:cfvo>
              <x14:cfIcon iconSet="3Arrows" iconId="0"/>
              <x14:cfIcon iconSet="4Arrows" iconId="1"/>
              <x14:cfIcon iconSet="3Triangles" iconId="1"/>
              <x14:cfIcon iconSet="4Arrows" iconId="2"/>
              <x14:cfIcon iconSet="3Arrows" iconId="2"/>
            </x14:iconSet>
          </x14:cfRule>
          <xm:sqref>U31:U39 U4:U27 U43 U47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indexed="30"/>
  </sheetPr>
  <dimension ref="B4:AK186"/>
  <sheetViews>
    <sheetView workbookViewId="0">
      <selection activeCell="D10" sqref="D10"/>
    </sheetView>
  </sheetViews>
  <sheetFormatPr defaultRowHeight="11.25" x14ac:dyDescent="0.2"/>
  <cols>
    <col min="1" max="1" width="2.1640625" style="19" customWidth="1"/>
    <col min="2" max="2" width="7.6640625" style="19" customWidth="1"/>
    <col min="3" max="3" width="4.83203125" style="19" customWidth="1"/>
    <col min="4" max="4" width="32.83203125" style="20" bestFit="1" customWidth="1"/>
    <col min="5" max="5" width="10.83203125" style="19" customWidth="1"/>
    <col min="6" max="6" width="11.33203125" style="19" bestFit="1" customWidth="1"/>
    <col min="7" max="7" width="12.1640625" style="19" customWidth="1"/>
    <col min="8" max="8" width="8.83203125" style="19" customWidth="1"/>
    <col min="9" max="9" width="2.83203125" style="19" customWidth="1"/>
    <col min="10" max="10" width="32.83203125" style="19" customWidth="1"/>
    <col min="11" max="11" width="7.5" style="19" customWidth="1"/>
    <col min="12" max="14" width="10.83203125" style="19" customWidth="1"/>
    <col min="15" max="15" width="8.6640625" style="19" customWidth="1"/>
    <col min="16" max="20" width="10.83203125" style="19" customWidth="1"/>
    <col min="21" max="21" width="5.6640625" customWidth="1"/>
    <col min="22" max="22" width="2.83203125" style="19" customWidth="1"/>
    <col min="23" max="24" width="9.83203125" style="19" customWidth="1"/>
    <col min="25" max="26" width="9.33203125" style="19"/>
    <col min="27" max="27" width="2.83203125" style="19" customWidth="1"/>
    <col min="28" max="28" width="12" style="19" customWidth="1"/>
    <col min="29" max="29" width="10.33203125" style="19" customWidth="1"/>
    <col min="30" max="30" width="9.5" style="19" bestFit="1" customWidth="1"/>
    <col min="31" max="31" width="9.83203125" style="19" bestFit="1" customWidth="1"/>
    <col min="32" max="32" width="2.83203125" style="19" customWidth="1"/>
    <col min="33" max="33" width="9.33203125" style="19"/>
    <col min="34" max="34" width="9.1640625" style="19" customWidth="1"/>
    <col min="35" max="36" width="9.33203125" style="19"/>
    <col min="37" max="37" width="3.83203125" style="19" customWidth="1"/>
    <col min="38" max="16384" width="9.33203125" style="19"/>
  </cols>
  <sheetData>
    <row r="4" spans="2:37" x14ac:dyDescent="0.2">
      <c r="D4" s="1" t="s">
        <v>17</v>
      </c>
      <c r="E4" s="2">
        <v>1</v>
      </c>
    </row>
    <row r="5" spans="2:37" x14ac:dyDescent="0.2">
      <c r="D5" s="1" t="s">
        <v>18</v>
      </c>
      <c r="E5" s="3">
        <f>COUNTIF(D10:D185,"&gt;""")-24</f>
        <v>149</v>
      </c>
    </row>
    <row r="6" spans="2:37" x14ac:dyDescent="0.2">
      <c r="D6" s="1" t="s">
        <v>19</v>
      </c>
      <c r="E6" s="2">
        <v>1</v>
      </c>
    </row>
    <row r="7" spans="2:37" x14ac:dyDescent="0.2">
      <c r="D7" s="1" t="s">
        <v>241</v>
      </c>
      <c r="E7" s="2">
        <v>1</v>
      </c>
      <c r="N7" s="38">
        <v>0.8</v>
      </c>
      <c r="O7" s="38"/>
      <c r="R7" s="38">
        <v>0.25600000000000001</v>
      </c>
      <c r="T7" s="38">
        <v>0.1</v>
      </c>
    </row>
    <row r="8" spans="2:37" x14ac:dyDescent="0.2">
      <c r="N8" s="38">
        <v>0.8</v>
      </c>
      <c r="O8" s="38"/>
      <c r="R8" s="38">
        <v>1</v>
      </c>
      <c r="T8" s="38">
        <v>1</v>
      </c>
      <c r="W8" s="21"/>
      <c r="X8" s="830" t="str">
        <f>N9</f>
        <v>SL4</v>
      </c>
      <c r="Y8" s="830"/>
      <c r="Z8" s="22"/>
      <c r="AB8" s="21"/>
      <c r="AC8" s="830" t="str">
        <f>R9</f>
        <v>SL8</v>
      </c>
      <c r="AD8" s="830"/>
      <c r="AE8" s="22"/>
      <c r="AG8" s="21"/>
      <c r="AH8" s="830" t="str">
        <f>T9</f>
        <v>SL10</v>
      </c>
      <c r="AI8" s="830"/>
      <c r="AJ8" s="22"/>
    </row>
    <row r="9" spans="2:37" x14ac:dyDescent="0.2">
      <c r="B9" s="343" t="s">
        <v>420</v>
      </c>
      <c r="E9" s="4" t="s">
        <v>20</v>
      </c>
      <c r="F9" s="4" t="s">
        <v>21</v>
      </c>
      <c r="G9" s="4" t="s">
        <v>22</v>
      </c>
      <c r="H9" s="4" t="s">
        <v>23</v>
      </c>
      <c r="K9" s="23" t="s">
        <v>61</v>
      </c>
      <c r="L9" s="23" t="s">
        <v>62</v>
      </c>
      <c r="M9" s="126" t="s">
        <v>63</v>
      </c>
      <c r="N9" s="39" t="s">
        <v>64</v>
      </c>
      <c r="O9" s="126" t="s">
        <v>65</v>
      </c>
      <c r="P9" s="126" t="s">
        <v>66</v>
      </c>
      <c r="Q9" s="126" t="s">
        <v>76</v>
      </c>
      <c r="R9" s="311" t="s">
        <v>77</v>
      </c>
      <c r="S9" s="312" t="s">
        <v>78</v>
      </c>
      <c r="T9" s="311" t="s">
        <v>387</v>
      </c>
      <c r="W9" s="24" t="s">
        <v>24</v>
      </c>
      <c r="X9" s="24" t="s">
        <v>25</v>
      </c>
      <c r="Y9" s="24" t="s">
        <v>26</v>
      </c>
      <c r="Z9" s="24" t="s">
        <v>27</v>
      </c>
      <c r="AB9" s="24" t="s">
        <v>24</v>
      </c>
      <c r="AC9" s="24" t="s">
        <v>25</v>
      </c>
      <c r="AD9" s="24" t="s">
        <v>26</v>
      </c>
      <c r="AE9" s="24" t="s">
        <v>27</v>
      </c>
      <c r="AG9" s="24" t="s">
        <v>24</v>
      </c>
      <c r="AH9" s="24" t="s">
        <v>25</v>
      </c>
      <c r="AI9" s="24" t="s">
        <v>26</v>
      </c>
      <c r="AJ9" s="24" t="s">
        <v>27</v>
      </c>
    </row>
    <row r="10" spans="2:37" x14ac:dyDescent="0.2">
      <c r="B10" s="342">
        <f>Org_dat!K6+(C10/100000)</f>
        <v>0.48522428151751773</v>
      </c>
      <c r="C10" s="25">
        <f>Org_dat!B6</f>
        <v>1</v>
      </c>
      <c r="D10" s="26" t="str">
        <f>Org_dat!C6</f>
        <v>Domov Slunečnice</v>
      </c>
      <c r="E10" s="27">
        <f ca="1">OFFSET(Org_dat!$C6,0,OrgSortCriteria)</f>
        <v>69.112856891051067</v>
      </c>
      <c r="F10" s="27">
        <f ca="1">IF(ISERROR(IF(D10&lt;&gt;"",E10+$B10/1000000000,0)),0,IF(D10&lt;&gt;"",E10+$B10/1000000000,-999999999))</f>
        <v>69.112856891536296</v>
      </c>
      <c r="G10" s="27">
        <f t="shared" ref="G10:G41" ca="1" si="0">IF(ISERROR(LARGE($F$10:$F$185,C10)),0,LARGE($F$10:$F$185,C10))</f>
        <v>100.00000000165934</v>
      </c>
      <c r="H10" s="25">
        <f t="shared" ref="H10:H41" ca="1" si="1">MATCH(G10,$F$10:$F$185,0)</f>
        <v>93</v>
      </c>
      <c r="J10" s="26" t="str">
        <f ca="1">OFFSET(Org_dat!$C$5,$H10,0)</f>
        <v>Středisko volného času Korunka</v>
      </c>
      <c r="K10" s="157">
        <f ca="1">OFFSET(Org_dat!$D$5,$H10,0)</f>
        <v>100</v>
      </c>
      <c r="L10" s="28">
        <f ca="1">OFFSET(Org_dat!$E$5,$H10,0)</f>
        <v>1791000</v>
      </c>
      <c r="M10" s="28">
        <f ca="1">OFFSET(Org_dat!$F$5,$H10,0)</f>
        <v>1459310.65</v>
      </c>
      <c r="N10" s="29">
        <f ca="1">OFFSET(Org_dat!$G$5,$H10,0)</f>
        <v>0.8148021496370742</v>
      </c>
      <c r="O10" s="29">
        <f ca="1">OFFSET(Org_dat!$H$5,$H10,0)</f>
        <v>0.06</v>
      </c>
      <c r="P10" s="28">
        <f ca="1">OFFSET(Org_dat!$I$5,$H10,0)</f>
        <v>178213.75</v>
      </c>
      <c r="Q10" s="29">
        <f ca="1">OFFSET(Org_dat!$J$5,$H10,0)</f>
        <v>9.9505164712451147E-2</v>
      </c>
      <c r="R10" s="29">
        <f ca="1">OFFSET(Org_dat!$K$5,$H10,0)</f>
        <v>1.6584194118741857</v>
      </c>
      <c r="S10" s="28">
        <f ca="1">OFFSET(Org_dat!$L$5,$H10,0)</f>
        <v>81194.600000000006</v>
      </c>
      <c r="T10" s="29">
        <f ca="1">OFFSET(Org_dat!$M$5,$H10,0)</f>
        <v>0.31299917678054701</v>
      </c>
      <c r="W10" s="30">
        <f ca="1">IF('II. Sledování projektu'!J12&gt;=$N$7,'II. Sledování projektu'!J12,NA())</f>
        <v>0.8148021496370742</v>
      </c>
      <c r="X10" s="30" t="e">
        <f ca="1">IF('II. Sledování projektu'!J12&lt;$N$7,'II. Sledování projektu'!J12,NA())</f>
        <v>#N/A</v>
      </c>
      <c r="Y10" s="30">
        <f t="shared" ref="Y10:Y34" ca="1" si="2">MIN($N$10:$N$185)</f>
        <v>0</v>
      </c>
      <c r="Z10" s="30">
        <f t="shared" ref="Z10:Z34" ca="1" si="3">MAX($N$10:$N$185)</f>
        <v>91.216200362469337</v>
      </c>
      <c r="AB10" s="30">
        <f ca="1">IF('II. Sledování projektu'!O12&gt;=$R$8,'II. Sledování projektu'!O12,NA())</f>
        <v>1.6584194118741857</v>
      </c>
      <c r="AC10" s="30" t="e">
        <f ca="1">IF('II. Sledování projektu'!O12&lt;$R$8,'II. Sledování projektu'!O12,NA())</f>
        <v>#N/A</v>
      </c>
      <c r="AD10" s="30">
        <f t="shared" ref="AD10:AD34" ca="1" si="4">MIN($R$10:$R$185)</f>
        <v>0</v>
      </c>
      <c r="AE10" s="30">
        <f t="shared" ref="AE10:AE34" ca="1" si="5">MAX($R$10:$R$185)</f>
        <v>2.2968499818496859</v>
      </c>
      <c r="AG10" s="30">
        <f ca="1">IF('II. Sledování projektu'!R12&gt;=$T$7,'II. Sledování projektu'!R12,NA())</f>
        <v>0.31299917678054701</v>
      </c>
      <c r="AH10" s="30" t="e">
        <f ca="1">IF('II. Sledování projektu'!R12&lt;$T$7,'II. Sledování projektu'!R12,NA())</f>
        <v>#N/A</v>
      </c>
      <c r="AI10" s="30">
        <f t="shared" ref="AI10:AI34" ca="1" si="6">MIN($T$10:$T$185)</f>
        <v>0</v>
      </c>
      <c r="AJ10" s="30">
        <f t="shared" ref="AJ10:AJ34" ca="1" si="7">MAX($T$10:$T$185)</f>
        <v>0.87606844638229608</v>
      </c>
      <c r="AK10" s="19">
        <v>1</v>
      </c>
    </row>
    <row r="11" spans="2:37" x14ac:dyDescent="0.2">
      <c r="B11" s="342">
        <f>Org_dat!K7+(C11/100000)</f>
        <v>0.68416691957504439</v>
      </c>
      <c r="C11" s="31">
        <f>Org_dat!B7</f>
        <v>2</v>
      </c>
      <c r="D11" s="32" t="str">
        <f>Org_dat!C7</f>
        <v>Dopravní podnik Ostrava</v>
      </c>
      <c r="E11" s="33">
        <f ca="1">OFFSET(Org_dat!$C7,0,OrgSortCriteria)</f>
        <v>81.048815174502664</v>
      </c>
      <c r="F11" s="33">
        <f t="shared" ref="F11:F74" ca="1" si="8">IF(ISERROR(IF(D11&lt;&gt;"",E11+$B11/1000000000,0)),0,IF(D11&lt;&gt;"",E11+$B11/1000000000,-999999999))</f>
        <v>81.048815175186832</v>
      </c>
      <c r="G11" s="33">
        <f t="shared" ca="1" si="0"/>
        <v>100.00000000143507</v>
      </c>
      <c r="H11" s="31">
        <f t="shared" ca="1" si="1"/>
        <v>37</v>
      </c>
      <c r="J11" s="32" t="str">
        <f ca="1">OFFSET(Org_dat!$C$5,$H11,0)</f>
        <v>Křesťanská MŠ Ostrava-Mariánské Hory</v>
      </c>
      <c r="K11" s="158">
        <f ca="1">OFFSET(Org_dat!$D$5,$H11,0)</f>
        <v>100</v>
      </c>
      <c r="L11" s="34">
        <f ca="1">OFFSET(Org_dat!$E$5,$H11,0)</f>
        <v>1006000</v>
      </c>
      <c r="M11" s="34">
        <f ca="1">OFFSET(Org_dat!$F$5,$H11,0)</f>
        <v>929367.41</v>
      </c>
      <c r="N11" s="35">
        <f ca="1">OFFSET(Org_dat!$G$5,$H11,0)</f>
        <v>0.92382446322067602</v>
      </c>
      <c r="O11" s="35">
        <f ca="1">OFFSET(Org_dat!$H$5,$H11,0)</f>
        <v>0.24970000000000001</v>
      </c>
      <c r="P11" s="34">
        <f ca="1">OFFSET(Org_dat!$I$5,$H11,0)</f>
        <v>360395.24</v>
      </c>
      <c r="Q11" s="35">
        <f ca="1">OFFSET(Org_dat!$J$5,$H11,0)</f>
        <v>0.35824576540755465</v>
      </c>
      <c r="R11" s="35">
        <f ca="1">OFFSET(Org_dat!$K$5,$H11,0)</f>
        <v>1.4347047072789534</v>
      </c>
      <c r="S11" s="34">
        <f ca="1">OFFSET(Org_dat!$L$5,$H11,0)</f>
        <v>89363.64</v>
      </c>
      <c r="T11" s="35">
        <f ca="1">OFFSET(Org_dat!$M$5,$H11,0)</f>
        <v>0.19869233043269763</v>
      </c>
      <c r="W11" s="36">
        <f ca="1">IF('II. Sledování projektu'!J13&gt;=$N$7,'II. Sledování projektu'!J13,NA())</f>
        <v>0.92382446322067602</v>
      </c>
      <c r="X11" s="36" t="e">
        <f ca="1">IF('II. Sledování projektu'!J13&lt;$N$7,'II. Sledování projektu'!J13,NA())</f>
        <v>#N/A</v>
      </c>
      <c r="Y11" s="36">
        <f t="shared" ca="1" si="2"/>
        <v>0</v>
      </c>
      <c r="Z11" s="36">
        <f t="shared" ca="1" si="3"/>
        <v>91.216200362469337</v>
      </c>
      <c r="AB11" s="36">
        <f ca="1">IF('II. Sledování projektu'!O13&gt;=$R$8,'II. Sledování projektu'!O13,NA())</f>
        <v>1.4347047072789534</v>
      </c>
      <c r="AC11" s="36" t="e">
        <f ca="1">IF('II. Sledování projektu'!O13&lt;$R$8,'II. Sledování projektu'!O13,NA())</f>
        <v>#N/A</v>
      </c>
      <c r="AD11" s="36">
        <f t="shared" ca="1" si="4"/>
        <v>0</v>
      </c>
      <c r="AE11" s="36">
        <f t="shared" ca="1" si="5"/>
        <v>2.2968499818496859</v>
      </c>
      <c r="AG11" s="36">
        <f ca="1">IF('II. Sledování projektu'!R13&gt;=$T$7,'II. Sledování projektu'!R13,NA())</f>
        <v>0.19869233043269763</v>
      </c>
      <c r="AH11" s="36" t="e">
        <f ca="1">IF('II. Sledování projektu'!R13&lt;$T$7,'II. Sledování projektu'!R13,NA())</f>
        <v>#N/A</v>
      </c>
      <c r="AI11" s="36">
        <f t="shared" ca="1" si="6"/>
        <v>0</v>
      </c>
      <c r="AJ11" s="36">
        <f t="shared" ca="1" si="7"/>
        <v>0.87606844638229608</v>
      </c>
      <c r="AK11" s="19">
        <v>2</v>
      </c>
    </row>
    <row r="12" spans="2:37" x14ac:dyDescent="0.2">
      <c r="B12" s="342">
        <f>Org_dat!K8+(C12/100000)</f>
        <v>0.22747642389795344</v>
      </c>
      <c r="C12" s="31">
        <f>Org_dat!B8</f>
        <v>3</v>
      </c>
      <c r="D12" s="32" t="str">
        <f>Org_dat!C8</f>
        <v>Magistrát města Ostrava</v>
      </c>
      <c r="E12" s="33">
        <f ca="1">OFFSET(Org_dat!$C8,0,OrgSortCriteria)</f>
        <v>42.834538694524817</v>
      </c>
      <c r="F12" s="33">
        <f t="shared" ca="1" si="8"/>
        <v>42.83453869475229</v>
      </c>
      <c r="G12" s="33">
        <f t="shared" ca="1" si="0"/>
        <v>100.00000000142188</v>
      </c>
      <c r="H12" s="31">
        <f t="shared" ca="1" si="1"/>
        <v>137</v>
      </c>
      <c r="J12" s="32" t="str">
        <f ca="1">OFFSET(Org_dat!$C$5,$H12,0)</f>
        <v>ZŠ a MŠ O-Zábřeh, Kosmonautů 15</v>
      </c>
      <c r="K12" s="158">
        <f ca="1">OFFSET(Org_dat!$D$5,$H12,0)</f>
        <v>100</v>
      </c>
      <c r="L12" s="34">
        <f ca="1">OFFSET(Org_dat!$E$5,$H12,0)</f>
        <v>4695750</v>
      </c>
      <c r="M12" s="34">
        <f ca="1">OFFSET(Org_dat!$F$5,$H12,0)</f>
        <v>4012846.17</v>
      </c>
      <c r="N12" s="35">
        <f ca="1">OFFSET(Org_dat!$G$5,$H12,0)</f>
        <v>0.85456980674013738</v>
      </c>
      <c r="O12" s="35">
        <f ca="1">OFFSET(Org_dat!$H$5,$H12,0)</f>
        <v>0.30020000000000002</v>
      </c>
      <c r="P12" s="34">
        <f ca="1">OFFSET(Org_dat!$I$5,$H12,0)</f>
        <v>2002449.5899999999</v>
      </c>
      <c r="Q12" s="35">
        <f ca="1">OFFSET(Org_dat!$J$5,$H12,0)</f>
        <v>0.42643871373050096</v>
      </c>
      <c r="R12" s="35">
        <f ca="1">OFFSET(Org_dat!$K$5,$H12,0)</f>
        <v>1.4205153688557659</v>
      </c>
      <c r="S12" s="34">
        <f ca="1">OFFSET(Org_dat!$L$5,$H12,0)</f>
        <v>345964.08999999997</v>
      </c>
      <c r="T12" s="35">
        <f ca="1">OFFSET(Org_dat!$M$5,$H12,0)</f>
        <v>0.14731820587929806</v>
      </c>
      <c r="W12" s="36">
        <f ca="1">IF('II. Sledování projektu'!J14&gt;=$N$7,'II. Sledování projektu'!J14,NA())</f>
        <v>0.85456980674013738</v>
      </c>
      <c r="X12" s="36" t="e">
        <f ca="1">IF('II. Sledování projektu'!J14&lt;$N$7,'II. Sledování projektu'!J14,NA())</f>
        <v>#N/A</v>
      </c>
      <c r="Y12" s="36">
        <f t="shared" ca="1" si="2"/>
        <v>0</v>
      </c>
      <c r="Z12" s="36">
        <f t="shared" ca="1" si="3"/>
        <v>91.216200362469337</v>
      </c>
      <c r="AB12" s="36">
        <f ca="1">IF('II. Sledování projektu'!O14&gt;=$R$8,'II. Sledování projektu'!O14,NA())</f>
        <v>1.4205153688557659</v>
      </c>
      <c r="AC12" s="36" t="e">
        <f ca="1">IF('II. Sledování projektu'!O14&lt;$R$8,'II. Sledování projektu'!O14,NA())</f>
        <v>#N/A</v>
      </c>
      <c r="AD12" s="36">
        <f t="shared" ca="1" si="4"/>
        <v>0</v>
      </c>
      <c r="AE12" s="36">
        <f t="shared" ca="1" si="5"/>
        <v>2.2968499818496859</v>
      </c>
      <c r="AG12" s="36">
        <f ca="1">IF('II. Sledování projektu'!R14&gt;=$T$7,'II. Sledování projektu'!R14,NA())</f>
        <v>0.14731820587929806</v>
      </c>
      <c r="AH12" s="36" t="e">
        <f ca="1">IF('II. Sledování projektu'!R14&lt;$T$7,'II. Sledování projektu'!R14,NA())</f>
        <v>#N/A</v>
      </c>
      <c r="AI12" s="36">
        <f t="shared" ca="1" si="6"/>
        <v>0</v>
      </c>
      <c r="AJ12" s="36">
        <f t="shared" ca="1" si="7"/>
        <v>0.87606844638229608</v>
      </c>
      <c r="AK12" s="19">
        <v>3</v>
      </c>
    </row>
    <row r="13" spans="2:37" x14ac:dyDescent="0.2">
      <c r="B13" s="342">
        <f>Org_dat!K9+(C13/100000)</f>
        <v>0.76880044152002969</v>
      </c>
      <c r="C13" s="31">
        <f>Org_dat!B9</f>
        <v>4</v>
      </c>
      <c r="D13" s="32" t="str">
        <f>Org_dat!C9</f>
        <v>Městská nemocnice Ostrava</v>
      </c>
      <c r="E13" s="33">
        <f ca="1">OFFSET(Org_dat!$C9,0,OrgSortCriteria)</f>
        <v>64.128135536553913</v>
      </c>
      <c r="F13" s="33">
        <f t="shared" ca="1" si="8"/>
        <v>64.12813553732272</v>
      </c>
      <c r="G13" s="33">
        <f t="shared" ca="1" si="0"/>
        <v>100.00000000132638</v>
      </c>
      <c r="H13" s="31">
        <f t="shared" ca="1" si="1"/>
        <v>163</v>
      </c>
      <c r="J13" s="32" t="str">
        <f ca="1">OFFSET(Org_dat!$C$5,$H13,0)</f>
        <v>ZŠ O-Stará Bělá</v>
      </c>
      <c r="K13" s="158">
        <f ca="1">OFFSET(Org_dat!$D$5,$H13,0)</f>
        <v>100</v>
      </c>
      <c r="L13" s="34">
        <f ca="1">OFFSET(Org_dat!$E$5,$H13,0)</f>
        <v>2600250</v>
      </c>
      <c r="M13" s="34">
        <f ca="1">OFFSET(Org_dat!$F$5,$H13,0)</f>
        <v>2264750.5599999996</v>
      </c>
      <c r="N13" s="35">
        <f ca="1">OFFSET(Org_dat!$G$5,$H13,0)</f>
        <v>0.87097416017690588</v>
      </c>
      <c r="O13" s="35">
        <f ca="1">OFFSET(Org_dat!$H$5,$H13,0)</f>
        <v>0.2802</v>
      </c>
      <c r="P13" s="34">
        <f ca="1">OFFSET(Org_dat!$I$5,$H13,0)</f>
        <v>965203.17999999993</v>
      </c>
      <c r="Q13" s="35">
        <f ca="1">OFFSET(Org_dat!$J$5,$H13,0)</f>
        <v>0.37119630035573498</v>
      </c>
      <c r="R13" s="35">
        <f ca="1">OFFSET(Org_dat!$K$5,$H13,0)</f>
        <v>1.3247548192567273</v>
      </c>
      <c r="S13" s="34">
        <f ca="1">OFFSET(Org_dat!$L$5,$H13,0)</f>
        <v>220753.15999999997</v>
      </c>
      <c r="T13" s="35">
        <f ca="1">OFFSET(Org_dat!$M$5,$H13,0)</f>
        <v>0.18613936496178266</v>
      </c>
      <c r="W13" s="36">
        <f ca="1">IF('II. Sledování projektu'!J15&gt;=$N$7,'II. Sledování projektu'!J15,NA())</f>
        <v>0.87097416017690588</v>
      </c>
      <c r="X13" s="36" t="e">
        <f ca="1">IF('II. Sledování projektu'!J15&lt;$N$7,'II. Sledování projektu'!J15,NA())</f>
        <v>#N/A</v>
      </c>
      <c r="Y13" s="36">
        <f t="shared" ca="1" si="2"/>
        <v>0</v>
      </c>
      <c r="Z13" s="36">
        <f t="shared" ca="1" si="3"/>
        <v>91.216200362469337</v>
      </c>
      <c r="AB13" s="36">
        <f ca="1">IF('II. Sledování projektu'!O15&gt;=$R$8,'II. Sledování projektu'!O15,NA())</f>
        <v>1.3247548192567273</v>
      </c>
      <c r="AC13" s="36" t="e">
        <f ca="1">IF('II. Sledování projektu'!O15&lt;$R$8,'II. Sledování projektu'!O15,NA())</f>
        <v>#N/A</v>
      </c>
      <c r="AD13" s="36">
        <f t="shared" ca="1" si="4"/>
        <v>0</v>
      </c>
      <c r="AE13" s="36">
        <f t="shared" ca="1" si="5"/>
        <v>2.2968499818496859</v>
      </c>
      <c r="AG13" s="36">
        <f ca="1">IF('II. Sledování projektu'!R15&gt;=$T$7,'II. Sledování projektu'!R15,NA())</f>
        <v>0.18613936496178266</v>
      </c>
      <c r="AH13" s="36" t="e">
        <f ca="1">IF('II. Sledování projektu'!R15&lt;$T$7,'II. Sledování projektu'!R15,NA())</f>
        <v>#N/A</v>
      </c>
      <c r="AI13" s="36">
        <f t="shared" ca="1" si="6"/>
        <v>0</v>
      </c>
      <c r="AJ13" s="36">
        <f t="shared" ca="1" si="7"/>
        <v>0.87606844638229608</v>
      </c>
      <c r="AK13" s="19">
        <v>4</v>
      </c>
    </row>
    <row r="14" spans="2:37" x14ac:dyDescent="0.2">
      <c r="B14" s="342">
        <f>Org_dat!K10+(C14/100000)</f>
        <v>0.73162874386200649</v>
      </c>
      <c r="C14" s="31">
        <f>Org_dat!B10</f>
        <v>5</v>
      </c>
      <c r="D14" s="32" t="str">
        <f>Org_dat!C10</f>
        <v>Národní divadlo Moravskoslezské</v>
      </c>
      <c r="E14" s="33">
        <f ca="1">OFFSET(Org_dat!$C10,0,OrgSortCriteria)</f>
        <v>83.071674701695315</v>
      </c>
      <c r="F14" s="33">
        <f t="shared" ca="1" si="8"/>
        <v>83.071674702426947</v>
      </c>
      <c r="G14" s="33">
        <f t="shared" ca="1" si="0"/>
        <v>100.00000000120116</v>
      </c>
      <c r="H14" s="31">
        <f t="shared" ca="1" si="1"/>
        <v>35</v>
      </c>
      <c r="J14" s="32" t="str">
        <f ca="1">OFFSET(Org_dat!$C$5,$H14,0)</f>
        <v>Knihovna města Ostravy</v>
      </c>
      <c r="K14" s="158">
        <f ca="1">OFFSET(Org_dat!$D$5,$H14,0)</f>
        <v>100</v>
      </c>
      <c r="L14" s="34">
        <f ca="1">OFFSET(Org_dat!$E$5,$H14,0)</f>
        <v>6548850</v>
      </c>
      <c r="M14" s="34">
        <f ca="1">OFFSET(Org_dat!$F$5,$H14,0)</f>
        <v>5434893.6699999999</v>
      </c>
      <c r="N14" s="35">
        <f ca="1">OFFSET(Org_dat!$G$5,$H14,0)</f>
        <v>0.82990046649411731</v>
      </c>
      <c r="O14" s="35">
        <f ca="1">OFFSET(Org_dat!$H$5,$H14,0)</f>
        <v>0.23924987180665169</v>
      </c>
      <c r="P14" s="34">
        <f ca="1">OFFSET(Org_dat!$I$5,$H14,0)</f>
        <v>1881444.24</v>
      </c>
      <c r="Q14" s="35">
        <f ca="1">OFFSET(Org_dat!$J$5,$H14,0)</f>
        <v>0.28729383632240774</v>
      </c>
      <c r="R14" s="35">
        <f ca="1">OFFSET(Org_dat!$K$5,$H14,0)</f>
        <v>1.2008108265762518</v>
      </c>
      <c r="S14" s="34">
        <f ca="1">OFFSET(Org_dat!$L$5,$H14,0)</f>
        <v>1230004.9099999999</v>
      </c>
      <c r="T14" s="35">
        <f ca="1">OFFSET(Org_dat!$M$5,$H14,0)</f>
        <v>0.39531576789548367</v>
      </c>
      <c r="W14" s="36">
        <f ca="1">IF('II. Sledování projektu'!J16&gt;=$N$7,'II. Sledování projektu'!J16,NA())</f>
        <v>0.82990046649411731</v>
      </c>
      <c r="X14" s="36" t="e">
        <f ca="1">IF('II. Sledování projektu'!J16&lt;$N$7,'II. Sledování projektu'!J16,NA())</f>
        <v>#N/A</v>
      </c>
      <c r="Y14" s="36">
        <f t="shared" ca="1" si="2"/>
        <v>0</v>
      </c>
      <c r="Z14" s="36">
        <f t="shared" ca="1" si="3"/>
        <v>91.216200362469337</v>
      </c>
      <c r="AB14" s="36">
        <f ca="1">IF('II. Sledování projektu'!O16&gt;=$R$8,'II. Sledování projektu'!O16,NA())</f>
        <v>1.2008108265762518</v>
      </c>
      <c r="AC14" s="36" t="e">
        <f ca="1">IF('II. Sledování projektu'!O16&lt;$R$8,'II. Sledování projektu'!O16,NA())</f>
        <v>#N/A</v>
      </c>
      <c r="AD14" s="36">
        <f t="shared" ca="1" si="4"/>
        <v>0</v>
      </c>
      <c r="AE14" s="36">
        <f t="shared" ca="1" si="5"/>
        <v>2.2968499818496859</v>
      </c>
      <c r="AG14" s="36">
        <f ca="1">IF('II. Sledování projektu'!R16&gt;=$T$7,'II. Sledování projektu'!R16,NA())</f>
        <v>0.39531576789548367</v>
      </c>
      <c r="AH14" s="36" t="e">
        <f ca="1">IF('II. Sledování projektu'!R16&lt;$T$7,'II. Sledování projektu'!R16,NA())</f>
        <v>#N/A</v>
      </c>
      <c r="AI14" s="36">
        <f t="shared" ca="1" si="6"/>
        <v>0</v>
      </c>
      <c r="AJ14" s="36">
        <f t="shared" ca="1" si="7"/>
        <v>0.87606844638229608</v>
      </c>
      <c r="AK14" s="19">
        <v>5</v>
      </c>
    </row>
    <row r="15" spans="2:37" x14ac:dyDescent="0.2">
      <c r="B15" s="342">
        <f>Org_dat!K11+(C15/100000)</f>
        <v>0.60918421271806733</v>
      </c>
      <c r="C15" s="31">
        <f>Org_dat!B11</f>
        <v>6</v>
      </c>
      <c r="D15" s="32" t="str">
        <f>Org_dat!C11</f>
        <v>OZO Ostrava</v>
      </c>
      <c r="E15" s="33">
        <f ca="1">OFFSET(Org_dat!$C11,0,OrgSortCriteria)</f>
        <v>73.092729901736973</v>
      </c>
      <c r="F15" s="33">
        <f t="shared" ca="1" si="8"/>
        <v>73.092729902346164</v>
      </c>
      <c r="G15" s="33">
        <f t="shared" ca="1" si="0"/>
        <v>99.800335094952928</v>
      </c>
      <c r="H15" s="31">
        <f t="shared" ca="1" si="1"/>
        <v>94</v>
      </c>
      <c r="J15" s="32" t="str">
        <f ca="1">OFFSET(Org_dat!$C$5,$H15,0)</f>
        <v>Středisko volného času O-Zábřeh</v>
      </c>
      <c r="K15" s="158">
        <f ca="1">OFFSET(Org_dat!$D$5,$H15,0)</f>
        <v>99.80033509378984</v>
      </c>
      <c r="L15" s="34">
        <f ca="1">OFFSET(Org_dat!$E$5,$H15,0)</f>
        <v>2745500</v>
      </c>
      <c r="M15" s="34">
        <f ca="1">OFFSET(Org_dat!$F$5,$H15,0)</f>
        <v>2185436.4</v>
      </c>
      <c r="N15" s="35">
        <f ca="1">OFFSET(Org_dat!$G$5,$H15,0)</f>
        <v>0.7960067018757967</v>
      </c>
      <c r="O15" s="35">
        <f ca="1">OFFSET(Org_dat!$H$5,$H15,0)</f>
        <v>0.15</v>
      </c>
      <c r="P15" s="34">
        <f ca="1">OFFSET(Org_dat!$I$5,$H15,0)</f>
        <v>478602.67000000004</v>
      </c>
      <c r="Q15" s="35">
        <f ca="1">OFFSET(Org_dat!$J$5,$H15,0)</f>
        <v>0.17432258969222367</v>
      </c>
      <c r="R15" s="35">
        <f ca="1">OFFSET(Org_dat!$K$5,$H15,0)</f>
        <v>1.1621505979481577</v>
      </c>
      <c r="S15" s="34">
        <f ca="1">OFFSET(Org_dat!$L$5,$H15,0)</f>
        <v>197915.54</v>
      </c>
      <c r="T15" s="35">
        <f ca="1">OFFSET(Org_dat!$M$5,$H15,0)</f>
        <v>0.29255020348971833</v>
      </c>
      <c r="W15" s="36" t="e">
        <f ca="1">IF('II. Sledování projektu'!J17&gt;=$N$7,'II. Sledování projektu'!J17,NA())</f>
        <v>#N/A</v>
      </c>
      <c r="X15" s="36">
        <f ca="1">IF('II. Sledování projektu'!J17&lt;$N$7,'II. Sledování projektu'!J17,NA())</f>
        <v>0.7960067018757967</v>
      </c>
      <c r="Y15" s="36">
        <f t="shared" ca="1" si="2"/>
        <v>0</v>
      </c>
      <c r="Z15" s="36">
        <f t="shared" ca="1" si="3"/>
        <v>91.216200362469337</v>
      </c>
      <c r="AB15" s="36">
        <f ca="1">IF('II. Sledování projektu'!O17&gt;=$R$8,'II. Sledování projektu'!O17,NA())</f>
        <v>1.1621505979481577</v>
      </c>
      <c r="AC15" s="36" t="e">
        <f ca="1">IF('II. Sledování projektu'!O17&lt;$R$8,'II. Sledování projektu'!O17,NA())</f>
        <v>#N/A</v>
      </c>
      <c r="AD15" s="36">
        <f t="shared" ca="1" si="4"/>
        <v>0</v>
      </c>
      <c r="AE15" s="36">
        <f t="shared" ca="1" si="5"/>
        <v>2.2968499818496859</v>
      </c>
      <c r="AG15" s="36">
        <f ca="1">IF('II. Sledování projektu'!R17&gt;=$T$7,'II. Sledování projektu'!R17,NA())</f>
        <v>0.29255020348971833</v>
      </c>
      <c r="AH15" s="36" t="e">
        <f ca="1">IF('II. Sledování projektu'!R17&lt;$T$7,'II. Sledování projektu'!R17,NA())</f>
        <v>#N/A</v>
      </c>
      <c r="AI15" s="36">
        <f t="shared" ca="1" si="6"/>
        <v>0</v>
      </c>
      <c r="AJ15" s="36">
        <f t="shared" ca="1" si="7"/>
        <v>0.87606844638229608</v>
      </c>
      <c r="AK15" s="19">
        <v>6</v>
      </c>
    </row>
    <row r="16" spans="2:37" x14ac:dyDescent="0.2">
      <c r="B16" s="342">
        <f>Org_dat!K12+(C16/100000)</f>
        <v>0.24389462760289427</v>
      </c>
      <c r="C16" s="31">
        <f>Org_dat!B12</f>
        <v>7</v>
      </c>
      <c r="D16" s="32" t="str">
        <f>Org_dat!C12</f>
        <v>Centrum kultury a vzdělávání Moravská Ostrava</v>
      </c>
      <c r="E16" s="33">
        <f ca="1">OFFSET(Org_dat!$C12,0,OrgSortCriteria)</f>
        <v>14.763552006345311</v>
      </c>
      <c r="F16" s="33">
        <f t="shared" ca="1" si="8"/>
        <v>14.763552006589205</v>
      </c>
      <c r="G16" s="33">
        <f t="shared" ca="1" si="0"/>
        <v>98.217999729879111</v>
      </c>
      <c r="H16" s="31">
        <f t="shared" ca="1" si="1"/>
        <v>8</v>
      </c>
      <c r="J16" s="32" t="str">
        <f ca="1">OFFSET(Org_dat!$C$5,$H16,0)</f>
        <v>Čtyřlístek</v>
      </c>
      <c r="K16" s="158">
        <f ca="1">OFFSET(Org_dat!$D$5,$H16,0)</f>
        <v>98.217999728879732</v>
      </c>
      <c r="L16" s="34">
        <f ca="1">OFFSET(Org_dat!$E$5,$H16,0)</f>
        <v>18442000</v>
      </c>
      <c r="M16" s="34">
        <f ca="1">OFFSET(Org_dat!$F$5,$H16,0)</f>
        <v>14111729.050000001</v>
      </c>
      <c r="N16" s="35">
        <f ca="1">OFFSET(Org_dat!$G$5,$H16,0)</f>
        <v>0.76519515508079383</v>
      </c>
      <c r="O16" s="35">
        <f ca="1">OFFSET(Org_dat!$H$5,$H16,0)</f>
        <v>0.4</v>
      </c>
      <c r="P16" s="34">
        <f ca="1">OFFSET(Org_dat!$I$5,$H16,0)</f>
        <v>7371665.9900000002</v>
      </c>
      <c r="Q16" s="35">
        <f ca="1">OFFSET(Org_dat!$J$5,$H16,0)</f>
        <v>0.39972161316560029</v>
      </c>
      <c r="R16" s="35">
        <f ca="1">OFFSET(Org_dat!$K$5,$H16,0)</f>
        <v>0.99930403291400072</v>
      </c>
      <c r="S16" s="34">
        <f ca="1">OFFSET(Org_dat!$L$5,$H16,0)</f>
        <v>2781023.41</v>
      </c>
      <c r="T16" s="35">
        <f ca="1">OFFSET(Org_dat!$M$5,$H16,0)</f>
        <v>0.27391987486586561</v>
      </c>
      <c r="W16" s="36" t="e">
        <f ca="1">IF('II. Sledování projektu'!J18&gt;=$N$7,'II. Sledování projektu'!J18,NA())</f>
        <v>#N/A</v>
      </c>
      <c r="X16" s="36">
        <f ca="1">IF('II. Sledování projektu'!J18&lt;$N$7,'II. Sledování projektu'!J18,NA())</f>
        <v>0.76519515508079383</v>
      </c>
      <c r="Y16" s="36">
        <f t="shared" ca="1" si="2"/>
        <v>0</v>
      </c>
      <c r="Z16" s="36">
        <f t="shared" ca="1" si="3"/>
        <v>91.216200362469337</v>
      </c>
      <c r="AB16" s="36" t="e">
        <f ca="1">IF('II. Sledování projektu'!O18&gt;=$R$8,'II. Sledování projektu'!O18,NA())</f>
        <v>#N/A</v>
      </c>
      <c r="AC16" s="36">
        <f ca="1">IF('II. Sledování projektu'!O18&lt;$R$8,'II. Sledování projektu'!O18,NA())</f>
        <v>0.99930403291400072</v>
      </c>
      <c r="AD16" s="36">
        <f t="shared" ca="1" si="4"/>
        <v>0</v>
      </c>
      <c r="AE16" s="36">
        <f t="shared" ca="1" si="5"/>
        <v>2.2968499818496859</v>
      </c>
      <c r="AG16" s="36">
        <f ca="1">IF('II. Sledování projektu'!R18&gt;=$T$7,'II. Sledování projektu'!R18,NA())</f>
        <v>0.27391987486586561</v>
      </c>
      <c r="AH16" s="36" t="e">
        <f ca="1">IF('II. Sledování projektu'!R18&lt;$T$7,'II. Sledování projektu'!R18,NA())</f>
        <v>#N/A</v>
      </c>
      <c r="AI16" s="36">
        <f t="shared" ca="1" si="6"/>
        <v>0</v>
      </c>
      <c r="AJ16" s="36">
        <f t="shared" ca="1" si="7"/>
        <v>0.87606844638229608</v>
      </c>
      <c r="AK16" s="19">
        <v>7</v>
      </c>
    </row>
    <row r="17" spans="2:37" x14ac:dyDescent="0.2">
      <c r="B17" s="342">
        <f>Org_dat!K13+(C17/100000)</f>
        <v>0.99938403291400069</v>
      </c>
      <c r="C17" s="31">
        <f>Org_dat!B13</f>
        <v>8</v>
      </c>
      <c r="D17" s="32" t="str">
        <f>Org_dat!C13</f>
        <v>Čtyřlístek</v>
      </c>
      <c r="E17" s="33">
        <f ca="1">OFFSET(Org_dat!$C13,0,OrgSortCriteria)</f>
        <v>98.217999728879732</v>
      </c>
      <c r="F17" s="33">
        <f t="shared" ca="1" si="8"/>
        <v>98.217999729879111</v>
      </c>
      <c r="G17" s="33">
        <f t="shared" ca="1" si="0"/>
        <v>94.975454542417793</v>
      </c>
      <c r="H17" s="31">
        <f t="shared" ca="1" si="1"/>
        <v>29</v>
      </c>
      <c r="J17" s="32" t="str">
        <f ca="1">OFFSET(Org_dat!$C$5,$H17,0)</f>
        <v>DPS Kamenec</v>
      </c>
      <c r="K17" s="158">
        <f ca="1">OFFSET(Org_dat!$D$5,$H17,0)</f>
        <v>94.97545454150125</v>
      </c>
      <c r="L17" s="34">
        <f ca="1">OFFSET(Org_dat!$E$5,$H17,0)</f>
        <v>8844500</v>
      </c>
      <c r="M17" s="34">
        <f ca="1">OFFSET(Org_dat!$F$5,$H17,0)</f>
        <v>7584708.8200000003</v>
      </c>
      <c r="N17" s="35">
        <f ca="1">OFFSET(Org_dat!$G$5,$H17,0)</f>
        <v>0.85756219345355877</v>
      </c>
      <c r="O17" s="35">
        <f ca="1">OFFSET(Org_dat!$H$5,$H17,0)</f>
        <v>0.39</v>
      </c>
      <c r="P17" s="34">
        <f ca="1">OFFSET(Org_dat!$I$5,$H17,0)</f>
        <v>3160497.6500000004</v>
      </c>
      <c r="Q17" s="35">
        <f ca="1">OFFSET(Org_dat!$J$5,$H17,0)</f>
        <v>0.3573404545197581</v>
      </c>
      <c r="R17" s="35">
        <f ca="1">OFFSET(Org_dat!$K$5,$H17,0)</f>
        <v>0.91625757569168742</v>
      </c>
      <c r="S17" s="34">
        <f ca="1">OFFSET(Org_dat!$L$5,$H17,0)</f>
        <v>768013.31</v>
      </c>
      <c r="T17" s="35">
        <f ca="1">OFFSET(Org_dat!$M$5,$H17,0)</f>
        <v>0.19549730618544589</v>
      </c>
      <c r="W17" s="36">
        <f ca="1">IF('II. Sledování projektu'!J19&gt;=$N$7,'II. Sledování projektu'!J19,NA())</f>
        <v>0.85756219345355877</v>
      </c>
      <c r="X17" s="36" t="e">
        <f ca="1">IF('II. Sledování projektu'!J19&lt;$N$7,'II. Sledování projektu'!J19,NA())</f>
        <v>#N/A</v>
      </c>
      <c r="Y17" s="36">
        <f t="shared" ca="1" si="2"/>
        <v>0</v>
      </c>
      <c r="Z17" s="36">
        <f t="shared" ca="1" si="3"/>
        <v>91.216200362469337</v>
      </c>
      <c r="AB17" s="36" t="e">
        <f ca="1">IF('II. Sledování projektu'!O19&gt;=$R$8,'II. Sledování projektu'!O19,NA())</f>
        <v>#N/A</v>
      </c>
      <c r="AC17" s="36">
        <f ca="1">IF('II. Sledování projektu'!O19&lt;$R$8,'II. Sledování projektu'!O19,NA())</f>
        <v>0.91625757569168742</v>
      </c>
      <c r="AD17" s="36">
        <f t="shared" ca="1" si="4"/>
        <v>0</v>
      </c>
      <c r="AE17" s="36">
        <f t="shared" ca="1" si="5"/>
        <v>2.2968499818496859</v>
      </c>
      <c r="AG17" s="36">
        <f ca="1">IF('II. Sledování projektu'!R19&gt;=$T$7,'II. Sledování projektu'!R19,NA())</f>
        <v>0.19549730618544589</v>
      </c>
      <c r="AH17" s="36" t="e">
        <f ca="1">IF('II. Sledování projektu'!R19&lt;$T$7,'II. Sledování projektu'!R19,NA())</f>
        <v>#N/A</v>
      </c>
      <c r="AI17" s="36">
        <f t="shared" ca="1" si="6"/>
        <v>0</v>
      </c>
      <c r="AJ17" s="36">
        <f t="shared" ca="1" si="7"/>
        <v>0.87606844638229608</v>
      </c>
      <c r="AK17" s="19">
        <v>8</v>
      </c>
    </row>
    <row r="18" spans="2:37" x14ac:dyDescent="0.2">
      <c r="B18" s="342">
        <f>Org_dat!K14+(C18/100000)</f>
        <v>0.79010563180461257</v>
      </c>
      <c r="C18" s="31">
        <f>Org_dat!B14</f>
        <v>9</v>
      </c>
      <c r="D18" s="32" t="str">
        <f>Org_dat!C14</f>
        <v>Dětské centrum Domeček</v>
      </c>
      <c r="E18" s="33">
        <f ca="1">OFFSET(Org_dat!$C14,0,OrgSortCriteria)</f>
        <v>81.879169772417328</v>
      </c>
      <c r="F18" s="33">
        <f t="shared" ca="1" si="8"/>
        <v>81.879169773207437</v>
      </c>
      <c r="G18" s="33">
        <f t="shared" ca="1" si="0"/>
        <v>92.906337443794499</v>
      </c>
      <c r="H18" s="31">
        <f t="shared" ca="1" si="1"/>
        <v>89</v>
      </c>
      <c r="J18" s="32" t="str">
        <f ca="1">OFFSET(Org_dat!$C$5,$H18,0)</f>
        <v>Ostravské muzeum</v>
      </c>
      <c r="K18" s="158">
        <f ca="1">OFFSET(Org_dat!$D$5,$H18,0)</f>
        <v>92.906337442660544</v>
      </c>
      <c r="L18" s="34">
        <f ca="1">OFFSET(Org_dat!$E$5,$H18,0)</f>
        <v>1744000</v>
      </c>
      <c r="M18" s="34">
        <f ca="1">OFFSET(Org_dat!$F$5,$H18,0)</f>
        <v>1147773.05</v>
      </c>
      <c r="N18" s="35">
        <f ca="1">OFFSET(Org_dat!$G$5,$H18,0)</f>
        <v>0.65812674885321099</v>
      </c>
      <c r="O18" s="35">
        <f ca="1">OFFSET(Org_dat!$H$5,$H18,0)</f>
        <v>0.14015691912963066</v>
      </c>
      <c r="P18" s="34">
        <f ca="1">OFFSET(Org_dat!$I$5,$H18,0)</f>
        <v>276957.61</v>
      </c>
      <c r="Q18" s="35">
        <f ca="1">OFFSET(Org_dat!$J$5,$H18,0)</f>
        <v>0.15880596903669725</v>
      </c>
      <c r="R18" s="35">
        <f ca="1">OFFSET(Org_dat!$K$5,$H18,0)</f>
        <v>1.1330583607493407</v>
      </c>
      <c r="S18" s="34">
        <f ca="1">OFFSET(Org_dat!$L$5,$H18,0)</f>
        <v>209503.67</v>
      </c>
      <c r="T18" s="35">
        <f ca="1">OFFSET(Org_dat!$M$5,$H18,0)</f>
        <v>0.43066874716113068</v>
      </c>
      <c r="W18" s="36" t="e">
        <f ca="1">IF('II. Sledování projektu'!J20&gt;=$N$7,'II. Sledování projektu'!J20,NA())</f>
        <v>#N/A</v>
      </c>
      <c r="X18" s="36">
        <f ca="1">IF('II. Sledování projektu'!J20&lt;$N$7,'II. Sledování projektu'!J20,NA())</f>
        <v>0.65812674885321099</v>
      </c>
      <c r="Y18" s="36">
        <f t="shared" ca="1" si="2"/>
        <v>0</v>
      </c>
      <c r="Z18" s="36">
        <f t="shared" ca="1" si="3"/>
        <v>91.216200362469337</v>
      </c>
      <c r="AB18" s="36">
        <f ca="1">IF('II. Sledování projektu'!O20&gt;=$R$8,'II. Sledování projektu'!O20,NA())</f>
        <v>1.1330583607493407</v>
      </c>
      <c r="AC18" s="36" t="e">
        <f ca="1">IF('II. Sledování projektu'!O20&lt;$R$8,'II. Sledování projektu'!O20,NA())</f>
        <v>#N/A</v>
      </c>
      <c r="AD18" s="36">
        <f t="shared" ca="1" si="4"/>
        <v>0</v>
      </c>
      <c r="AE18" s="36">
        <f t="shared" ca="1" si="5"/>
        <v>2.2968499818496859</v>
      </c>
      <c r="AG18" s="36">
        <f ca="1">IF('II. Sledování projektu'!R20&gt;=$T$7,'II. Sledování projektu'!R20,NA())</f>
        <v>0.43066874716113068</v>
      </c>
      <c r="AH18" s="36" t="e">
        <f ca="1">IF('II. Sledování projektu'!R20&lt;$T$7,'II. Sledování projektu'!R20,NA())</f>
        <v>#N/A</v>
      </c>
      <c r="AI18" s="36">
        <f t="shared" ca="1" si="6"/>
        <v>0</v>
      </c>
      <c r="AJ18" s="36">
        <f t="shared" ca="1" si="7"/>
        <v>0.87606844638229608</v>
      </c>
      <c r="AK18" s="19">
        <v>9</v>
      </c>
    </row>
    <row r="19" spans="2:37" x14ac:dyDescent="0.2">
      <c r="B19" s="342">
        <f>Org_dat!K15+(C19/100000)</f>
        <v>0.86932056502558608</v>
      </c>
      <c r="C19" s="31">
        <f>Org_dat!B15</f>
        <v>10</v>
      </c>
      <c r="D19" s="32" t="str">
        <f>Org_dat!C15</f>
        <v>Divadlo loutek Ostrava</v>
      </c>
      <c r="E19" s="33">
        <f ca="1">OFFSET(Org_dat!$C15,0,OrgSortCriteria)</f>
        <v>91.461635558804801</v>
      </c>
      <c r="F19" s="33">
        <f t="shared" ca="1" si="8"/>
        <v>91.461635559674122</v>
      </c>
      <c r="G19" s="33">
        <f t="shared" ca="1" si="0"/>
        <v>92.311880909737809</v>
      </c>
      <c r="H19" s="31">
        <f t="shared" ca="1" si="1"/>
        <v>67</v>
      </c>
      <c r="J19" s="32" t="str">
        <f ca="1">OFFSET(Org_dat!$C$5,$H19,0)</f>
        <v>MŠ O-Poruba, Nezvalovo nám.</v>
      </c>
      <c r="K19" s="158">
        <f ca="1">OFFSET(Org_dat!$D$5,$H19,0)</f>
        <v>92.311880908865277</v>
      </c>
      <c r="L19" s="34">
        <f ca="1">OFFSET(Org_dat!$E$5,$H19,0)</f>
        <v>1422000</v>
      </c>
      <c r="M19" s="34">
        <f ca="1">OFFSET(Org_dat!$F$5,$H19,0)</f>
        <v>1687737.47</v>
      </c>
      <c r="N19" s="35">
        <f ca="1">OFFSET(Org_dat!$G$5,$H19,0)</f>
        <v>1.1868758579465541</v>
      </c>
      <c r="O19" s="35">
        <f ca="1">OFFSET(Org_dat!$H$5,$H19,0)</f>
        <v>0.14960000000000001</v>
      </c>
      <c r="P19" s="34">
        <f ca="1">OFFSET(Org_dat!$I$5,$H19,0)</f>
        <v>185472.82</v>
      </c>
      <c r="Q19" s="35">
        <f ca="1">OFFSET(Org_dat!$J$5,$H19,0)</f>
        <v>0.13043095639943741</v>
      </c>
      <c r="R19" s="35">
        <f ca="1">OFFSET(Org_dat!$K$5,$H19,0)</f>
        <v>0.87186468181442123</v>
      </c>
      <c r="S19" s="34">
        <f ca="1">OFFSET(Org_dat!$L$5,$H19,0)</f>
        <v>47588.35</v>
      </c>
      <c r="T19" s="35">
        <f ca="1">OFFSET(Org_dat!$M$5,$H19,0)</f>
        <v>0.20418823950810852</v>
      </c>
      <c r="W19" s="36">
        <f ca="1">IF('II. Sledování projektu'!J21&gt;=$N$7,'II. Sledování projektu'!J21,NA())</f>
        <v>1.1868758579465541</v>
      </c>
      <c r="X19" s="36" t="e">
        <f ca="1">IF('II. Sledování projektu'!J21&lt;$N$7,'II. Sledování projektu'!J21,NA())</f>
        <v>#N/A</v>
      </c>
      <c r="Y19" s="36">
        <f t="shared" ca="1" si="2"/>
        <v>0</v>
      </c>
      <c r="Z19" s="36">
        <f t="shared" ca="1" si="3"/>
        <v>91.216200362469337</v>
      </c>
      <c r="AB19" s="36" t="e">
        <f ca="1">IF('II. Sledování projektu'!O21&gt;=$R$8,'II. Sledování projektu'!O21,NA())</f>
        <v>#N/A</v>
      </c>
      <c r="AC19" s="36">
        <f ca="1">IF('II. Sledování projektu'!O21&lt;$R$8,'II. Sledování projektu'!O21,NA())</f>
        <v>0.87186468181442123</v>
      </c>
      <c r="AD19" s="36">
        <f t="shared" ca="1" si="4"/>
        <v>0</v>
      </c>
      <c r="AE19" s="36">
        <f t="shared" ca="1" si="5"/>
        <v>2.2968499818496859</v>
      </c>
      <c r="AG19" s="36">
        <f ca="1">IF('II. Sledování projektu'!R21&gt;=$T$7,'II. Sledování projektu'!R21,NA())</f>
        <v>0.20418823950810852</v>
      </c>
      <c r="AH19" s="36" t="e">
        <f ca="1">IF('II. Sledování projektu'!R21&lt;$T$7,'II. Sledování projektu'!R21,NA())</f>
        <v>#N/A</v>
      </c>
      <c r="AI19" s="36">
        <f t="shared" ca="1" si="6"/>
        <v>0</v>
      </c>
      <c r="AJ19" s="36">
        <f t="shared" ca="1" si="7"/>
        <v>0.87606844638229608</v>
      </c>
      <c r="AK19" s="19">
        <v>10</v>
      </c>
    </row>
    <row r="20" spans="2:37" x14ac:dyDescent="0.2">
      <c r="B20" s="342">
        <f>Org_dat!K16+(C20/100000)</f>
        <v>1.1978682355192816</v>
      </c>
      <c r="C20" s="31">
        <f>Org_dat!B16</f>
        <v>11</v>
      </c>
      <c r="D20" s="32" t="str">
        <f>Org_dat!C16</f>
        <v>Domov Čujkovova</v>
      </c>
      <c r="E20" s="33">
        <f ca="1">OFFSET(Org_dat!$C16,0,OrgSortCriteria)</f>
        <v>90.840293808235657</v>
      </c>
      <c r="F20" s="33">
        <f t="shared" ca="1" si="8"/>
        <v>90.840293809433518</v>
      </c>
      <c r="G20" s="33">
        <f t="shared" ca="1" si="0"/>
        <v>91.461635559674122</v>
      </c>
      <c r="H20" s="31">
        <f t="shared" ca="1" si="1"/>
        <v>10</v>
      </c>
      <c r="J20" s="32" t="str">
        <f ca="1">OFFSET(Org_dat!$C$5,$H20,0)</f>
        <v>Divadlo loutek Ostrava</v>
      </c>
      <c r="K20" s="158">
        <f ca="1">OFFSET(Org_dat!$D$5,$H20,0)</f>
        <v>91.461635558804801</v>
      </c>
      <c r="L20" s="34">
        <f ca="1">OFFSET(Org_dat!$E$5,$H20,0)</f>
        <v>3772470</v>
      </c>
      <c r="M20" s="34">
        <f ca="1">OFFSET(Org_dat!$F$5,$H20,0)</f>
        <v>2965795.3200000003</v>
      </c>
      <c r="N20" s="35">
        <f ca="1">OFFSET(Org_dat!$G$5,$H20,0)</f>
        <v>0.78616803314539285</v>
      </c>
      <c r="O20" s="35">
        <f ca="1">OFFSET(Org_dat!$H$5,$H20,0)</f>
        <v>0.23641056672313276</v>
      </c>
      <c r="P20" s="34">
        <f ca="1">OFFSET(Org_dat!$I$5,$H20,0)</f>
        <v>775215.9</v>
      </c>
      <c r="Q20" s="35">
        <f ca="1">OFFSET(Org_dat!$J$5,$H20,0)</f>
        <v>0.20549292638510047</v>
      </c>
      <c r="R20" s="35">
        <f ca="1">OFFSET(Org_dat!$K$5,$H20,0)</f>
        <v>0.86922056502558609</v>
      </c>
      <c r="S20" s="34">
        <f ca="1">OFFSET(Org_dat!$L$5,$H20,0)</f>
        <v>440979.76999999996</v>
      </c>
      <c r="T20" s="35">
        <f ca="1">OFFSET(Org_dat!$M$5,$H20,0)</f>
        <v>0.3625894918701692</v>
      </c>
      <c r="W20" s="36" t="e">
        <f ca="1">IF('II. Sledování projektu'!J22&gt;=$N$7,'II. Sledování projektu'!J22,NA())</f>
        <v>#N/A</v>
      </c>
      <c r="X20" s="36">
        <f ca="1">IF('II. Sledování projektu'!J22&lt;$N$7,'II. Sledování projektu'!J22,NA())</f>
        <v>0.78616803314539285</v>
      </c>
      <c r="Y20" s="36">
        <f t="shared" ca="1" si="2"/>
        <v>0</v>
      </c>
      <c r="Z20" s="36">
        <f t="shared" ca="1" si="3"/>
        <v>91.216200362469337</v>
      </c>
      <c r="AB20" s="36" t="e">
        <f ca="1">IF('II. Sledování projektu'!O22&gt;=$R$8,'II. Sledování projektu'!O22,NA())</f>
        <v>#N/A</v>
      </c>
      <c r="AC20" s="36">
        <f ca="1">IF('II. Sledování projektu'!O22&lt;$R$8,'II. Sledování projektu'!O22,NA())</f>
        <v>0.86922056502558609</v>
      </c>
      <c r="AD20" s="36">
        <f t="shared" ca="1" si="4"/>
        <v>0</v>
      </c>
      <c r="AE20" s="36">
        <f t="shared" ca="1" si="5"/>
        <v>2.2968499818496859</v>
      </c>
      <c r="AG20" s="36">
        <f ca="1">IF('II. Sledování projektu'!R22&gt;=$T$7,'II. Sledování projektu'!R22,NA())</f>
        <v>0.3625894918701692</v>
      </c>
      <c r="AH20" s="36" t="e">
        <f ca="1">IF('II. Sledování projektu'!R22&lt;$T$7,'II. Sledování projektu'!R22,NA())</f>
        <v>#N/A</v>
      </c>
      <c r="AI20" s="36">
        <f t="shared" ca="1" si="6"/>
        <v>0</v>
      </c>
      <c r="AJ20" s="36">
        <f t="shared" ca="1" si="7"/>
        <v>0.87606844638229608</v>
      </c>
      <c r="AK20" s="19">
        <v>11</v>
      </c>
    </row>
    <row r="21" spans="2:37" x14ac:dyDescent="0.2">
      <c r="B21" s="342">
        <f>Org_dat!K17+(C21/100000)</f>
        <v>0.97670827402827343</v>
      </c>
      <c r="C21" s="31">
        <f>Org_dat!B17</f>
        <v>12</v>
      </c>
      <c r="D21" s="32" t="str">
        <f>Org_dat!C17</f>
        <v>Domov Korýtko</v>
      </c>
      <c r="E21" s="33">
        <f ca="1">OFFSET(Org_dat!$C17,0,OrgSortCriteria)</f>
        <v>79.716319590753969</v>
      </c>
      <c r="F21" s="33">
        <f t="shared" ca="1" si="8"/>
        <v>79.716319591730681</v>
      </c>
      <c r="G21" s="33">
        <f t="shared" ca="1" si="0"/>
        <v>90.840293809433518</v>
      </c>
      <c r="H21" s="31">
        <f t="shared" ca="1" si="1"/>
        <v>11</v>
      </c>
      <c r="J21" s="32" t="str">
        <f ca="1">OFFSET(Org_dat!$C$5,$H21,0)</f>
        <v>Domov Čujkovova</v>
      </c>
      <c r="K21" s="158">
        <f ca="1">OFFSET(Org_dat!$D$5,$H21,0)</f>
        <v>90.840293808235657</v>
      </c>
      <c r="L21" s="34">
        <f ca="1">OFFSET(Org_dat!$E$5,$H21,0)</f>
        <v>9981000</v>
      </c>
      <c r="M21" s="34">
        <f ca="1">OFFSET(Org_dat!$F$5,$H21,0)</f>
        <v>6156339.4500000002</v>
      </c>
      <c r="N21" s="35">
        <f ca="1">OFFSET(Org_dat!$G$5,$H21,0)</f>
        <v>0.61680587616471294</v>
      </c>
      <c r="O21" s="35">
        <f ca="1">OFFSET(Org_dat!$H$5,$H21,0)</f>
        <v>0.39</v>
      </c>
      <c r="P21" s="34">
        <f ca="1">OFFSET(Org_dat!$I$5,$H21,0)</f>
        <v>4662381.7300000004</v>
      </c>
      <c r="Q21" s="35">
        <f ca="1">OFFSET(Org_dat!$J$5,$H21,0)</f>
        <v>0.46712571185251983</v>
      </c>
      <c r="R21" s="35">
        <f ca="1">OFFSET(Org_dat!$K$5,$H21,0)</f>
        <v>1.1977582355192815</v>
      </c>
      <c r="S21" s="34">
        <f ca="1">OFFSET(Org_dat!$L$5,$H21,0)</f>
        <v>1392646.13</v>
      </c>
      <c r="T21" s="35">
        <f ca="1">OFFSET(Org_dat!$M$5,$H21,0)</f>
        <v>0.22999830260070839</v>
      </c>
      <c r="W21" s="36" t="e">
        <f ca="1">IF('II. Sledování projektu'!J23&gt;=$N$7,'II. Sledování projektu'!J23,NA())</f>
        <v>#N/A</v>
      </c>
      <c r="X21" s="36">
        <f ca="1">IF('II. Sledování projektu'!J23&lt;$N$7,'II. Sledování projektu'!J23,NA())</f>
        <v>0.61680587616471294</v>
      </c>
      <c r="Y21" s="36">
        <f t="shared" ca="1" si="2"/>
        <v>0</v>
      </c>
      <c r="Z21" s="36">
        <f t="shared" ca="1" si="3"/>
        <v>91.216200362469337</v>
      </c>
      <c r="AB21" s="36">
        <f ca="1">IF('II. Sledování projektu'!O23&gt;=$R$8,'II. Sledování projektu'!O23,NA())</f>
        <v>1.1977582355192815</v>
      </c>
      <c r="AC21" s="36" t="e">
        <f ca="1">IF('II. Sledování projektu'!O23&lt;$R$8,'II. Sledování projektu'!O23,NA())</f>
        <v>#N/A</v>
      </c>
      <c r="AD21" s="36">
        <f t="shared" ca="1" si="4"/>
        <v>0</v>
      </c>
      <c r="AE21" s="36">
        <f t="shared" ca="1" si="5"/>
        <v>2.2968499818496859</v>
      </c>
      <c r="AG21" s="36">
        <f ca="1">IF('II. Sledování projektu'!R23&gt;=$T$7,'II. Sledování projektu'!R23,NA())</f>
        <v>0.22999830260070839</v>
      </c>
      <c r="AH21" s="36" t="e">
        <f ca="1">IF('II. Sledování projektu'!R23&lt;$T$7,'II. Sledování projektu'!R23,NA())</f>
        <v>#N/A</v>
      </c>
      <c r="AI21" s="36">
        <f t="shared" ca="1" si="6"/>
        <v>0</v>
      </c>
      <c r="AJ21" s="36">
        <f t="shared" ca="1" si="7"/>
        <v>0.87606844638229608</v>
      </c>
      <c r="AK21" s="19">
        <v>12</v>
      </c>
    </row>
    <row r="22" spans="2:37" x14ac:dyDescent="0.2">
      <c r="B22" s="342">
        <f>Org_dat!K18+(C22/100000)</f>
        <v>0.80635549155152175</v>
      </c>
      <c r="C22" s="31">
        <f>Org_dat!B18</f>
        <v>13</v>
      </c>
      <c r="D22" s="32" t="str">
        <f>Org_dat!C18</f>
        <v>Domov Magnolie</v>
      </c>
      <c r="E22" s="33">
        <f ca="1">OFFSET(Org_dat!$C18,0,OrgSortCriteria)</f>
        <v>69.835629589869953</v>
      </c>
      <c r="F22" s="33">
        <f t="shared" ca="1" si="8"/>
        <v>69.835629590676305</v>
      </c>
      <c r="G22" s="33">
        <f t="shared" ca="1" si="0"/>
        <v>90.36510070699309</v>
      </c>
      <c r="H22" s="31">
        <f t="shared" ca="1" si="1"/>
        <v>23</v>
      </c>
      <c r="J22" s="32" t="str">
        <f ca="1">OFFSET(Org_dat!$C$5,$H22,0)</f>
        <v>ZŠ MO a Přívoz, Matiční</v>
      </c>
      <c r="K22" s="158">
        <f ca="1">OFFSET(Org_dat!$D$5,$H22,0)</f>
        <v>90.365100705580502</v>
      </c>
      <c r="L22" s="34">
        <f ca="1">OFFSET(Org_dat!$E$5,$H22,0)</f>
        <v>5456500</v>
      </c>
      <c r="M22" s="34">
        <f ca="1">OFFSET(Org_dat!$F$5,$H22,0)</f>
        <v>3313743.44</v>
      </c>
      <c r="N22" s="35">
        <f ca="1">OFFSET(Org_dat!$G$5,$H22,0)</f>
        <v>0.60730201411161</v>
      </c>
      <c r="O22" s="35">
        <f ca="1">OFFSET(Org_dat!$H$5,$H22,0)</f>
        <v>0.32140000000000002</v>
      </c>
      <c r="P22" s="34">
        <f ca="1">OFFSET(Org_dat!$I$5,$H22,0)</f>
        <v>2476886.71</v>
      </c>
      <c r="Q22" s="35">
        <f ca="1">OFFSET(Org_dat!$J$5,$H22,0)</f>
        <v>0.45393323742325664</v>
      </c>
      <c r="R22" s="35">
        <f ca="1">OFFSET(Org_dat!$K$5,$H22,0)</f>
        <v>1.4123622819640842</v>
      </c>
      <c r="S22" s="34">
        <f ca="1">OFFSET(Org_dat!$L$5,$H22,0)</f>
        <v>632618.54</v>
      </c>
      <c r="T22" s="35">
        <f ca="1">OFFSET(Org_dat!$M$5,$H22,0)</f>
        <v>0.20344668657497847</v>
      </c>
      <c r="W22" s="36" t="e">
        <f ca="1">IF('II. Sledování projektu'!J24&gt;=$N$7,'II. Sledování projektu'!J24,NA())</f>
        <v>#N/A</v>
      </c>
      <c r="X22" s="36">
        <f ca="1">IF('II. Sledování projektu'!J24&lt;$N$7,'II. Sledování projektu'!J24,NA())</f>
        <v>0.60730201411161</v>
      </c>
      <c r="Y22" s="36">
        <f t="shared" ca="1" si="2"/>
        <v>0</v>
      </c>
      <c r="Z22" s="36">
        <f t="shared" ca="1" si="3"/>
        <v>91.216200362469337</v>
      </c>
      <c r="AB22" s="36">
        <f ca="1">IF('II. Sledování projektu'!O24&gt;=$R$8,'II. Sledování projektu'!O24,NA())</f>
        <v>1.4123622819640842</v>
      </c>
      <c r="AC22" s="36" t="e">
        <f ca="1">IF('II. Sledování projektu'!O24&lt;$R$8,'II. Sledování projektu'!O24,NA())</f>
        <v>#N/A</v>
      </c>
      <c r="AD22" s="36">
        <f t="shared" ca="1" si="4"/>
        <v>0</v>
      </c>
      <c r="AE22" s="36">
        <f t="shared" ca="1" si="5"/>
        <v>2.2968499818496859</v>
      </c>
      <c r="AG22" s="36">
        <f ca="1">IF('II. Sledování projektu'!R24&gt;=$T$7,'II. Sledování projektu'!R24,NA())</f>
        <v>0.20344668657497847</v>
      </c>
      <c r="AH22" s="36" t="e">
        <f ca="1">IF('II. Sledování projektu'!R24&lt;$T$7,'II. Sledování projektu'!R24,NA())</f>
        <v>#N/A</v>
      </c>
      <c r="AI22" s="36">
        <f t="shared" ca="1" si="6"/>
        <v>0</v>
      </c>
      <c r="AJ22" s="36">
        <f t="shared" ca="1" si="7"/>
        <v>0.87606844638229608</v>
      </c>
      <c r="AK22" s="19">
        <v>13</v>
      </c>
    </row>
    <row r="23" spans="2:37" x14ac:dyDescent="0.2">
      <c r="B23" s="342">
        <f>Org_dat!K19+(C23/100000)</f>
        <v>0.34562236648250455</v>
      </c>
      <c r="C23" s="31">
        <f>Org_dat!B19</f>
        <v>14</v>
      </c>
      <c r="D23" s="32" t="str">
        <f>Org_dat!C19</f>
        <v>Dům kultury Akord</v>
      </c>
      <c r="E23" s="33">
        <f ca="1">OFFSET(Org_dat!$C19,0,OrgSortCriteria)</f>
        <v>35.034148756906077</v>
      </c>
      <c r="F23" s="33">
        <f t="shared" ca="1" si="8"/>
        <v>35.0341487572517</v>
      </c>
      <c r="G23" s="33">
        <f t="shared" ca="1" si="0"/>
        <v>90.246264578390765</v>
      </c>
      <c r="H23" s="31">
        <f t="shared" ca="1" si="1"/>
        <v>127</v>
      </c>
      <c r="J23" s="32" t="str">
        <f ca="1">OFFSET(Org_dat!$C$5,$H23,0)</f>
        <v>ZŠ a MŠ O-Hrabůvka, Krestova</v>
      </c>
      <c r="K23" s="158">
        <f ca="1">OFFSET(Org_dat!$D$5,$H23,0)</f>
        <v>90.246264576919486</v>
      </c>
      <c r="L23" s="34">
        <f ca="1">OFFSET(Org_dat!$E$5,$H23,0)</f>
        <v>3215700</v>
      </c>
      <c r="M23" s="34">
        <f ca="1">OFFSET(Org_dat!$F$5,$H23,0)</f>
        <v>1945258.26</v>
      </c>
      <c r="N23" s="35">
        <f ca="1">OFFSET(Org_dat!$G$5,$H23,0)</f>
        <v>0.60492529153838981</v>
      </c>
      <c r="O23" s="35">
        <f ca="1">OFFSET(Org_dat!$H$5,$H23,0)</f>
        <v>0.23280000000000001</v>
      </c>
      <c r="P23" s="34">
        <f ca="1">OFFSET(Org_dat!$I$5,$H23,0)</f>
        <v>1100474.3599999999</v>
      </c>
      <c r="Q23" s="35">
        <f ca="1">OFFSET(Org_dat!$J$5,$H23,0)</f>
        <v>0.34221922443013958</v>
      </c>
      <c r="R23" s="35">
        <f ca="1">OFFSET(Org_dat!$K$5,$H23,0)</f>
        <v>1.4700138506449294</v>
      </c>
      <c r="S23" s="34">
        <f ca="1">OFFSET(Org_dat!$L$5,$H23,0)</f>
        <v>172295.38999999998</v>
      </c>
      <c r="T23" s="35">
        <f ca="1">OFFSET(Org_dat!$M$5,$H23,0)</f>
        <v>0.13537043129756973</v>
      </c>
      <c r="W23" s="36" t="e">
        <f ca="1">IF('II. Sledování projektu'!J25&gt;=$N$7,'II. Sledování projektu'!J25,NA())</f>
        <v>#N/A</v>
      </c>
      <c r="X23" s="36">
        <f ca="1">IF('II. Sledování projektu'!J25&lt;$N$7,'II. Sledování projektu'!J25,NA())</f>
        <v>0.60492529153838981</v>
      </c>
      <c r="Y23" s="36">
        <f t="shared" ca="1" si="2"/>
        <v>0</v>
      </c>
      <c r="Z23" s="36">
        <f t="shared" ca="1" si="3"/>
        <v>91.216200362469337</v>
      </c>
      <c r="AB23" s="36">
        <f ca="1">IF('II. Sledování projektu'!O25&gt;=$R$8,'II. Sledování projektu'!O25,NA())</f>
        <v>1.4700138506449294</v>
      </c>
      <c r="AC23" s="36" t="e">
        <f ca="1">IF('II. Sledování projektu'!O25&lt;$R$8,'II. Sledování projektu'!O25,NA())</f>
        <v>#N/A</v>
      </c>
      <c r="AD23" s="36">
        <f t="shared" ca="1" si="4"/>
        <v>0</v>
      </c>
      <c r="AE23" s="36">
        <f t="shared" ca="1" si="5"/>
        <v>2.2968499818496859</v>
      </c>
      <c r="AG23" s="36">
        <f ca="1">IF('II. Sledování projektu'!R25&gt;=$T$7,'II. Sledování projektu'!R25,NA())</f>
        <v>0.13537043129756973</v>
      </c>
      <c r="AH23" s="36" t="e">
        <f ca="1">IF('II. Sledování projektu'!R25&lt;$T$7,'II. Sledování projektu'!R25,NA())</f>
        <v>#N/A</v>
      </c>
      <c r="AI23" s="36">
        <f t="shared" ca="1" si="6"/>
        <v>0</v>
      </c>
      <c r="AJ23" s="36">
        <f t="shared" ca="1" si="7"/>
        <v>0.87606844638229608</v>
      </c>
      <c r="AK23" s="19">
        <v>14</v>
      </c>
    </row>
    <row r="24" spans="2:37" x14ac:dyDescent="0.2">
      <c r="B24" s="342">
        <f>Org_dat!K20+(C24/100000)</f>
        <v>0.1970234131232293</v>
      </c>
      <c r="C24" s="31">
        <f>Org_dat!B20</f>
        <v>15</v>
      </c>
      <c r="D24" s="32" t="str">
        <f>Org_dat!C20</f>
        <v>Komorní scéna Aréna</v>
      </c>
      <c r="E24" s="33">
        <f ca="1">OFFSET(Org_dat!$C20,0,OrgSortCriteria)</f>
        <v>51.81240478739376</v>
      </c>
      <c r="F24" s="33">
        <f t="shared" ca="1" si="8"/>
        <v>51.812404787590786</v>
      </c>
      <c r="G24" s="33">
        <f t="shared" ca="1" si="0"/>
        <v>87.996279133918435</v>
      </c>
      <c r="H24" s="31">
        <f t="shared" ca="1" si="1"/>
        <v>154</v>
      </c>
      <c r="J24" s="32" t="str">
        <f ca="1">OFFSET(Org_dat!$C$5,$H24,0)</f>
        <v>ZŠ O-Poruba, Dětská</v>
      </c>
      <c r="K24" s="158">
        <f ca="1">OFFSET(Org_dat!$D$5,$H24,0)</f>
        <v>87.996279132791329</v>
      </c>
      <c r="L24" s="34">
        <f ca="1">OFFSET(Org_dat!$E$5,$H24,0)</f>
        <v>922500</v>
      </c>
      <c r="M24" s="34">
        <f ca="1">OFFSET(Org_dat!$F$5,$H24,0)</f>
        <v>516531.35</v>
      </c>
      <c r="N24" s="35">
        <f ca="1">OFFSET(Org_dat!$G$5,$H24,0)</f>
        <v>0.55992558265582648</v>
      </c>
      <c r="O24" s="35">
        <f ca="1">OFFSET(Org_dat!$H$5,$H24,0)</f>
        <v>6.4199999999999993E-2</v>
      </c>
      <c r="P24" s="34">
        <f ca="1">OFFSET(Org_dat!$I$5,$H24,0)</f>
        <v>66660.67</v>
      </c>
      <c r="Q24" s="35">
        <f ca="1">OFFSET(Org_dat!$J$5,$H24,0)</f>
        <v>7.2260888888888888E-2</v>
      </c>
      <c r="R24" s="35">
        <f ca="1">OFFSET(Org_dat!$K$5,$H24,0)</f>
        <v>1.1255590169608862</v>
      </c>
      <c r="S24" s="34">
        <f ca="1">OFFSET(Org_dat!$L$5,$H24,0)</f>
        <v>42526.670000000006</v>
      </c>
      <c r="T24" s="35">
        <f ca="1">OFFSET(Org_dat!$M$5,$H24,0)</f>
        <v>0.38948352437196482</v>
      </c>
      <c r="W24" s="36" t="e">
        <f ca="1">IF('II. Sledování projektu'!J26&gt;=$N$7,'II. Sledování projektu'!J26,NA())</f>
        <v>#N/A</v>
      </c>
      <c r="X24" s="36">
        <f ca="1">IF('II. Sledování projektu'!J26&lt;$N$7,'II. Sledování projektu'!J26,NA())</f>
        <v>0.55992558265582648</v>
      </c>
      <c r="Y24" s="36">
        <f t="shared" ca="1" si="2"/>
        <v>0</v>
      </c>
      <c r="Z24" s="36">
        <f t="shared" ca="1" si="3"/>
        <v>91.216200362469337</v>
      </c>
      <c r="AB24" s="36">
        <f ca="1">IF('II. Sledování projektu'!O26&gt;=$R$8,'II. Sledování projektu'!O26,NA())</f>
        <v>1.1255590169608862</v>
      </c>
      <c r="AC24" s="36" t="e">
        <f ca="1">IF('II. Sledování projektu'!O26&lt;$R$8,'II. Sledování projektu'!O26,NA())</f>
        <v>#N/A</v>
      </c>
      <c r="AD24" s="36">
        <f t="shared" ca="1" si="4"/>
        <v>0</v>
      </c>
      <c r="AE24" s="36">
        <f t="shared" ca="1" si="5"/>
        <v>2.2968499818496859</v>
      </c>
      <c r="AG24" s="36">
        <f ca="1">IF('II. Sledování projektu'!R26&gt;=$T$7,'II. Sledování projektu'!R26,NA())</f>
        <v>0.38948352437196482</v>
      </c>
      <c r="AH24" s="36" t="e">
        <f ca="1">IF('II. Sledování projektu'!R26&lt;$T$7,'II. Sledování projektu'!R26,NA())</f>
        <v>#N/A</v>
      </c>
      <c r="AI24" s="36">
        <f t="shared" ca="1" si="6"/>
        <v>0</v>
      </c>
      <c r="AJ24" s="36">
        <f t="shared" ca="1" si="7"/>
        <v>0.87606844638229608</v>
      </c>
      <c r="AK24" s="19">
        <v>15</v>
      </c>
    </row>
    <row r="25" spans="2:37" x14ac:dyDescent="0.2">
      <c r="B25" s="342">
        <f>Org_dat!K21+(C25/100000)</f>
        <v>0.712546905272602</v>
      </c>
      <c r="C25" s="31">
        <f>Org_dat!B21</f>
        <v>16</v>
      </c>
      <c r="D25" s="32" t="str">
        <f>Org_dat!C21</f>
        <v>Ostravské komunikace</v>
      </c>
      <c r="E25" s="33">
        <f ca="1">OFFSET(Org_dat!$C21,0,OrgSortCriteria)</f>
        <v>46.382236604115839</v>
      </c>
      <c r="F25" s="33">
        <f t="shared" ca="1" si="8"/>
        <v>46.382236604828385</v>
      </c>
      <c r="G25" s="33">
        <f t="shared" ca="1" si="0"/>
        <v>87.804668236250492</v>
      </c>
      <c r="H25" s="31">
        <f t="shared" ca="1" si="1"/>
        <v>47</v>
      </c>
      <c r="J25" s="32" t="str">
        <f ca="1">OFFSET(Org_dat!$C$5,$H25,0)</f>
        <v>MŠ Harmonie, O-Hrabůvka</v>
      </c>
      <c r="K25" s="158">
        <f ca="1">OFFSET(Org_dat!$D$5,$H25,0)</f>
        <v>87.804668235347151</v>
      </c>
      <c r="L25" s="34">
        <f ca="1">OFFSET(Org_dat!$E$5,$H25,0)</f>
        <v>1701700</v>
      </c>
      <c r="M25" s="34">
        <f ca="1">OFFSET(Org_dat!$F$5,$H25,0)</f>
        <v>1144653.5899999999</v>
      </c>
      <c r="N25" s="35">
        <f ca="1">OFFSET(Org_dat!$G$5,$H25,0)</f>
        <v>0.67265298818828223</v>
      </c>
      <c r="O25" s="35">
        <f ca="1">OFFSET(Org_dat!$H$5,$H25,0)</f>
        <v>0.21279999999999999</v>
      </c>
      <c r="P25" s="34">
        <f ca="1">OFFSET(Org_dat!$I$5,$H25,0)</f>
        <v>326947.78000000003</v>
      </c>
      <c r="Q25" s="35">
        <f ca="1">OFFSET(Org_dat!$J$5,$H25,0)</f>
        <v>0.19213009343597581</v>
      </c>
      <c r="R25" s="35">
        <f ca="1">OFFSET(Org_dat!$K$5,$H25,0)</f>
        <v>0.90286698043221714</v>
      </c>
      <c r="S25" s="34">
        <f ca="1">OFFSET(Org_dat!$L$5,$H25,0)</f>
        <v>110690.97</v>
      </c>
      <c r="T25" s="35">
        <f ca="1">OFFSET(Org_dat!$M$5,$H25,0)</f>
        <v>0.25292771720968493</v>
      </c>
      <c r="W25" s="36" t="e">
        <f ca="1">IF('II. Sledování projektu'!J27&gt;=$N$7,'II. Sledování projektu'!J27,NA())</f>
        <v>#N/A</v>
      </c>
      <c r="X25" s="36">
        <f ca="1">IF('II. Sledování projektu'!J27&lt;$N$7,'II. Sledování projektu'!J27,NA())</f>
        <v>0.67265298818828223</v>
      </c>
      <c r="Y25" s="36">
        <f t="shared" ca="1" si="2"/>
        <v>0</v>
      </c>
      <c r="Z25" s="36">
        <f t="shared" ca="1" si="3"/>
        <v>91.216200362469337</v>
      </c>
      <c r="AB25" s="36" t="e">
        <f ca="1">IF('II. Sledování projektu'!O27&gt;=$R$8,'II. Sledování projektu'!O27,NA())</f>
        <v>#N/A</v>
      </c>
      <c r="AC25" s="36">
        <f ca="1">IF('II. Sledování projektu'!O27&lt;$R$8,'II. Sledování projektu'!O27,NA())</f>
        <v>0.90286698043221714</v>
      </c>
      <c r="AD25" s="36">
        <f t="shared" ca="1" si="4"/>
        <v>0</v>
      </c>
      <c r="AE25" s="36">
        <f t="shared" ca="1" si="5"/>
        <v>2.2968499818496859</v>
      </c>
      <c r="AG25" s="36">
        <f ca="1">IF('II. Sledování projektu'!R27&gt;=$T$7,'II. Sledování projektu'!R27,NA())</f>
        <v>0.25292771720968493</v>
      </c>
      <c r="AH25" s="36" t="e">
        <f ca="1">IF('II. Sledování projektu'!R27&lt;$T$7,'II. Sledování projektu'!R27,NA())</f>
        <v>#N/A</v>
      </c>
      <c r="AI25" s="36">
        <f t="shared" ca="1" si="6"/>
        <v>0</v>
      </c>
      <c r="AJ25" s="36">
        <f t="shared" ca="1" si="7"/>
        <v>0.87606844638229608</v>
      </c>
      <c r="AK25" s="19">
        <v>16</v>
      </c>
    </row>
    <row r="26" spans="2:37" x14ac:dyDescent="0.2">
      <c r="B26" s="342">
        <f>Org_dat!K22+(C26/100000)</f>
        <v>0.59224785387376122</v>
      </c>
      <c r="C26" s="31">
        <f>Org_dat!B22</f>
        <v>17</v>
      </c>
      <c r="D26" s="32" t="str">
        <f>Org_dat!C22</f>
        <v>SAREZA</v>
      </c>
      <c r="E26" s="33">
        <f ca="1">OFFSET(Org_dat!$C22,0,OrgSortCriteria)</f>
        <v>75.243560719930201</v>
      </c>
      <c r="F26" s="33">
        <f t="shared" ca="1" si="8"/>
        <v>75.243560720522453</v>
      </c>
      <c r="G26" s="33">
        <f t="shared" ca="1" si="0"/>
        <v>85.438929841365677</v>
      </c>
      <c r="H26" s="31">
        <f t="shared" ca="1" si="1"/>
        <v>66</v>
      </c>
      <c r="J26" s="32" t="str">
        <f ca="1">OFFSET(Org_dat!$C$5,$H26,0)</f>
        <v>MŠ O-Poruba, J.Šoupala</v>
      </c>
      <c r="K26" s="158">
        <f ca="1">OFFSET(Org_dat!$D$5,$H26,0)</f>
        <v>85.438929840142094</v>
      </c>
      <c r="L26" s="34">
        <f ca="1">OFFSET(Org_dat!$E$5,$H26,0)</f>
        <v>1689000</v>
      </c>
      <c r="M26" s="34">
        <f ca="1">OFFSET(Org_dat!$F$5,$H26,0)</f>
        <v>859327.05</v>
      </c>
      <c r="N26" s="35">
        <f ca="1">OFFSET(Org_dat!$G$5,$H26,0)</f>
        <v>0.50877859680284199</v>
      </c>
      <c r="O26" s="35">
        <f ca="1">OFFSET(Org_dat!$H$5,$H26,0)</f>
        <v>0.24890000000000001</v>
      </c>
      <c r="P26" s="34">
        <f ca="1">OFFSET(Org_dat!$I$5,$H26,0)</f>
        <v>514108.32</v>
      </c>
      <c r="Q26" s="35">
        <f ca="1">OFFSET(Org_dat!$J$5,$H26,0)</f>
        <v>0.30438621669626997</v>
      </c>
      <c r="R26" s="35">
        <f ca="1">OFFSET(Org_dat!$K$5,$H26,0)</f>
        <v>1.2229257400412614</v>
      </c>
      <c r="S26" s="34">
        <f ca="1">OFFSET(Org_dat!$L$5,$H26,0)</f>
        <v>107894.57</v>
      </c>
      <c r="T26" s="35">
        <f ca="1">OFFSET(Org_dat!$M$5,$H26,0)</f>
        <v>0.17346313294460738</v>
      </c>
      <c r="W26" s="36" t="e">
        <f ca="1">IF('II. Sledování projektu'!J28&gt;=$N$7,'II. Sledování projektu'!J28,NA())</f>
        <v>#N/A</v>
      </c>
      <c r="X26" s="36">
        <f ca="1">IF('II. Sledování projektu'!J28&lt;$N$7,'II. Sledování projektu'!J28,NA())</f>
        <v>0.50877859680284199</v>
      </c>
      <c r="Y26" s="36">
        <f t="shared" ca="1" si="2"/>
        <v>0</v>
      </c>
      <c r="Z26" s="36">
        <f t="shared" ca="1" si="3"/>
        <v>91.216200362469337</v>
      </c>
      <c r="AB26" s="36">
        <f ca="1">IF('II. Sledování projektu'!O28&gt;=$R$8,'II. Sledování projektu'!O28,NA())</f>
        <v>1.2229257400412614</v>
      </c>
      <c r="AC26" s="36" t="e">
        <f ca="1">IF('II. Sledování projektu'!O28&lt;$R$8,'II. Sledování projektu'!O28,NA())</f>
        <v>#N/A</v>
      </c>
      <c r="AD26" s="36">
        <f t="shared" ca="1" si="4"/>
        <v>0</v>
      </c>
      <c r="AE26" s="36">
        <f t="shared" ca="1" si="5"/>
        <v>2.2968499818496859</v>
      </c>
      <c r="AG26" s="36">
        <f ca="1">IF('II. Sledování projektu'!R28&gt;=$T$7,'II. Sledování projektu'!R28,NA())</f>
        <v>0.17346313294460738</v>
      </c>
      <c r="AH26" s="36" t="e">
        <f ca="1">IF('II. Sledování projektu'!R28&lt;$T$7,'II. Sledování projektu'!R28,NA())</f>
        <v>#N/A</v>
      </c>
      <c r="AI26" s="36">
        <f t="shared" ca="1" si="6"/>
        <v>0</v>
      </c>
      <c r="AJ26" s="36">
        <f t="shared" ca="1" si="7"/>
        <v>0.87606844638229608</v>
      </c>
      <c r="AK26" s="19">
        <v>17</v>
      </c>
    </row>
    <row r="27" spans="2:37" x14ac:dyDescent="0.2">
      <c r="B27" s="342">
        <f>Org_dat!K23+(C27/100000)</f>
        <v>0.7229695827296434</v>
      </c>
      <c r="C27" s="31">
        <f>Org_dat!B23</f>
        <v>18</v>
      </c>
      <c r="D27" s="32" t="str">
        <f>Org_dat!C23</f>
        <v>VÍTKOVICE ARÉNA</v>
      </c>
      <c r="E27" s="33">
        <f ca="1">OFFSET(Org_dat!$C23,0,OrgSortCriteria)</f>
        <v>78.679830833454062</v>
      </c>
      <c r="F27" s="33">
        <f t="shared" ca="1" si="8"/>
        <v>78.679830834177025</v>
      </c>
      <c r="G27" s="33">
        <f t="shared" ca="1" si="0"/>
        <v>85.090595547340214</v>
      </c>
      <c r="H27" s="31">
        <f t="shared" ca="1" si="1"/>
        <v>26</v>
      </c>
      <c r="J27" s="32" t="str">
        <f ca="1">OFFSET(Org_dat!$C$5,$H27,0)</f>
        <v>Domov Sluníčko</v>
      </c>
      <c r="K27" s="158">
        <f ca="1">OFFSET(Org_dat!$D$5,$H27,0)</f>
        <v>85.090595546493248</v>
      </c>
      <c r="L27" s="34">
        <f ca="1">OFFSET(Org_dat!$E$5,$H27,0)</f>
        <v>7952000</v>
      </c>
      <c r="M27" s="34">
        <f ca="1">OFFSET(Org_dat!$F$5,$H27,0)</f>
        <v>5453188.5800000001</v>
      </c>
      <c r="N27" s="35">
        <f ca="1">OFFSET(Org_dat!$G$5,$H27,0)</f>
        <v>0.68576315140845068</v>
      </c>
      <c r="O27" s="35">
        <f ca="1">OFFSET(Org_dat!$H$5,$H27,0)</f>
        <v>0.56000000000000005</v>
      </c>
      <c r="P27" s="34">
        <f ca="1">OFFSET(Org_dat!$I$5,$H27,0)</f>
        <v>3770489.21</v>
      </c>
      <c r="Q27" s="35">
        <f ca="1">OFFSET(Org_dat!$J$5,$H27,0)</f>
        <v>0.47415608777665996</v>
      </c>
      <c r="R27" s="35">
        <f ca="1">OFFSET(Org_dat!$K$5,$H27,0)</f>
        <v>0.84670729960117852</v>
      </c>
      <c r="S27" s="34">
        <f ca="1">OFFSET(Org_dat!$L$5,$H27,0)</f>
        <v>1155040.6399999999</v>
      </c>
      <c r="T27" s="35">
        <f ca="1">OFFSET(Org_dat!$M$5,$H27,0)</f>
        <v>0.23450078979827926</v>
      </c>
      <c r="W27" s="36" t="e">
        <f ca="1">IF('II. Sledování projektu'!J29&gt;=$N$7,'II. Sledování projektu'!J29,NA())</f>
        <v>#N/A</v>
      </c>
      <c r="X27" s="36">
        <f ca="1">IF('II. Sledování projektu'!J29&lt;$N$7,'II. Sledování projektu'!J29,NA())</f>
        <v>0.68576315140845068</v>
      </c>
      <c r="Y27" s="36">
        <f t="shared" ca="1" si="2"/>
        <v>0</v>
      </c>
      <c r="Z27" s="36">
        <f t="shared" ca="1" si="3"/>
        <v>91.216200362469337</v>
      </c>
      <c r="AB27" s="36" t="e">
        <f ca="1">IF('II. Sledování projektu'!O29&gt;=$R$8,'II. Sledování projektu'!O29,NA())</f>
        <v>#N/A</v>
      </c>
      <c r="AC27" s="36">
        <f ca="1">IF('II. Sledování projektu'!O29&lt;$R$8,'II. Sledování projektu'!O29,NA())</f>
        <v>0.84670729960117852</v>
      </c>
      <c r="AD27" s="36">
        <f t="shared" ca="1" si="4"/>
        <v>0</v>
      </c>
      <c r="AE27" s="36">
        <f t="shared" ca="1" si="5"/>
        <v>2.2968499818496859</v>
      </c>
      <c r="AG27" s="36">
        <f ca="1">IF('II. Sledování projektu'!R29&gt;=$T$7,'II. Sledování projektu'!R29,NA())</f>
        <v>0.23450078979827926</v>
      </c>
      <c r="AH27" s="36" t="e">
        <f ca="1">IF('II. Sledování projektu'!R29&lt;$T$7,'II. Sledování projektu'!R29,NA())</f>
        <v>#N/A</v>
      </c>
      <c r="AI27" s="36">
        <f t="shared" ca="1" si="6"/>
        <v>0</v>
      </c>
      <c r="AJ27" s="36">
        <f t="shared" ca="1" si="7"/>
        <v>0.87606844638229608</v>
      </c>
      <c r="AK27" s="19">
        <v>18</v>
      </c>
    </row>
    <row r="28" spans="2:37" x14ac:dyDescent="0.2">
      <c r="B28" s="342">
        <f>Org_dat!K24+(C28/100000)</f>
        <v>0.69154293917601251</v>
      </c>
      <c r="C28" s="31">
        <f>Org_dat!B24</f>
        <v>19</v>
      </c>
      <c r="D28" s="32" t="str">
        <f>Org_dat!C24</f>
        <v>ZOO Ostrava</v>
      </c>
      <c r="E28" s="33">
        <f ca="1">OFFSET(Org_dat!$C24,0,OrgSortCriteria)</f>
        <v>52.734206182392789</v>
      </c>
      <c r="F28" s="33">
        <f t="shared" ca="1" si="8"/>
        <v>52.734206183084332</v>
      </c>
      <c r="G28" s="33">
        <f t="shared" ca="1" si="0"/>
        <v>84.713534274277961</v>
      </c>
      <c r="H28" s="31">
        <f t="shared" ca="1" si="1"/>
        <v>169</v>
      </c>
      <c r="J28" s="32" t="str">
        <f ca="1">OFFSET(Org_dat!$C$5,$H28,0)</f>
        <v>ZŠ Ostrava, Gen.Píky</v>
      </c>
      <c r="K28" s="158">
        <f ca="1">OFFSET(Org_dat!$D$5,$H28,0)</f>
        <v>84.713534273467332</v>
      </c>
      <c r="L28" s="34">
        <f ca="1">OFFSET(Org_dat!$E$5,$H28,0)</f>
        <v>2644000</v>
      </c>
      <c r="M28" s="34">
        <f ca="1">OFFSET(Org_dat!$F$5,$H28,0)</f>
        <v>1913030.74</v>
      </c>
      <c r="N28" s="35">
        <f ca="1">OFFSET(Org_dat!$G$5,$H28,0)</f>
        <v>0.72353658850226932</v>
      </c>
      <c r="O28" s="35">
        <f ca="1">OFFSET(Org_dat!$H$5,$H28,0)</f>
        <v>5.04E-2</v>
      </c>
      <c r="P28" s="34">
        <f ca="1">OFFSET(Org_dat!$I$5,$H28,0)</f>
        <v>107798.08</v>
      </c>
      <c r="Q28" s="35">
        <f ca="1">OFFSET(Org_dat!$J$5,$H28,0)</f>
        <v>4.0770832072617245E-2</v>
      </c>
      <c r="R28" s="35">
        <f ca="1">OFFSET(Org_dat!$K$5,$H28,0)</f>
        <v>0.80894508080589778</v>
      </c>
      <c r="S28" s="34">
        <f ca="1">OFFSET(Org_dat!$L$5,$H28,0)</f>
        <v>85783</v>
      </c>
      <c r="T28" s="35">
        <f ca="1">OFFSET(Org_dat!$M$5,$H28,0)</f>
        <v>0.4431373148656883</v>
      </c>
      <c r="W28" s="36" t="e">
        <f ca="1">IF('II. Sledování projektu'!J30&gt;=$N$7,'II. Sledování projektu'!J30,NA())</f>
        <v>#N/A</v>
      </c>
      <c r="X28" s="36">
        <f ca="1">IF('II. Sledování projektu'!J30&lt;$N$7,'II. Sledování projektu'!J30,NA())</f>
        <v>0.72353658850226932</v>
      </c>
      <c r="Y28" s="36">
        <f t="shared" ca="1" si="2"/>
        <v>0</v>
      </c>
      <c r="Z28" s="36">
        <f t="shared" ca="1" si="3"/>
        <v>91.216200362469337</v>
      </c>
      <c r="AB28" s="36" t="e">
        <f ca="1">IF('II. Sledování projektu'!O30&gt;=$R$8,'II. Sledování projektu'!O30,NA())</f>
        <v>#N/A</v>
      </c>
      <c r="AC28" s="36">
        <f ca="1">IF('II. Sledování projektu'!O30&lt;$R$8,'II. Sledování projektu'!O30,NA())</f>
        <v>0.80894508080589778</v>
      </c>
      <c r="AD28" s="36">
        <f t="shared" ca="1" si="4"/>
        <v>0</v>
      </c>
      <c r="AE28" s="36">
        <f t="shared" ca="1" si="5"/>
        <v>2.2968499818496859</v>
      </c>
      <c r="AG28" s="36">
        <f ca="1">IF('II. Sledování projektu'!R30&gt;=$T$7,'II. Sledování projektu'!R30,NA())</f>
        <v>0.4431373148656883</v>
      </c>
      <c r="AH28" s="36" t="e">
        <f ca="1">IF('II. Sledování projektu'!R30&lt;$T$7,'II. Sledování projektu'!R30,NA())</f>
        <v>#N/A</v>
      </c>
      <c r="AI28" s="36">
        <f t="shared" ca="1" si="6"/>
        <v>0</v>
      </c>
      <c r="AJ28" s="36">
        <f t="shared" ca="1" si="7"/>
        <v>0.87606844638229608</v>
      </c>
      <c r="AK28" s="19">
        <v>19</v>
      </c>
    </row>
    <row r="29" spans="2:37" x14ac:dyDescent="0.2">
      <c r="B29" s="342">
        <f>Org_dat!K25+(C29/100000)</f>
        <v>0.58604605460121384</v>
      </c>
      <c r="C29" s="31">
        <f>Org_dat!B25</f>
        <v>20</v>
      </c>
      <c r="D29" s="32" t="str">
        <f>Org_dat!C25</f>
        <v>ZŠ a MŠ MO a Přívoz, Ostrčilova</v>
      </c>
      <c r="E29" s="33">
        <f ca="1">OFFSET(Org_dat!$C25,0,OrgSortCriteria)</f>
        <v>56.040734750820299</v>
      </c>
      <c r="F29" s="33">
        <f t="shared" ca="1" si="8"/>
        <v>56.040734751406347</v>
      </c>
      <c r="G29" s="33">
        <f t="shared" ca="1" si="0"/>
        <v>84.686104277275987</v>
      </c>
      <c r="H29" s="31">
        <f t="shared" ca="1" si="1"/>
        <v>70</v>
      </c>
      <c r="J29" s="32" t="str">
        <f ca="1">OFFSET(Org_dat!$C$5,$H29,0)</f>
        <v>MŠ O-Poruba, Ukrajinská</v>
      </c>
      <c r="K29" s="158">
        <f ca="1">OFFSET(Org_dat!$D$5,$H29,0)</f>
        <v>84.686104276473031</v>
      </c>
      <c r="L29" s="34">
        <f ca="1">OFFSET(Org_dat!$E$5,$H29,0)</f>
        <v>971195</v>
      </c>
      <c r="M29" s="34">
        <f ca="1">OFFSET(Org_dat!$F$5,$H29,0)</f>
        <v>709950.76</v>
      </c>
      <c r="N29" s="35">
        <f ca="1">OFFSET(Org_dat!$G$5,$H29,0)</f>
        <v>0.73100742899211801</v>
      </c>
      <c r="O29" s="35">
        <f ca="1">OFFSET(Org_dat!$H$5,$H29,0)</f>
        <v>0.25240000000000001</v>
      </c>
      <c r="P29" s="34">
        <f ca="1">OFFSET(Org_dat!$I$5,$H29,0)</f>
        <v>196658.23</v>
      </c>
      <c r="Q29" s="35">
        <f ca="1">OFFSET(Org_dat!$J$5,$H29,0)</f>
        <v>0.20249098275835442</v>
      </c>
      <c r="R29" s="35">
        <f ca="1">OFFSET(Org_dat!$K$5,$H29,0)</f>
        <v>0.80226221378111884</v>
      </c>
      <c r="S29" s="34">
        <f ca="1">OFFSET(Org_dat!$L$5,$H29,0)</f>
        <v>49348.52</v>
      </c>
      <c r="T29" s="35">
        <f ca="1">OFFSET(Org_dat!$M$5,$H29,0)</f>
        <v>0.20059823561751861</v>
      </c>
      <c r="W29" s="36" t="e">
        <f ca="1">IF('II. Sledování projektu'!J31&gt;=$N$7,'II. Sledování projektu'!J31,NA())</f>
        <v>#N/A</v>
      </c>
      <c r="X29" s="36">
        <f ca="1">IF('II. Sledování projektu'!J31&lt;$N$7,'II. Sledování projektu'!J31,NA())</f>
        <v>0.73100742899211801</v>
      </c>
      <c r="Y29" s="36">
        <f t="shared" ca="1" si="2"/>
        <v>0</v>
      </c>
      <c r="Z29" s="36">
        <f t="shared" ca="1" si="3"/>
        <v>91.216200362469337</v>
      </c>
      <c r="AB29" s="36" t="e">
        <f ca="1">IF('II. Sledování projektu'!O31&gt;=$R$8,'II. Sledování projektu'!O31,NA())</f>
        <v>#N/A</v>
      </c>
      <c r="AC29" s="36">
        <f ca="1">IF('II. Sledování projektu'!O31&lt;$R$8,'II. Sledování projektu'!O31,NA())</f>
        <v>0.80226221378111884</v>
      </c>
      <c r="AD29" s="36">
        <f t="shared" ca="1" si="4"/>
        <v>0</v>
      </c>
      <c r="AE29" s="36">
        <f t="shared" ca="1" si="5"/>
        <v>2.2968499818496859</v>
      </c>
      <c r="AG29" s="36">
        <f ca="1">IF('II. Sledování projektu'!R31&gt;=$T$7,'II. Sledování projektu'!R31,NA())</f>
        <v>0.20059823561751861</v>
      </c>
      <c r="AH29" s="36" t="e">
        <f ca="1">IF('II. Sledování projektu'!R31&lt;$T$7,'II. Sledování projektu'!R31,NA())</f>
        <v>#N/A</v>
      </c>
      <c r="AI29" s="36">
        <f t="shared" ca="1" si="6"/>
        <v>0</v>
      </c>
      <c r="AJ29" s="36">
        <f t="shared" ca="1" si="7"/>
        <v>0.87606844638229608</v>
      </c>
      <c r="AK29" s="19">
        <v>20</v>
      </c>
    </row>
    <row r="30" spans="2:37" x14ac:dyDescent="0.2">
      <c r="B30" s="342">
        <f>Org_dat!K26+(C30/100000)</f>
        <v>9.2148451048346777E-2</v>
      </c>
      <c r="C30" s="31">
        <f>Org_dat!B26</f>
        <v>21</v>
      </c>
      <c r="D30" s="32" t="str">
        <f>Org_dat!C26</f>
        <v>ZŠ a MŠ O-Bělský Les</v>
      </c>
      <c r="E30" s="33">
        <f ca="1">OFFSET(Org_dat!$C26,0,OrgSortCriteria)</f>
        <v>17.210415786264669</v>
      </c>
      <c r="F30" s="33">
        <f t="shared" ca="1" si="8"/>
        <v>17.210415786356815</v>
      </c>
      <c r="G30" s="33">
        <f t="shared" ca="1" si="0"/>
        <v>84.180122936857259</v>
      </c>
      <c r="H30" s="31">
        <f t="shared" ca="1" si="1"/>
        <v>71</v>
      </c>
      <c r="J30" s="32" t="str">
        <f ca="1">OFFSET(Org_dat!$C$5,$H30,0)</f>
        <v>MŠ O-Poruba, V.Makovského</v>
      </c>
      <c r="K30" s="158">
        <f ca="1">OFFSET(Org_dat!$D$5,$H30,0)</f>
        <v>84.180122936120213</v>
      </c>
      <c r="L30" s="34">
        <f ca="1">OFFSET(Org_dat!$E$5,$H30,0)</f>
        <v>1177500</v>
      </c>
      <c r="M30" s="34">
        <f ca="1">OFFSET(Org_dat!$F$5,$H30,0)</f>
        <v>1321169.6099999999</v>
      </c>
      <c r="N30" s="35">
        <f ca="1">OFFSET(Org_dat!$G$5,$H30,0)</f>
        <v>1.122012407643312</v>
      </c>
      <c r="O30" s="35">
        <f ca="1">OFFSET(Org_dat!$H$5,$H30,0)</f>
        <v>0.25750000000000001</v>
      </c>
      <c r="P30" s="34">
        <f ca="1">OFFSET(Org_dat!$I$5,$H30,0)</f>
        <v>223261.49</v>
      </c>
      <c r="Q30" s="35">
        <f ca="1">OFFSET(Org_dat!$J$5,$H30,0)</f>
        <v>0.18960636093418259</v>
      </c>
      <c r="R30" s="35">
        <f ca="1">OFFSET(Org_dat!$K$5,$H30,0)</f>
        <v>0.73633538226867024</v>
      </c>
      <c r="S30" s="34">
        <f ca="1">OFFSET(Org_dat!$L$5,$H30,0)</f>
        <v>81234.47</v>
      </c>
      <c r="T30" s="35">
        <f ca="1">OFFSET(Org_dat!$M$5,$H30,0)</f>
        <v>0.26678340822649999</v>
      </c>
      <c r="W30" s="36">
        <f ca="1">IF('II. Sledování projektu'!J32&gt;=$N$7,'II. Sledování projektu'!J32,NA())</f>
        <v>1.122012407643312</v>
      </c>
      <c r="X30" s="36" t="e">
        <f ca="1">IF('II. Sledování projektu'!J32&lt;$N$7,'II. Sledování projektu'!J32,NA())</f>
        <v>#N/A</v>
      </c>
      <c r="Y30" s="36">
        <f t="shared" ca="1" si="2"/>
        <v>0</v>
      </c>
      <c r="Z30" s="36">
        <f t="shared" ca="1" si="3"/>
        <v>91.216200362469337</v>
      </c>
      <c r="AB30" s="36" t="e">
        <f ca="1">IF('II. Sledování projektu'!O32&gt;=$R$8,'II. Sledování projektu'!O32,NA())</f>
        <v>#N/A</v>
      </c>
      <c r="AC30" s="36">
        <f ca="1">IF('II. Sledování projektu'!O32&lt;$R$8,'II. Sledování projektu'!O32,NA())</f>
        <v>0.73633538226867024</v>
      </c>
      <c r="AD30" s="36">
        <f t="shared" ca="1" si="4"/>
        <v>0</v>
      </c>
      <c r="AE30" s="36">
        <f t="shared" ca="1" si="5"/>
        <v>2.2968499818496859</v>
      </c>
      <c r="AG30" s="36">
        <f ca="1">IF('II. Sledování projektu'!R32&gt;=$T$7,'II. Sledování projektu'!R32,NA())</f>
        <v>0.26678340822649999</v>
      </c>
      <c r="AH30" s="36" t="e">
        <f ca="1">IF('II. Sledování projektu'!R32&lt;$T$7,'II. Sledování projektu'!R32,NA())</f>
        <v>#N/A</v>
      </c>
      <c r="AI30" s="36">
        <f t="shared" ca="1" si="6"/>
        <v>0</v>
      </c>
      <c r="AJ30" s="36">
        <f t="shared" ca="1" si="7"/>
        <v>0.87606844638229608</v>
      </c>
      <c r="AK30" s="19">
        <v>21</v>
      </c>
    </row>
    <row r="31" spans="2:37" x14ac:dyDescent="0.2">
      <c r="B31" s="342">
        <f>Org_dat!K27+(C31/100000)</f>
        <v>0.48273644655462744</v>
      </c>
      <c r="C31" s="31">
        <f>Org_dat!B27</f>
        <v>22</v>
      </c>
      <c r="D31" s="32" t="str">
        <f>Org_dat!C27</f>
        <v>ZŠ a MŠ O-Hrabůvka, A.Kučery</v>
      </c>
      <c r="E31" s="33">
        <f ca="1">OFFSET(Org_dat!$C27,0,OrgSortCriteria)</f>
        <v>45.644605282149065</v>
      </c>
      <c r="F31" s="33">
        <f t="shared" ca="1" si="8"/>
        <v>45.644605282631801</v>
      </c>
      <c r="G31" s="33">
        <f t="shared" ca="1" si="0"/>
        <v>83.715842407404381</v>
      </c>
      <c r="H31" s="31">
        <f t="shared" ca="1" si="1"/>
        <v>159</v>
      </c>
      <c r="J31" s="32" t="str">
        <f ca="1">OFFSET(Org_dat!$C$5,$H31,0)</f>
        <v>ZŠ O-Poruba, Komenského</v>
      </c>
      <c r="K31" s="158">
        <f ca="1">OFFSET(Org_dat!$D$5,$H31,0)</f>
        <v>83.715842406674199</v>
      </c>
      <c r="L31" s="34">
        <f ca="1">OFFSET(Org_dat!$E$5,$H31,0)</f>
        <v>2432000</v>
      </c>
      <c r="M31" s="34">
        <f ca="1">OFFSET(Org_dat!$F$5,$H31,0)</f>
        <v>2227584.44</v>
      </c>
      <c r="N31" s="35">
        <f ca="1">OFFSET(Org_dat!$G$5,$H31,0)</f>
        <v>0.91594754934210521</v>
      </c>
      <c r="O31" s="35">
        <f ca="1">OFFSET(Org_dat!$H$5,$H31,0)</f>
        <v>0.17680000000000001</v>
      </c>
      <c r="P31" s="34">
        <f ca="1">OFFSET(Org_dat!$I$5,$H31,0)</f>
        <v>313280.55</v>
      </c>
      <c r="Q31" s="35">
        <f ca="1">OFFSET(Org_dat!$J$5,$H31,0)</f>
        <v>0.128816015625</v>
      </c>
      <c r="R31" s="35">
        <f ca="1">OFFSET(Org_dat!$K$5,$H31,0)</f>
        <v>0.7285973734445701</v>
      </c>
      <c r="S31" s="34">
        <f ca="1">OFFSET(Org_dat!$L$5,$H31,0)</f>
        <v>93802.68</v>
      </c>
      <c r="T31" s="35">
        <f ca="1">OFFSET(Org_dat!$M$5,$H31,0)</f>
        <v>0.2304262939055485</v>
      </c>
      <c r="W31" s="36">
        <f ca="1">IF('II. Sledování projektu'!J33&gt;=$N$7,'II. Sledování projektu'!J33,NA())</f>
        <v>0.91594754934210521</v>
      </c>
      <c r="X31" s="36" t="e">
        <f ca="1">IF('II. Sledování projektu'!J33&lt;$N$7,'II. Sledování projektu'!J33,NA())</f>
        <v>#N/A</v>
      </c>
      <c r="Y31" s="36">
        <f t="shared" ca="1" si="2"/>
        <v>0</v>
      </c>
      <c r="Z31" s="36">
        <f t="shared" ca="1" si="3"/>
        <v>91.216200362469337</v>
      </c>
      <c r="AB31" s="36" t="e">
        <f ca="1">IF('II. Sledování projektu'!O33&gt;=$R$8,'II. Sledování projektu'!O33,NA())</f>
        <v>#N/A</v>
      </c>
      <c r="AC31" s="36">
        <f ca="1">IF('II. Sledování projektu'!O33&lt;$R$8,'II. Sledování projektu'!O33,NA())</f>
        <v>0.7285973734445701</v>
      </c>
      <c r="AD31" s="36">
        <f t="shared" ca="1" si="4"/>
        <v>0</v>
      </c>
      <c r="AE31" s="36">
        <f t="shared" ca="1" si="5"/>
        <v>2.2968499818496859</v>
      </c>
      <c r="AG31" s="36">
        <f ca="1">IF('II. Sledování projektu'!R33&gt;=$T$7,'II. Sledování projektu'!R33,NA())</f>
        <v>0.2304262939055485</v>
      </c>
      <c r="AH31" s="36" t="e">
        <f ca="1">IF('II. Sledování projektu'!R33&lt;$T$7,'II. Sledování projektu'!R33,NA())</f>
        <v>#N/A</v>
      </c>
      <c r="AI31" s="36">
        <f t="shared" ca="1" si="6"/>
        <v>0</v>
      </c>
      <c r="AJ31" s="36">
        <f t="shared" ca="1" si="7"/>
        <v>0.87606844638229608</v>
      </c>
      <c r="AK31" s="19">
        <v>22</v>
      </c>
    </row>
    <row r="32" spans="2:37" x14ac:dyDescent="0.2">
      <c r="B32" s="342">
        <f>Org_dat!K28+(C32/100000)</f>
        <v>1.4125922819640842</v>
      </c>
      <c r="C32" s="31">
        <f>Org_dat!B28</f>
        <v>23</v>
      </c>
      <c r="D32" s="32" t="str">
        <f>Org_dat!C28</f>
        <v>ZŠ MO a Přívoz, Matiční</v>
      </c>
      <c r="E32" s="33">
        <f ca="1">OFFSET(Org_dat!$C28,0,OrgSortCriteria)</f>
        <v>90.365100705580502</v>
      </c>
      <c r="F32" s="33">
        <f t="shared" ca="1" si="8"/>
        <v>90.36510070699309</v>
      </c>
      <c r="G32" s="33">
        <f t="shared" ca="1" si="0"/>
        <v>83.221939368275827</v>
      </c>
      <c r="H32" s="31">
        <f t="shared" ca="1" si="1"/>
        <v>24</v>
      </c>
      <c r="J32" s="32" t="str">
        <f ca="1">OFFSET(Org_dat!$C$5,$H32,0)</f>
        <v>Centrum sociálních služeb Poruba</v>
      </c>
      <c r="K32" s="158">
        <f ca="1">OFFSET(Org_dat!$D$5,$H32,0)</f>
        <v>83.221939367487295</v>
      </c>
      <c r="L32" s="34">
        <f ca="1">OFFSET(Org_dat!$E$5,$H32,0)</f>
        <v>2019750</v>
      </c>
      <c r="M32" s="34">
        <f ca="1">OFFSET(Org_dat!$F$5,$H32,0)</f>
        <v>1451181.7400000002</v>
      </c>
      <c r="N32" s="35">
        <f ca="1">OFFSET(Org_dat!$G$5,$H32,0)</f>
        <v>0.71849572471840584</v>
      </c>
      <c r="O32" s="35">
        <f ca="1">OFFSET(Org_dat!$H$5,$H32,0)</f>
        <v>0.14353952548280566</v>
      </c>
      <c r="P32" s="34">
        <f ca="1">OFFSET(Org_dat!$I$5,$H32,0)</f>
        <v>228535.08000000002</v>
      </c>
      <c r="Q32" s="35">
        <f ca="1">OFFSET(Org_dat!$J$5,$H32,0)</f>
        <v>0.11315018195321204</v>
      </c>
      <c r="R32" s="35">
        <f ca="1">OFFSET(Org_dat!$K$5,$H32,0)</f>
        <v>0.78828588552611656</v>
      </c>
      <c r="S32" s="34">
        <f ca="1">OFFSET(Org_dat!$L$5,$H32,0)</f>
        <v>55763.48</v>
      </c>
      <c r="T32" s="35">
        <f ca="1">OFFSET(Org_dat!$M$5,$H32,0)</f>
        <v>0.19614408177093828</v>
      </c>
      <c r="W32" s="36" t="e">
        <f ca="1">IF('II. Sledování projektu'!J34&gt;=$N$7,'II. Sledování projektu'!J34,NA())</f>
        <v>#N/A</v>
      </c>
      <c r="X32" s="36">
        <f ca="1">IF('II. Sledování projektu'!J34&lt;$N$7,'II. Sledování projektu'!J34,NA())</f>
        <v>0.71849572471840584</v>
      </c>
      <c r="Y32" s="36">
        <f t="shared" ca="1" si="2"/>
        <v>0</v>
      </c>
      <c r="Z32" s="36">
        <f t="shared" ca="1" si="3"/>
        <v>91.216200362469337</v>
      </c>
      <c r="AB32" s="36" t="e">
        <f ca="1">IF('II. Sledování projektu'!O34&gt;=$R$8,'II. Sledování projektu'!O34,NA())</f>
        <v>#N/A</v>
      </c>
      <c r="AC32" s="36">
        <f ca="1">IF('II. Sledování projektu'!O34&lt;$R$8,'II. Sledování projektu'!O34,NA())</f>
        <v>0.78828588552611656</v>
      </c>
      <c r="AD32" s="36">
        <f t="shared" ca="1" si="4"/>
        <v>0</v>
      </c>
      <c r="AE32" s="36">
        <f t="shared" ca="1" si="5"/>
        <v>2.2968499818496859</v>
      </c>
      <c r="AG32" s="36">
        <f ca="1">IF('II. Sledování projektu'!R34&gt;=$T$7,'II. Sledování projektu'!R34,NA())</f>
        <v>0.19614408177093828</v>
      </c>
      <c r="AH32" s="36" t="e">
        <f ca="1">IF('II. Sledování projektu'!R34&lt;$T$7,'II. Sledování projektu'!R34,NA())</f>
        <v>#N/A</v>
      </c>
      <c r="AI32" s="36">
        <f t="shared" ca="1" si="6"/>
        <v>0</v>
      </c>
      <c r="AJ32" s="36">
        <f t="shared" ca="1" si="7"/>
        <v>0.87606844638229608</v>
      </c>
      <c r="AK32" s="19">
        <v>23</v>
      </c>
    </row>
    <row r="33" spans="2:37" x14ac:dyDescent="0.2">
      <c r="B33" s="342">
        <f>Org_dat!K29+(C33/100000)</f>
        <v>0.78852588552611658</v>
      </c>
      <c r="C33" s="31">
        <f>Org_dat!B29</f>
        <v>24</v>
      </c>
      <c r="D33" s="32" t="str">
        <f>Org_dat!C29</f>
        <v>Centrum sociálních služeb Poruba</v>
      </c>
      <c r="E33" s="33">
        <f ca="1">OFFSET(Org_dat!$C29,0,OrgSortCriteria)</f>
        <v>83.221939367487295</v>
      </c>
      <c r="F33" s="33">
        <f t="shared" ca="1" si="8"/>
        <v>83.221939368275827</v>
      </c>
      <c r="G33" s="33">
        <f t="shared" ca="1" si="0"/>
        <v>83.071674702426947</v>
      </c>
      <c r="H33" s="31">
        <f t="shared" ca="1" si="1"/>
        <v>5</v>
      </c>
      <c r="J33" s="32" t="str">
        <f ca="1">OFFSET(Org_dat!$C$5,$H33,0)</f>
        <v>Národní divadlo Moravskoslezské</v>
      </c>
      <c r="K33" s="158">
        <f ca="1">OFFSET(Org_dat!$D$5,$H33,0)</f>
        <v>83.071674701695315</v>
      </c>
      <c r="L33" s="34">
        <f ca="1">OFFSET(Org_dat!$E$5,$H33,0)</f>
        <v>34298000</v>
      </c>
      <c r="M33" s="34">
        <f ca="1">OFFSET(Org_dat!$F$5,$H33,0)</f>
        <v>26873820.669999998</v>
      </c>
      <c r="N33" s="35">
        <f ca="1">OFFSET(Org_dat!$G$5,$H33,0)</f>
        <v>0.7835390013994985</v>
      </c>
      <c r="O33" s="35">
        <f ca="1">OFFSET(Org_dat!$H$5,$H33,0)</f>
        <v>9.8124220413000354E-2</v>
      </c>
      <c r="P33" s="34">
        <f ca="1">OFFSET(Org_dat!$I$5,$H33,0)</f>
        <v>2462102.2999999998</v>
      </c>
      <c r="Q33" s="35">
        <f ca="1">OFFSET(Org_dat!$J$5,$H33,0)</f>
        <v>7.1785593912181464E-2</v>
      </c>
      <c r="R33" s="35">
        <f ca="1">OFFSET(Org_dat!$K$5,$H33,0)</f>
        <v>0.7315787438620065</v>
      </c>
      <c r="S33" s="34">
        <f ca="1">OFFSET(Org_dat!$L$5,$H33,0)</f>
        <v>1159910.2400000002</v>
      </c>
      <c r="T33" s="35">
        <f ca="1">OFFSET(Org_dat!$M$5,$H33,0)</f>
        <v>0.3202391563227443</v>
      </c>
      <c r="W33" s="36" t="e">
        <f ca="1">IF('II. Sledování projektu'!J35&gt;=$N$7,'II. Sledování projektu'!J35,NA())</f>
        <v>#N/A</v>
      </c>
      <c r="X33" s="36">
        <f ca="1">IF('II. Sledování projektu'!J35&lt;$N$7,'II. Sledování projektu'!J35,NA())</f>
        <v>0.7835390013994985</v>
      </c>
      <c r="Y33" s="36">
        <f t="shared" ca="1" si="2"/>
        <v>0</v>
      </c>
      <c r="Z33" s="36">
        <f t="shared" ca="1" si="3"/>
        <v>91.216200362469337</v>
      </c>
      <c r="AB33" s="36" t="e">
        <f ca="1">IF('II. Sledování projektu'!O35&gt;=$R$8,'II. Sledování projektu'!O35,NA())</f>
        <v>#N/A</v>
      </c>
      <c r="AC33" s="36">
        <f ca="1">IF('II. Sledování projektu'!O35&lt;$R$8,'II. Sledování projektu'!O35,NA())</f>
        <v>0.7315787438620065</v>
      </c>
      <c r="AD33" s="36">
        <f t="shared" ca="1" si="4"/>
        <v>0</v>
      </c>
      <c r="AE33" s="36">
        <f t="shared" ca="1" si="5"/>
        <v>2.2968499818496859</v>
      </c>
      <c r="AG33" s="36">
        <f ca="1">IF('II. Sledování projektu'!R35&gt;=$T$7,'II. Sledování projektu'!R35,NA())</f>
        <v>0.3202391563227443</v>
      </c>
      <c r="AH33" s="36" t="e">
        <f ca="1">IF('II. Sledování projektu'!R35&lt;$T$7,'II. Sledování projektu'!R35,NA())</f>
        <v>#N/A</v>
      </c>
      <c r="AI33" s="36">
        <f t="shared" ca="1" si="6"/>
        <v>0</v>
      </c>
      <c r="AJ33" s="36">
        <f t="shared" ca="1" si="7"/>
        <v>0.87606844638229608</v>
      </c>
      <c r="AK33" s="19">
        <v>24</v>
      </c>
    </row>
    <row r="34" spans="2:37" x14ac:dyDescent="0.2">
      <c r="B34" s="342">
        <f>Org_dat!K30+(C34/100000)</f>
        <v>0.76497037705583104</v>
      </c>
      <c r="C34" s="31">
        <f>Org_dat!B30</f>
        <v>25</v>
      </c>
      <c r="D34" s="32" t="str">
        <f>Org_dat!C30</f>
        <v>DK POKLAD</v>
      </c>
      <c r="E34" s="33">
        <f ca="1">OFFSET(Org_dat!$C30,0,OrgSortCriteria)</f>
        <v>45.883222623349866</v>
      </c>
      <c r="F34" s="33">
        <f t="shared" ca="1" si="8"/>
        <v>45.883222624114836</v>
      </c>
      <c r="G34" s="33">
        <f t="shared" ca="1" si="0"/>
        <v>82.884128294922931</v>
      </c>
      <c r="H34" s="31">
        <f t="shared" ca="1" si="1"/>
        <v>36</v>
      </c>
      <c r="J34" s="32" t="str">
        <f ca="1">OFFSET(Org_dat!$C$5,$H34,0)</f>
        <v>Krematorium Ostrava</v>
      </c>
      <c r="K34" s="158">
        <f ca="1">OFFSET(Org_dat!$D$5,$H34,0)</f>
        <v>82.88412829403606</v>
      </c>
      <c r="L34" s="34">
        <f ca="1">OFFSET(Org_dat!$E$5,$H34,0)</f>
        <v>2163000</v>
      </c>
      <c r="M34" s="34">
        <f ca="1">OFFSET(Org_dat!$F$5,$H34,0)</f>
        <v>1284539.71</v>
      </c>
      <c r="N34" s="35">
        <f ca="1">OFFSET(Org_dat!$G$5,$H34,0)</f>
        <v>0.59386949144706425</v>
      </c>
      <c r="O34" s="35">
        <f ca="1">OFFSET(Org_dat!$H$5,$H34,0)</f>
        <v>0.3</v>
      </c>
      <c r="P34" s="34">
        <f ca="1">OFFSET(Org_dat!$I$5,$H34,0)</f>
        <v>575256.92000000004</v>
      </c>
      <c r="Q34" s="35">
        <f ca="1">OFFSET(Org_dat!$J$5,$H34,0)</f>
        <v>0.26595326860841428</v>
      </c>
      <c r="R34" s="35">
        <f ca="1">OFFSET(Org_dat!$K$5,$H34,0)</f>
        <v>0.88651089536138084</v>
      </c>
      <c r="S34" s="34">
        <f ca="1">OFFSET(Org_dat!$L$5,$H34,0)</f>
        <v>250329.66</v>
      </c>
      <c r="T34" s="35">
        <f ca="1">OFFSET(Org_dat!$M$5,$H34,0)</f>
        <v>0.30321430370149666</v>
      </c>
      <c r="W34" s="37" t="e">
        <f ca="1">IF('II. Sledování projektu'!J36&gt;=$N$7,'II. Sledování projektu'!J36,NA())</f>
        <v>#N/A</v>
      </c>
      <c r="X34" s="37">
        <f ca="1">IF('II. Sledování projektu'!J36&lt;$N$7,'II. Sledování projektu'!J36,NA())</f>
        <v>0.59386949144706425</v>
      </c>
      <c r="Y34" s="37">
        <f t="shared" ca="1" si="2"/>
        <v>0</v>
      </c>
      <c r="Z34" s="37">
        <f t="shared" ca="1" si="3"/>
        <v>91.216200362469337</v>
      </c>
      <c r="AB34" s="37" t="e">
        <f ca="1">IF('II. Sledování projektu'!O36&gt;=$R$8,'II. Sledování projektu'!O36,NA())</f>
        <v>#N/A</v>
      </c>
      <c r="AC34" s="37">
        <f ca="1">IF('II. Sledování projektu'!O36&lt;$R$8,'II. Sledování projektu'!O36,NA())</f>
        <v>0.88651089536138084</v>
      </c>
      <c r="AD34" s="37">
        <f t="shared" ca="1" si="4"/>
        <v>0</v>
      </c>
      <c r="AE34" s="37">
        <f t="shared" ca="1" si="5"/>
        <v>2.2968499818496859</v>
      </c>
      <c r="AG34" s="37">
        <f ca="1">IF('II. Sledování projektu'!R36&gt;=$T$7,'II. Sledování projektu'!R36,NA())</f>
        <v>0.30321430370149666</v>
      </c>
      <c r="AH34" s="37" t="e">
        <f ca="1">IF('II. Sledování projektu'!R36&lt;$T$7,'II. Sledování projektu'!R36,NA())</f>
        <v>#N/A</v>
      </c>
      <c r="AI34" s="37">
        <f t="shared" ca="1" si="6"/>
        <v>0</v>
      </c>
      <c r="AJ34" s="37">
        <f t="shared" ca="1" si="7"/>
        <v>0.87606844638229608</v>
      </c>
      <c r="AK34" s="19">
        <v>25</v>
      </c>
    </row>
    <row r="35" spans="2:37" x14ac:dyDescent="0.2">
      <c r="B35" s="342">
        <f>Org_dat!K31+(C35/100000)</f>
        <v>0.84696729960117856</v>
      </c>
      <c r="C35" s="31">
        <f>Org_dat!B31</f>
        <v>26</v>
      </c>
      <c r="D35" s="32" t="str">
        <f>Org_dat!C31</f>
        <v>Domov Sluníčko</v>
      </c>
      <c r="E35" s="33">
        <f ca="1">OFFSET(Org_dat!$C31,0,OrgSortCriteria)</f>
        <v>85.090595546493248</v>
      </c>
      <c r="F35" s="33">
        <f t="shared" ca="1" si="8"/>
        <v>85.090595547340214</v>
      </c>
      <c r="G35" s="33">
        <f t="shared" ca="1" si="0"/>
        <v>82.738241214606973</v>
      </c>
      <c r="H35" s="31">
        <f t="shared" ca="1" si="1"/>
        <v>64</v>
      </c>
      <c r="J35" s="32" t="str">
        <f ca="1">OFFSET(Org_dat!$C$5,$H35,0)</f>
        <v>MŠ O-Poruba, Dětská</v>
      </c>
      <c r="K35" s="158">
        <f ca="1">OFFSET(Org_dat!$D$5,$H35,0)</f>
        <v>82.738241213618011</v>
      </c>
      <c r="L35" s="34">
        <f ca="1">OFFSET(Org_dat!$E$5,$H35,0)</f>
        <v>1202439.8500000001</v>
      </c>
      <c r="M35" s="34">
        <f ca="1">OFFSET(Org_dat!$F$5,$H35,0)</f>
        <v>563684.49</v>
      </c>
      <c r="N35" s="35">
        <f ca="1">OFFSET(Org_dat!$G$5,$H35,0)</f>
        <v>0.46878393958749781</v>
      </c>
      <c r="O35" s="35">
        <f ca="1">OFFSET(Org_dat!$H$5,$H35,0)</f>
        <v>0.23039999999999999</v>
      </c>
      <c r="P35" s="34">
        <f ca="1">OFFSET(Org_dat!$I$5,$H35,0)</f>
        <v>273805.57</v>
      </c>
      <c r="Q35" s="35">
        <f ca="1">OFFSET(Org_dat!$J$5,$H35,0)</f>
        <v>0.22770832985949357</v>
      </c>
      <c r="R35" s="35">
        <f ca="1">OFFSET(Org_dat!$K$5,$H35,0)</f>
        <v>0.98831740390405198</v>
      </c>
      <c r="S35" s="34">
        <f ca="1">OFFSET(Org_dat!$L$5,$H35,0)</f>
        <v>93726.63</v>
      </c>
      <c r="T35" s="35">
        <f ca="1">OFFSET(Org_dat!$M$5,$H35,0)</f>
        <v>0.25501610471136948</v>
      </c>
    </row>
    <row r="36" spans="2:37" x14ac:dyDescent="0.2">
      <c r="B36" s="342">
        <f>Org_dat!K32+(C36/100000)</f>
        <v>0.75861777032491318</v>
      </c>
      <c r="C36" s="31">
        <f>Org_dat!B32</f>
        <v>27</v>
      </c>
      <c r="D36" s="32" t="str">
        <f>Org_dat!C32</f>
        <v>Domov Slunovrat</v>
      </c>
      <c r="E36" s="33">
        <f ca="1">OFFSET(Org_dat!$C32,0,OrgSortCriteria)</f>
        <v>60.754393958422526</v>
      </c>
      <c r="F36" s="33">
        <f t="shared" ca="1" si="8"/>
        <v>60.754393959181144</v>
      </c>
      <c r="G36" s="33">
        <f t="shared" ca="1" si="0"/>
        <v>82.15203179567979</v>
      </c>
      <c r="H36" s="31">
        <f t="shared" ca="1" si="1"/>
        <v>95</v>
      </c>
      <c r="J36" s="32" t="str">
        <f ca="1">OFFSET(Org_dat!$C$5,$H36,0)</f>
        <v>Středisko volného času Ostrava</v>
      </c>
      <c r="K36" s="158">
        <f ca="1">OFFSET(Org_dat!$D$5,$H36,0)</f>
        <v>82.152031794962127</v>
      </c>
      <c r="L36" s="34">
        <f ca="1">OFFSET(Org_dat!$E$5,$H36,0)</f>
        <v>1622000</v>
      </c>
      <c r="M36" s="34">
        <f ca="1">OFFSET(Org_dat!$F$5,$H36,0)</f>
        <v>1270016.54</v>
      </c>
      <c r="N36" s="35">
        <f ca="1">OFFSET(Org_dat!$G$5,$H36,0)</f>
        <v>0.78299416769420471</v>
      </c>
      <c r="O36" s="35">
        <f ca="1">OFFSET(Org_dat!$H$5,$H36,0)</f>
        <v>0.14000000000000001</v>
      </c>
      <c r="P36" s="34">
        <f ca="1">OFFSET(Org_dat!$I$5,$H36,0)</f>
        <v>162749.46000000002</v>
      </c>
      <c r="Q36" s="35">
        <f ca="1">OFFSET(Org_dat!$J$5,$H36,0)</f>
        <v>0.1003387546239211</v>
      </c>
      <c r="R36" s="35">
        <f ca="1">OFFSET(Org_dat!$K$5,$H36,0)</f>
        <v>0.71670539017086488</v>
      </c>
      <c r="S36" s="34">
        <f ca="1">OFFSET(Org_dat!$L$5,$H36,0)</f>
        <v>52723.26</v>
      </c>
      <c r="T36" s="35">
        <f ca="1">OFFSET(Org_dat!$M$5,$H36,0)</f>
        <v>0.24468647353595385</v>
      </c>
    </row>
    <row r="37" spans="2:37" x14ac:dyDescent="0.2">
      <c r="B37" s="342">
        <f>Org_dat!K33+(C37/100000)</f>
        <v>0.68307918008106538</v>
      </c>
      <c r="C37" s="31">
        <f>Org_dat!B33</f>
        <v>28</v>
      </c>
      <c r="D37" s="32" t="str">
        <f>Org_dat!C33</f>
        <v>DPS Iris</v>
      </c>
      <c r="E37" s="33">
        <f ca="1">OFFSET(Org_dat!$C33,0,OrgSortCriteria)</f>
        <v>80.967950804863932</v>
      </c>
      <c r="F37" s="33">
        <f t="shared" ca="1" si="8"/>
        <v>80.967950805547005</v>
      </c>
      <c r="G37" s="33">
        <f t="shared" ca="1" si="0"/>
        <v>81.879169773207437</v>
      </c>
      <c r="H37" s="31">
        <f t="shared" ca="1" si="1"/>
        <v>9</v>
      </c>
      <c r="J37" s="32" t="str">
        <f ca="1">OFFSET(Org_dat!$C$5,$H37,0)</f>
        <v>Dětské centrum Domeček</v>
      </c>
      <c r="K37" s="158">
        <f ca="1">OFFSET(Org_dat!$D$5,$H37,0)</f>
        <v>81.879169772417328</v>
      </c>
      <c r="L37" s="34">
        <f ca="1">OFFSET(Org_dat!$E$5,$H37,0)</f>
        <v>5093500</v>
      </c>
      <c r="M37" s="34">
        <f ca="1">OFFSET(Org_dat!$F$5,$H37,0)</f>
        <v>3512297.48</v>
      </c>
      <c r="N37" s="35">
        <f ca="1">OFFSET(Org_dat!$G$5,$H37,0)</f>
        <v>0.68956463728281148</v>
      </c>
      <c r="O37" s="35">
        <f ca="1">OFFSET(Org_dat!$H$5,$H37,0)</f>
        <v>0.31910743587956197</v>
      </c>
      <c r="P37" s="34">
        <f ca="1">OFFSET(Org_dat!$I$5,$H37,0)</f>
        <v>1284070.6499999999</v>
      </c>
      <c r="Q37" s="35">
        <f ca="1">OFFSET(Org_dat!$J$5,$H37,0)</f>
        <v>0.25209986256994205</v>
      </c>
      <c r="R37" s="35">
        <f ca="1">OFFSET(Org_dat!$K$5,$H37,0)</f>
        <v>0.79001563180461254</v>
      </c>
      <c r="S37" s="34">
        <f ca="1">OFFSET(Org_dat!$L$5,$H37,0)</f>
        <v>380264.26</v>
      </c>
      <c r="T37" s="35">
        <f ca="1">OFFSET(Org_dat!$M$5,$H37,0)</f>
        <v>0.22847820935270777</v>
      </c>
    </row>
    <row r="38" spans="2:37" x14ac:dyDescent="0.2">
      <c r="B38" s="342">
        <f>Org_dat!K34+(C38/100000)</f>
        <v>0.91654757569168743</v>
      </c>
      <c r="C38" s="31">
        <f>Org_dat!B34</f>
        <v>29</v>
      </c>
      <c r="D38" s="32" t="str">
        <f>Org_dat!C34</f>
        <v>DPS Kamenec</v>
      </c>
      <c r="E38" s="33">
        <f ca="1">OFFSET(Org_dat!$C34,0,OrgSortCriteria)</f>
        <v>94.97545454150125</v>
      </c>
      <c r="F38" s="33">
        <f t="shared" ca="1" si="8"/>
        <v>94.975454542417793</v>
      </c>
      <c r="G38" s="33">
        <f t="shared" ca="1" si="0"/>
        <v>81.490912286359887</v>
      </c>
      <c r="H38" s="31">
        <f t="shared" ca="1" si="1"/>
        <v>31</v>
      </c>
      <c r="J38" s="32" t="str">
        <f ca="1">OFFSET(Org_dat!$C$5,$H38,0)</f>
        <v>Dům kultury Ostrava</v>
      </c>
      <c r="K38" s="158">
        <f ca="1">OFFSET(Org_dat!$D$5,$H38,0)</f>
        <v>81.49091228566806</v>
      </c>
      <c r="L38" s="34">
        <f ca="1">OFFSET(Org_dat!$E$5,$H38,0)</f>
        <v>8848095.5</v>
      </c>
      <c r="M38" s="34">
        <f ca="1">OFFSET(Org_dat!$F$5,$H38,0)</f>
        <v>7258549.4900000002</v>
      </c>
      <c r="N38" s="35">
        <f ca="1">OFFSET(Org_dat!$G$5,$H38,0)</f>
        <v>0.82035162143084916</v>
      </c>
      <c r="O38" s="35">
        <f ca="1">OFFSET(Org_dat!$H$5,$H38,0)</f>
        <v>7.0000000000000007E-2</v>
      </c>
      <c r="P38" s="34">
        <f ca="1">OFFSET(Org_dat!$I$5,$H38,0)</f>
        <v>428301.48</v>
      </c>
      <c r="Q38" s="35">
        <f ca="1">OFFSET(Org_dat!$J$5,$H38,0)</f>
        <v>4.8406064333279403E-2</v>
      </c>
      <c r="R38" s="35">
        <f ca="1">OFFSET(Org_dat!$K$5,$H38,0)</f>
        <v>0.69151520476113426</v>
      </c>
      <c r="S38" s="34">
        <f ca="1">OFFSET(Org_dat!$L$5,$H38,0)</f>
        <v>282514.25</v>
      </c>
      <c r="T38" s="35">
        <f ca="1">OFFSET(Org_dat!$M$5,$H38,0)</f>
        <v>0.39745075703375332</v>
      </c>
    </row>
    <row r="39" spans="2:37" x14ac:dyDescent="0.2">
      <c r="B39" s="342">
        <f>Org_dat!K35+(C39/100000)</f>
        <v>0.69952078239608795</v>
      </c>
      <c r="C39" s="31">
        <f>Org_dat!B35</f>
        <v>30</v>
      </c>
      <c r="D39" s="32" t="str">
        <f>Org_dat!C35</f>
        <v>Dům dětí a mládeže Poruba</v>
      </c>
      <c r="E39" s="33">
        <f ca="1">OFFSET(Org_dat!$C35,0,OrgSortCriteria)</f>
        <v>73.273709290953548</v>
      </c>
      <c r="F39" s="33">
        <f t="shared" ca="1" si="8"/>
        <v>73.273709291653063</v>
      </c>
      <c r="G39" s="33">
        <f t="shared" ca="1" si="0"/>
        <v>81.204994432705561</v>
      </c>
      <c r="H39" s="31">
        <f t="shared" ca="1" si="1"/>
        <v>44</v>
      </c>
      <c r="J39" s="32" t="str">
        <f ca="1">OFFSET(Org_dat!$C$5,$H39,0)</f>
        <v>MŠ Čtyřlístek, O-Poruba</v>
      </c>
      <c r="K39" s="158">
        <f ca="1">OFFSET(Org_dat!$D$5,$H39,0)</f>
        <v>81.20499443178025</v>
      </c>
      <c r="L39" s="34">
        <f ca="1">OFFSET(Org_dat!$E$5,$H39,0)</f>
        <v>1394500</v>
      </c>
      <c r="M39" s="34">
        <f ca="1">OFFSET(Org_dat!$F$5,$H39,0)</f>
        <v>717117.89</v>
      </c>
      <c r="N39" s="35">
        <f ca="1">OFFSET(Org_dat!$G$5,$H39,0)</f>
        <v>0.51424732162065256</v>
      </c>
      <c r="O39" s="35">
        <f ca="1">OFFSET(Org_dat!$H$5,$H39,0)</f>
        <v>0.19989999999999999</v>
      </c>
      <c r="P39" s="34">
        <f ca="1">OFFSET(Org_dat!$I$5,$H39,0)</f>
        <v>257819.26</v>
      </c>
      <c r="Q39" s="35">
        <f ca="1">OFFSET(Org_dat!$J$5,$H39,0)</f>
        <v>0.18488294012190751</v>
      </c>
      <c r="R39" s="35">
        <f ca="1">OFFSET(Org_dat!$K$5,$H39,0)</f>
        <v>0.92487713917912706</v>
      </c>
      <c r="S39" s="34">
        <f ca="1">OFFSET(Org_dat!$L$5,$H39,0)</f>
        <v>69391.710000000006</v>
      </c>
      <c r="T39" s="35">
        <f ca="1">OFFSET(Org_dat!$M$5,$H39,0)</f>
        <v>0.21207024324398416</v>
      </c>
    </row>
    <row r="40" spans="2:37" x14ac:dyDescent="0.2">
      <c r="B40" s="342">
        <f>Org_dat!K36+(C40/100000)</f>
        <v>0.69182520476113429</v>
      </c>
      <c r="C40" s="31">
        <f>Org_dat!B36</f>
        <v>31</v>
      </c>
      <c r="D40" s="32" t="str">
        <f>Org_dat!C36</f>
        <v>Dům kultury Ostrava</v>
      </c>
      <c r="E40" s="33">
        <f ca="1">OFFSET(Org_dat!$C36,0,OrgSortCriteria)</f>
        <v>81.49091228566806</v>
      </c>
      <c r="F40" s="33">
        <f t="shared" ca="1" si="8"/>
        <v>81.490912286359887</v>
      </c>
      <c r="G40" s="33">
        <f t="shared" ca="1" si="0"/>
        <v>81.048815175186832</v>
      </c>
      <c r="H40" s="31">
        <f t="shared" ca="1" si="1"/>
        <v>2</v>
      </c>
      <c r="J40" s="32" t="str">
        <f ca="1">OFFSET(Org_dat!$C$5,$H40,0)</f>
        <v>Dopravní podnik Ostrava</v>
      </c>
      <c r="K40" s="158">
        <f ca="1">OFFSET(Org_dat!$D$5,$H40,0)</f>
        <v>81.048815174502664</v>
      </c>
      <c r="L40" s="34">
        <f ca="1">OFFSET(Org_dat!$E$5,$H40,0)</f>
        <v>207751423.84062749</v>
      </c>
      <c r="M40" s="34">
        <f ca="1">OFFSET(Org_dat!$F$5,$H40,0)</f>
        <v>189507478.51999998</v>
      </c>
      <c r="N40" s="35">
        <f ca="1">OFFSET(Org_dat!$G$5,$H40,0)</f>
        <v>0.91218377721144761</v>
      </c>
      <c r="O40" s="35">
        <f ca="1">OFFSET(Org_dat!$H$5,$H40,0)</f>
        <v>0.38</v>
      </c>
      <c r="P40" s="34">
        <f ca="1">OFFSET(Org_dat!$I$5,$H40,0)</f>
        <v>54010348.730000004</v>
      </c>
      <c r="Q40" s="35">
        <f ca="1">OFFSET(Org_dat!$J$5,$H40,0)</f>
        <v>0.25997582943851688</v>
      </c>
      <c r="R40" s="35">
        <f ca="1">OFFSET(Org_dat!$K$5,$H40,0)</f>
        <v>0.68414691957504437</v>
      </c>
      <c r="S40" s="34">
        <f ca="1">OFFSET(Org_dat!$L$5,$H40,0)</f>
        <v>6115583.8499999996</v>
      </c>
      <c r="T40" s="35">
        <f ca="1">OFFSET(Org_dat!$M$5,$H40,0)</f>
        <v>0.1017129146706035</v>
      </c>
    </row>
    <row r="41" spans="2:37" x14ac:dyDescent="0.2">
      <c r="B41" s="342">
        <f>Org_dat!K37+(C41/100000)</f>
        <v>3.2000000000000003E-4</v>
      </c>
      <c r="C41" s="31">
        <f>Org_dat!B37</f>
        <v>32</v>
      </c>
      <c r="D41" s="32" t="str">
        <f>Org_dat!C37</f>
        <v/>
      </c>
      <c r="E41" s="33" t="str">
        <f ca="1">OFFSET(Org_dat!$C37,0,OrgSortCriteria)</f>
        <v/>
      </c>
      <c r="F41" s="33">
        <f t="shared" si="8"/>
        <v>-999999999</v>
      </c>
      <c r="G41" s="33">
        <f t="shared" ca="1" si="0"/>
        <v>80.967950805547005</v>
      </c>
      <c r="H41" s="31">
        <f t="shared" ca="1" si="1"/>
        <v>28</v>
      </c>
      <c r="J41" s="32" t="str">
        <f ca="1">OFFSET(Org_dat!$C$5,$H41,0)</f>
        <v>DPS Iris</v>
      </c>
      <c r="K41" s="158">
        <f ca="1">OFFSET(Org_dat!$D$5,$H41,0)</f>
        <v>80.967950804863932</v>
      </c>
      <c r="L41" s="34">
        <f ca="1">OFFSET(Org_dat!$E$5,$H41,0)</f>
        <v>3925000</v>
      </c>
      <c r="M41" s="34">
        <f ca="1">OFFSET(Org_dat!$F$5,$H41,0)</f>
        <v>3173316.99</v>
      </c>
      <c r="N41" s="35">
        <f ca="1">OFFSET(Org_dat!$G$5,$H41,0)</f>
        <v>0.80848840509554143</v>
      </c>
      <c r="O41" s="35">
        <f ca="1">OFFSET(Org_dat!$H$5,$H41,0)</f>
        <v>0.55000000000000004</v>
      </c>
      <c r="P41" s="34">
        <f ca="1">OFFSET(Org_dat!$I$5,$H41,0)</f>
        <v>1473992.73</v>
      </c>
      <c r="Q41" s="35">
        <f ca="1">OFFSET(Org_dat!$J$5,$H41,0)</f>
        <v>0.37553954904458597</v>
      </c>
      <c r="R41" s="35">
        <f ca="1">OFFSET(Org_dat!$K$5,$H41,0)</f>
        <v>0.68279918008106544</v>
      </c>
      <c r="S41" s="34">
        <f ca="1">OFFSET(Org_dat!$L$5,$H41,0)</f>
        <v>475989.31999999995</v>
      </c>
      <c r="T41" s="35">
        <f ca="1">OFFSET(Org_dat!$M$5,$H41,0)</f>
        <v>0.24409933414515278</v>
      </c>
    </row>
    <row r="42" spans="2:37" x14ac:dyDescent="0.2">
      <c r="B42" s="342">
        <f>Org_dat!K38+(C42/100000)</f>
        <v>3.3E-4</v>
      </c>
      <c r="C42" s="31">
        <f>Org_dat!B38</f>
        <v>33</v>
      </c>
      <c r="D42" s="32" t="str">
        <f>Org_dat!C38</f>
        <v>Firemní školka města Ostravy</v>
      </c>
      <c r="E42" s="33">
        <f ca="1">OFFSET(Org_dat!$C38,0,OrgSortCriteria)</f>
        <v>0</v>
      </c>
      <c r="F42" s="33">
        <f t="shared" ca="1" si="8"/>
        <v>3.3000000000000001E-13</v>
      </c>
      <c r="G42" s="33">
        <f t="shared" ref="G42:G73" ca="1" si="9">IF(ISERROR(LARGE($F$10:$F$185,C42)),0,LARGE($F$10:$F$185,C42))</f>
        <v>79.716319591730681</v>
      </c>
      <c r="H42" s="31">
        <f t="shared" ref="H42:H73" ca="1" si="10">MATCH(G42,$F$10:$F$185,0)</f>
        <v>12</v>
      </c>
      <c r="J42" s="32" t="str">
        <f ca="1">OFFSET(Org_dat!$C$5,$H42,0)</f>
        <v>Domov Korýtko</v>
      </c>
      <c r="K42" s="158">
        <f ca="1">OFFSET(Org_dat!$D$5,$H42,0)</f>
        <v>79.716319590753969</v>
      </c>
      <c r="L42" s="34">
        <f ca="1">OFFSET(Org_dat!$E$5,$H42,0)</f>
        <v>12317110.5</v>
      </c>
      <c r="M42" s="34">
        <f ca="1">OFFSET(Org_dat!$F$5,$H42,0)</f>
        <v>5202999.5199999996</v>
      </c>
      <c r="N42" s="35">
        <f ca="1">OFFSET(Org_dat!$G$5,$H42,0)</f>
        <v>0.42242046298115127</v>
      </c>
      <c r="O42" s="35">
        <f ca="1">OFFSET(Org_dat!$H$5,$H42,0)</f>
        <v>0.38</v>
      </c>
      <c r="P42" s="34">
        <f ca="1">OFFSET(Org_dat!$I$5,$H42,0)</f>
        <v>4570923.3599999994</v>
      </c>
      <c r="Q42" s="35">
        <f ca="1">OFFSET(Org_dat!$J$5,$H42,0)</f>
        <v>0.37110354413074392</v>
      </c>
      <c r="R42" s="35">
        <f ca="1">OFFSET(Org_dat!$K$5,$H42,0)</f>
        <v>0.97658827402827342</v>
      </c>
      <c r="S42" s="34">
        <f ca="1">OFFSET(Org_dat!$L$5,$H42,0)</f>
        <v>1104335.1399999999</v>
      </c>
      <c r="T42" s="35">
        <f ca="1">OFFSET(Org_dat!$M$5,$H42,0)</f>
        <v>0.1945876368450882</v>
      </c>
    </row>
    <row r="43" spans="2:37" x14ac:dyDescent="0.2">
      <c r="B43" s="342">
        <f>Org_dat!K39+(C43/100000)</f>
        <v>0.65125240189089928</v>
      </c>
      <c r="C43" s="31">
        <f>Org_dat!B39</f>
        <v>34</v>
      </c>
      <c r="D43" s="32" t="str">
        <f>Org_dat!C39</f>
        <v>Janáčkova filharmonie Ostrava</v>
      </c>
      <c r="E43" s="33">
        <f ca="1">OFFSET(Org_dat!$C39,0,OrgSortCriteria)</f>
        <v>79.05474411345395</v>
      </c>
      <c r="F43" s="33">
        <f t="shared" ca="1" si="8"/>
        <v>79.054744114105205</v>
      </c>
      <c r="G43" s="33">
        <f t="shared" ca="1" si="9"/>
        <v>79.231954407857245</v>
      </c>
      <c r="H43" s="31">
        <f t="shared" ca="1" si="10"/>
        <v>136</v>
      </c>
      <c r="J43" s="32" t="str">
        <f ca="1">OFFSET(Org_dat!$C$5,$H43,0)</f>
        <v>ZŠ a MŠ O-Zábřeh, Kosmonautů 13</v>
      </c>
      <c r="K43" s="158">
        <f ca="1">OFFSET(Org_dat!$D$5,$H43,0)</f>
        <v>79.231954407037733</v>
      </c>
      <c r="L43" s="34">
        <f ca="1">OFFSET(Org_dat!$E$5,$H43,0)</f>
        <v>1542000</v>
      </c>
      <c r="M43" s="34">
        <f ca="1">OFFSET(Org_dat!$F$5,$H43,0)</f>
        <v>929605.3</v>
      </c>
      <c r="N43" s="35">
        <f ca="1">OFFSET(Org_dat!$G$5,$H43,0)</f>
        <v>0.60285687418936451</v>
      </c>
      <c r="O43" s="35">
        <f ca="1">OFFSET(Org_dat!$H$5,$H43,0)</f>
        <v>0.10349999999999999</v>
      </c>
      <c r="P43" s="34">
        <f ca="1">OFFSET(Org_dat!$I$5,$H43,0)</f>
        <v>130574.57999999999</v>
      </c>
      <c r="Q43" s="35">
        <f ca="1">OFFSET(Org_dat!$J$5,$H43,0)</f>
        <v>8.4678715953307379E-2</v>
      </c>
      <c r="R43" s="35">
        <f ca="1">OFFSET(Org_dat!$K$5,$H43,0)</f>
        <v>0.81815184495949167</v>
      </c>
      <c r="S43" s="34">
        <f ca="1">OFFSET(Org_dat!$L$5,$H43,0)</f>
        <v>52485.66</v>
      </c>
      <c r="T43" s="35">
        <f ca="1">OFFSET(Org_dat!$M$5,$H43,0)</f>
        <v>0.28671250512945906</v>
      </c>
    </row>
    <row r="44" spans="2:37" x14ac:dyDescent="0.2">
      <c r="B44" s="342">
        <f>Org_dat!K40+(C44/100000)</f>
        <v>1.2011608265762519</v>
      </c>
      <c r="C44" s="31">
        <f>Org_dat!B40</f>
        <v>35</v>
      </c>
      <c r="D44" s="32" t="str">
        <f>Org_dat!C40</f>
        <v>Knihovna města Ostravy</v>
      </c>
      <c r="E44" s="33">
        <f ca="1">OFFSET(Org_dat!$C40,0,OrgSortCriteria)</f>
        <v>100</v>
      </c>
      <c r="F44" s="33">
        <f t="shared" ca="1" si="8"/>
        <v>100.00000000120116</v>
      </c>
      <c r="G44" s="33">
        <f t="shared" ca="1" si="9"/>
        <v>79.054744114105205</v>
      </c>
      <c r="H44" s="31">
        <f t="shared" ca="1" si="10"/>
        <v>34</v>
      </c>
      <c r="J44" s="32" t="str">
        <f ca="1">OFFSET(Org_dat!$C$5,$H44,0)</f>
        <v>Janáčkova filharmonie Ostrava</v>
      </c>
      <c r="K44" s="158">
        <f ca="1">OFFSET(Org_dat!$D$5,$H44,0)</f>
        <v>79.05474411345395</v>
      </c>
      <c r="L44" s="34">
        <f ca="1">OFFSET(Org_dat!$E$5,$H44,0)</f>
        <v>12632500</v>
      </c>
      <c r="M44" s="34">
        <f ca="1">OFFSET(Org_dat!$F$5,$H44,0)</f>
        <v>13693217.48</v>
      </c>
      <c r="N44" s="35">
        <f ca="1">OFFSET(Org_dat!$G$5,$H44,0)</f>
        <v>1.0839673445477935</v>
      </c>
      <c r="O44" s="35">
        <f ca="1">OFFSET(Org_dat!$H$5,$H44,0)</f>
        <v>5.6847087967705823E-2</v>
      </c>
      <c r="P44" s="34">
        <f ca="1">OFFSET(Org_dat!$I$5,$H44,0)</f>
        <v>467433.76</v>
      </c>
      <c r="Q44" s="35">
        <f ca="1">OFFSET(Org_dat!$J$5,$H44,0)</f>
        <v>3.7002474569562634E-2</v>
      </c>
      <c r="R44" s="35">
        <f ca="1">OFFSET(Org_dat!$K$5,$H44,0)</f>
        <v>0.65091240189089927</v>
      </c>
      <c r="S44" s="34">
        <f ca="1">OFFSET(Org_dat!$L$5,$H44,0)</f>
        <v>155607.84</v>
      </c>
      <c r="T44" s="35">
        <f ca="1">OFFSET(Org_dat!$M$5,$H44,0)</f>
        <v>0.24975513673565297</v>
      </c>
    </row>
    <row r="45" spans="2:37" x14ac:dyDescent="0.2">
      <c r="B45" s="342">
        <f>Org_dat!K41+(C45/100000)</f>
        <v>0.88687089536138086</v>
      </c>
      <c r="C45" s="31">
        <f>Org_dat!B41</f>
        <v>36</v>
      </c>
      <c r="D45" s="32" t="str">
        <f>Org_dat!C41</f>
        <v>Krematorium Ostrava</v>
      </c>
      <c r="E45" s="33">
        <f ca="1">OFFSET(Org_dat!$C41,0,OrgSortCriteria)</f>
        <v>82.88412829403606</v>
      </c>
      <c r="F45" s="33">
        <f t="shared" ca="1" si="8"/>
        <v>82.884128294922931</v>
      </c>
      <c r="G45" s="33">
        <f t="shared" ca="1" si="9"/>
        <v>78.679830834177025</v>
      </c>
      <c r="H45" s="31">
        <f t="shared" ca="1" si="10"/>
        <v>18</v>
      </c>
      <c r="J45" s="32" t="str">
        <f ca="1">OFFSET(Org_dat!$C$5,$H45,0)</f>
        <v>VÍTKOVICE ARÉNA</v>
      </c>
      <c r="K45" s="158">
        <f ca="1">OFFSET(Org_dat!$D$5,$H45,0)</f>
        <v>78.679830833454062</v>
      </c>
      <c r="L45" s="34">
        <f ca="1">OFFSET(Org_dat!$E$5,$H45,0)</f>
        <v>39440000</v>
      </c>
      <c r="M45" s="34">
        <f ca="1">OFFSET(Org_dat!$F$5,$H45,0)</f>
        <v>27854465.189999998</v>
      </c>
      <c r="N45" s="35">
        <f ca="1">OFFSET(Org_dat!$G$5,$H45,0)</f>
        <v>0.70624911739350904</v>
      </c>
      <c r="O45" s="35">
        <f ca="1">OFFSET(Org_dat!$H$5,$H45,0)</f>
        <v>7.0000000000000007E-2</v>
      </c>
      <c r="P45" s="34">
        <f ca="1">OFFSET(Org_dat!$I$5,$H45,0)</f>
        <v>1995477.48</v>
      </c>
      <c r="Q45" s="35">
        <f ca="1">OFFSET(Org_dat!$J$5,$H45,0)</f>
        <v>5.059527079107505E-2</v>
      </c>
      <c r="R45" s="35">
        <f ca="1">OFFSET(Org_dat!$K$5,$H45,0)</f>
        <v>0.72278958272964344</v>
      </c>
      <c r="S45" s="34">
        <f ca="1">OFFSET(Org_dat!$L$5,$H45,0)</f>
        <v>938750.26</v>
      </c>
      <c r="T45" s="35">
        <f ca="1">OFFSET(Org_dat!$M$5,$H45,0)</f>
        <v>0.31993094714590897</v>
      </c>
    </row>
    <row r="46" spans="2:37" x14ac:dyDescent="0.2">
      <c r="B46" s="342">
        <f>Org_dat!K42+(C46/100000)</f>
        <v>1.4350747072789534</v>
      </c>
      <c r="C46" s="31">
        <f>Org_dat!B42</f>
        <v>37</v>
      </c>
      <c r="D46" s="32" t="str">
        <f>Org_dat!C42</f>
        <v>Křesťanská MŠ Ostrava-Mariánské Hory</v>
      </c>
      <c r="E46" s="33">
        <f ca="1">OFFSET(Org_dat!$C42,0,OrgSortCriteria)</f>
        <v>100</v>
      </c>
      <c r="F46" s="33">
        <f t="shared" ca="1" si="8"/>
        <v>100.00000000143507</v>
      </c>
      <c r="G46" s="33">
        <f t="shared" ca="1" si="9"/>
        <v>77.978220294995609</v>
      </c>
      <c r="H46" s="31">
        <f t="shared" ca="1" si="10"/>
        <v>60</v>
      </c>
      <c r="J46" s="32" t="str">
        <f ca="1">OFFSET(Org_dat!$C$5,$H46,0)</f>
        <v>MŠ O-Hulváky, Matrosova</v>
      </c>
      <c r="K46" s="158">
        <f ca="1">OFFSET(Org_dat!$D$5,$H46,0)</f>
        <v>77.978220294007059</v>
      </c>
      <c r="L46" s="34">
        <f ca="1">OFFSET(Org_dat!$E$5,$H46,0)</f>
        <v>521381.5</v>
      </c>
      <c r="M46" s="34">
        <f ca="1">OFFSET(Org_dat!$F$5,$H46,0)</f>
        <v>195009.49</v>
      </c>
      <c r="N46" s="35">
        <f ca="1">OFFSET(Org_dat!$G$5,$H46,0)</f>
        <v>0.37402456742327833</v>
      </c>
      <c r="O46" s="35">
        <f ca="1">OFFSET(Org_dat!$H$5,$H46,0)</f>
        <v>0.27110000000000001</v>
      </c>
      <c r="P46" s="34">
        <f ca="1">OFFSET(Org_dat!$I$5,$H46,0)</f>
        <v>139643.28</v>
      </c>
      <c r="Q46" s="35">
        <f ca="1">OFFSET(Org_dat!$J$5,$H46,0)</f>
        <v>0.26783320850471298</v>
      </c>
      <c r="R46" s="35">
        <f ca="1">OFFSET(Org_dat!$K$5,$H46,0)</f>
        <v>0.98794986538071905</v>
      </c>
      <c r="S46" s="34">
        <f ca="1">OFFSET(Org_dat!$L$5,$H46,0)</f>
        <v>69935.7</v>
      </c>
      <c r="T46" s="35">
        <f ca="1">OFFSET(Org_dat!$M$5,$H46,0)</f>
        <v>0.33369615597900132</v>
      </c>
    </row>
    <row r="47" spans="2:37" x14ac:dyDescent="0.2">
      <c r="B47" s="342">
        <f>Org_dat!K43+(C47/100000)</f>
        <v>0.53919283222693604</v>
      </c>
      <c r="C47" s="31">
        <f>Org_dat!B43</f>
        <v>38</v>
      </c>
      <c r="D47" s="32" t="str">
        <f>Org_dat!C43</f>
        <v>Kulturní zařízení Ostrava-Jih</v>
      </c>
      <c r="E47" s="33">
        <f ca="1">OFFSET(Org_dat!$C43,0,OrgSortCriteria)</f>
        <v>32.480244472643577</v>
      </c>
      <c r="F47" s="33">
        <f t="shared" ca="1" si="8"/>
        <v>32.480244473182772</v>
      </c>
      <c r="G47" s="33">
        <f t="shared" ca="1" si="9"/>
        <v>77.710734853558009</v>
      </c>
      <c r="H47" s="31">
        <f t="shared" ca="1" si="10"/>
        <v>43</v>
      </c>
      <c r="J47" s="32" t="str">
        <f ca="1">OFFSET(Org_dat!$C$5,$H47,0)</f>
        <v>MŠ Čs.exilu</v>
      </c>
      <c r="K47" s="158">
        <f ca="1">OFFSET(Org_dat!$D$5,$H47,0)</f>
        <v>77.710734852408081</v>
      </c>
      <c r="L47" s="34">
        <f ca="1">OFFSET(Org_dat!$E$5,$H47,0)</f>
        <v>965500</v>
      </c>
      <c r="M47" s="34">
        <f ca="1">OFFSET(Org_dat!$F$5,$H47,0)</f>
        <v>341994.29</v>
      </c>
      <c r="N47" s="35">
        <f ca="1">OFFSET(Org_dat!$G$5,$H47,0)</f>
        <v>0.35421469704816155</v>
      </c>
      <c r="O47" s="35">
        <f ca="1">OFFSET(Org_dat!$H$5,$H47,0)</f>
        <v>0.2276</v>
      </c>
      <c r="P47" s="34">
        <f ca="1">OFFSET(Org_dat!$I$5,$H47,0)</f>
        <v>252598.48</v>
      </c>
      <c r="Q47" s="35">
        <f ca="1">OFFSET(Org_dat!$J$5,$H47,0)</f>
        <v>0.26162452615225273</v>
      </c>
      <c r="R47" s="35">
        <f ca="1">OFFSET(Org_dat!$K$5,$H47,0)</f>
        <v>1.1494926456601615</v>
      </c>
      <c r="S47" s="34">
        <f ca="1">OFFSET(Org_dat!$L$5,$H47,0)</f>
        <v>75122.080000000002</v>
      </c>
      <c r="T47" s="35">
        <f ca="1">OFFSET(Org_dat!$M$5,$H47,0)</f>
        <v>0.22922602109553336</v>
      </c>
    </row>
    <row r="48" spans="2:37" x14ac:dyDescent="0.2">
      <c r="B48" s="342">
        <f>Org_dat!K44+(C48/100000)</f>
        <v>1.0664614030740338</v>
      </c>
      <c r="C48" s="31">
        <f>Org_dat!B44</f>
        <v>39</v>
      </c>
      <c r="D48" s="32" t="str">
        <f>Org_dat!C44</f>
        <v>Lidová konzervatoř</v>
      </c>
      <c r="E48" s="33">
        <f ca="1">OFFSET(Org_dat!$C44,0,OrgSortCriteria)</f>
        <v>73.515938196877983</v>
      </c>
      <c r="F48" s="33">
        <f t="shared" ca="1" si="8"/>
        <v>73.51593819794445</v>
      </c>
      <c r="G48" s="33">
        <f t="shared" ca="1" si="9"/>
        <v>76.787773629131237</v>
      </c>
      <c r="H48" s="31">
        <f t="shared" ca="1" si="10"/>
        <v>129</v>
      </c>
      <c r="J48" s="32" t="str">
        <f ca="1">OFFSET(Org_dat!$C$5,$H48,0)</f>
        <v>ZŠ a MŠ O-Krásné Pole</v>
      </c>
      <c r="K48" s="158">
        <f ca="1">OFFSET(Org_dat!$D$5,$H48,0)</f>
        <v>76.787773628048782</v>
      </c>
      <c r="L48" s="34">
        <f ca="1">OFFSET(Org_dat!$E$5,$H48,0)</f>
        <v>1968000</v>
      </c>
      <c r="M48" s="34">
        <f ca="1">OFFSET(Org_dat!$F$5,$H48,0)</f>
        <v>660766.77</v>
      </c>
      <c r="N48" s="35">
        <f ca="1">OFFSET(Org_dat!$G$5,$H48,0)</f>
        <v>0.3357554725609756</v>
      </c>
      <c r="O48" s="35">
        <f ca="1">OFFSET(Org_dat!$H$5,$H48,0)</f>
        <v>0.38900000000000001</v>
      </c>
      <c r="P48" s="34">
        <f ca="1">OFFSET(Org_dat!$I$5,$H48,0)</f>
        <v>827690.08</v>
      </c>
      <c r="Q48" s="35">
        <f ca="1">OFFSET(Org_dat!$J$5,$H48,0)</f>
        <v>0.42057422764227642</v>
      </c>
      <c r="R48" s="35">
        <f ca="1">OFFSET(Org_dat!$K$5,$H48,0)</f>
        <v>1.0811676803143353</v>
      </c>
      <c r="S48" s="34">
        <f ca="1">OFFSET(Org_dat!$L$5,$H48,0)</f>
        <v>281114.03000000003</v>
      </c>
      <c r="T48" s="35">
        <f ca="1">OFFSET(Org_dat!$M$5,$H48,0)</f>
        <v>0.25352902957764112</v>
      </c>
    </row>
    <row r="49" spans="2:20" x14ac:dyDescent="0.2">
      <c r="B49" s="342">
        <f>Org_dat!K45+(C49/100000)</f>
        <v>1.5876836883239658</v>
      </c>
      <c r="C49" s="31">
        <f>Org_dat!B45</f>
        <v>40</v>
      </c>
      <c r="D49" s="32" t="str">
        <f>Org_dat!C45</f>
        <v>Městská policie</v>
      </c>
      <c r="E49" s="33">
        <f ca="1">OFFSET(Org_dat!$C45,0,OrgSortCriteria)</f>
        <v>76.351429035621621</v>
      </c>
      <c r="F49" s="33">
        <f t="shared" ca="1" si="8"/>
        <v>76.3514290372093</v>
      </c>
      <c r="G49" s="33">
        <f t="shared" ca="1" si="9"/>
        <v>76.3514290372093</v>
      </c>
      <c r="H49" s="31">
        <f t="shared" ca="1" si="10"/>
        <v>40</v>
      </c>
      <c r="J49" s="32" t="str">
        <f ca="1">OFFSET(Org_dat!$C$5,$H49,0)</f>
        <v>Městská policie</v>
      </c>
      <c r="K49" s="158">
        <f ca="1">OFFSET(Org_dat!$D$5,$H49,0)</f>
        <v>76.351429035621621</v>
      </c>
      <c r="L49" s="34">
        <f ca="1">OFFSET(Org_dat!$E$5,$H49,0)</f>
        <v>20619500</v>
      </c>
      <c r="M49" s="34">
        <f ca="1">OFFSET(Org_dat!$F$5,$H49,0)</f>
        <v>6743165.8200000003</v>
      </c>
      <c r="N49" s="35">
        <f ca="1">OFFSET(Org_dat!$G$5,$H49,0)</f>
        <v>0.3270285807124324</v>
      </c>
      <c r="O49" s="35">
        <f ca="1">OFFSET(Org_dat!$H$5,$H49,0)</f>
        <v>7.0199999999999999E-2</v>
      </c>
      <c r="P49" s="34">
        <f ca="1">OFFSET(Org_dat!$I$5,$H49,0)</f>
        <v>2297575.52</v>
      </c>
      <c r="Q49" s="35">
        <f ca="1">OFFSET(Org_dat!$J$5,$H49,0)</f>
        <v>0.1114273149203424</v>
      </c>
      <c r="R49" s="35">
        <f ca="1">OFFSET(Org_dat!$K$5,$H49,0)</f>
        <v>1.5872836883239658</v>
      </c>
      <c r="S49" s="34">
        <f ca="1">OFFSET(Org_dat!$L$5,$H49,0)</f>
        <v>528832.94999999995</v>
      </c>
      <c r="T49" s="35">
        <f ca="1">OFFSET(Org_dat!$M$5,$H49,0)</f>
        <v>0.18710421922844012</v>
      </c>
    </row>
    <row r="50" spans="2:20" x14ac:dyDescent="0.2">
      <c r="B50" s="342">
        <f>Org_dat!K46+(C50/100000)</f>
        <v>0.21455490473952352</v>
      </c>
      <c r="C50" s="31">
        <f>Org_dat!B46</f>
        <v>41</v>
      </c>
      <c r="D50" s="32" t="str">
        <f>Org_dat!C46</f>
        <v>MŠ Blahoslavova</v>
      </c>
      <c r="E50" s="33">
        <f ca="1">OFFSET(Org_dat!$C46,0,OrgSortCriteria)</f>
        <v>12.848694284371412</v>
      </c>
      <c r="F50" s="33">
        <f t="shared" ca="1" si="8"/>
        <v>12.848694284585967</v>
      </c>
      <c r="G50" s="33">
        <f t="shared" ca="1" si="9"/>
        <v>76.019159314439321</v>
      </c>
      <c r="H50" s="31">
        <f t="shared" ca="1" si="10"/>
        <v>114</v>
      </c>
      <c r="J50" s="32" t="str">
        <f ca="1">OFFSET(Org_dat!$C$5,$H50,0)</f>
        <v>ÚMOb Poruba</v>
      </c>
      <c r="K50" s="158">
        <f ca="1">OFFSET(Org_dat!$D$5,$H50,0)</f>
        <v>76.019159312141326</v>
      </c>
      <c r="L50" s="34">
        <f ca="1">OFFSET(Org_dat!$E$5,$H50,0)</f>
        <v>51057000</v>
      </c>
      <c r="M50" s="34">
        <f ca="1">OFFSET(Org_dat!$F$5,$H50,0)</f>
        <v>16357804.34</v>
      </c>
      <c r="N50" s="35">
        <f ca="1">OFFSET(Org_dat!$G$5,$H50,0)</f>
        <v>0.32038318624282663</v>
      </c>
      <c r="O50" s="35">
        <f ca="1">OFFSET(Org_dat!$H$5,$H50,0)</f>
        <v>0.1867</v>
      </c>
      <c r="P50" s="34">
        <f ca="1">OFFSET(Org_dat!$I$5,$H50,0)</f>
        <v>21894359.32</v>
      </c>
      <c r="Q50" s="35">
        <f ca="1">OFFSET(Org_dat!$J$5,$H50,0)</f>
        <v>0.42882189161133638</v>
      </c>
      <c r="R50" s="35">
        <f ca="1">OFFSET(Org_dat!$K$5,$H50,0)</f>
        <v>2.2968499818496859</v>
      </c>
      <c r="S50" s="34">
        <f ca="1">OFFSET(Org_dat!$L$5,$H50,0)</f>
        <v>4168388.18</v>
      </c>
      <c r="T50" s="35">
        <f ca="1">OFFSET(Org_dat!$M$5,$H50,0)</f>
        <v>0.15993663676479236</v>
      </c>
    </row>
    <row r="51" spans="2:20" x14ac:dyDescent="0.2">
      <c r="B51" s="342">
        <f>Org_dat!K47+(C51/100000)</f>
        <v>0.48214079527902609</v>
      </c>
      <c r="C51" s="31">
        <f>Org_dat!B47</f>
        <v>42</v>
      </c>
      <c r="D51" s="32" t="str">
        <f>Org_dat!C47</f>
        <v>MŠ Bohumínská</v>
      </c>
      <c r="E51" s="33">
        <f ca="1">OFFSET(Org_dat!$C47,0,OrgSortCriteria)</f>
        <v>28.903247716741568</v>
      </c>
      <c r="F51" s="33">
        <f t="shared" ca="1" si="8"/>
        <v>28.90324771722371</v>
      </c>
      <c r="G51" s="33">
        <f t="shared" ca="1" si="9"/>
        <v>75.243560720522453</v>
      </c>
      <c r="H51" s="31">
        <f t="shared" ca="1" si="10"/>
        <v>17</v>
      </c>
      <c r="J51" s="32" t="str">
        <f ca="1">OFFSET(Org_dat!$C$5,$H51,0)</f>
        <v>SAREZA</v>
      </c>
      <c r="K51" s="158">
        <f ca="1">OFFSET(Org_dat!$D$5,$H51,0)</f>
        <v>75.243560719930201</v>
      </c>
      <c r="L51" s="34">
        <f ca="1">OFFSET(Org_dat!$E$5,$H51,0)</f>
        <v>33132000</v>
      </c>
      <c r="M51" s="34">
        <f ca="1">OFFSET(Org_dat!$F$5,$H51,0)</f>
        <v>26319324.93</v>
      </c>
      <c r="N51" s="35">
        <f ca="1">OFFSET(Org_dat!$G$5,$H51,0)</f>
        <v>0.79437778975009055</v>
      </c>
      <c r="O51" s="35">
        <f ca="1">OFFSET(Org_dat!$H$5,$H51,0)</f>
        <v>0.22</v>
      </c>
      <c r="P51" s="34">
        <f ca="1">OFFSET(Org_dat!$I$5,$H51,0)</f>
        <v>4315679.16</v>
      </c>
      <c r="Q51" s="35">
        <f ca="1">OFFSET(Org_dat!$J$5,$H51,0)</f>
        <v>0.13025712785222746</v>
      </c>
      <c r="R51" s="35">
        <f ca="1">OFFSET(Org_dat!$K$5,$H51,0)</f>
        <v>0.59207785387376122</v>
      </c>
      <c r="S51" s="34">
        <f ca="1">OFFSET(Org_dat!$L$5,$H51,0)</f>
        <v>2081494.96</v>
      </c>
      <c r="T51" s="35">
        <f ca="1">OFFSET(Org_dat!$M$5,$H51,0)</f>
        <v>0.32537725579368787</v>
      </c>
    </row>
    <row r="52" spans="2:20" x14ac:dyDescent="0.2">
      <c r="B52" s="342">
        <f>Org_dat!K48+(C52/100000)</f>
        <v>1.1499226456601614</v>
      </c>
      <c r="C52" s="31">
        <f>Org_dat!B48</f>
        <v>43</v>
      </c>
      <c r="D52" s="32" t="str">
        <f>Org_dat!C48</f>
        <v>MŠ Čs.exilu</v>
      </c>
      <c r="E52" s="33">
        <f ca="1">OFFSET(Org_dat!$C48,0,OrgSortCriteria)</f>
        <v>77.710734852408081</v>
      </c>
      <c r="F52" s="33">
        <f t="shared" ca="1" si="8"/>
        <v>77.710734853558009</v>
      </c>
      <c r="G52" s="33">
        <f t="shared" ca="1" si="9"/>
        <v>75.217908442589021</v>
      </c>
      <c r="H52" s="31">
        <f t="shared" ca="1" si="10"/>
        <v>65</v>
      </c>
      <c r="J52" s="32" t="str">
        <f ca="1">OFFSET(Org_dat!$C$5,$H52,0)</f>
        <v>MŠ O-Poruba, Dvorní</v>
      </c>
      <c r="K52" s="158">
        <f ca="1">OFFSET(Org_dat!$D$5,$H52,0)</f>
        <v>75.21790844155845</v>
      </c>
      <c r="L52" s="34">
        <f ca="1">OFFSET(Org_dat!$E$5,$H52,0)</f>
        <v>1540000</v>
      </c>
      <c r="M52" s="34">
        <f ca="1">OFFSET(Org_dat!$F$5,$H52,0)</f>
        <v>468711.58</v>
      </c>
      <c r="N52" s="35">
        <f ca="1">OFFSET(Org_dat!$G$5,$H52,0)</f>
        <v>0.30435816883116884</v>
      </c>
      <c r="O52" s="35">
        <f ca="1">OFFSET(Org_dat!$H$5,$H52,0)</f>
        <v>0.35039999999999999</v>
      </c>
      <c r="P52" s="34">
        <f ca="1">OFFSET(Org_dat!$I$5,$H52,0)</f>
        <v>555761.47</v>
      </c>
      <c r="Q52" s="35">
        <f ca="1">OFFSET(Org_dat!$J$5,$H52,0)</f>
        <v>0.36088407142857143</v>
      </c>
      <c r="R52" s="35">
        <f ca="1">OFFSET(Org_dat!$K$5,$H52,0)</f>
        <v>1.0299202951728637</v>
      </c>
      <c r="S52" s="34">
        <f ca="1">OFFSET(Org_dat!$L$5,$H52,0)</f>
        <v>175571.45</v>
      </c>
      <c r="T52" s="35">
        <f ca="1">OFFSET(Org_dat!$M$5,$H52,0)</f>
        <v>0.24007048663965522</v>
      </c>
    </row>
    <row r="53" spans="2:20" x14ac:dyDescent="0.2">
      <c r="B53" s="342">
        <f>Org_dat!K49+(C53/100000)</f>
        <v>0.92531713917912706</v>
      </c>
      <c r="C53" s="31">
        <f>Org_dat!B49</f>
        <v>44</v>
      </c>
      <c r="D53" s="32" t="str">
        <f>Org_dat!C49</f>
        <v>MŠ Čtyřlístek, O-Poruba</v>
      </c>
      <c r="E53" s="33">
        <f ca="1">OFFSET(Org_dat!$C49,0,OrgSortCriteria)</f>
        <v>81.20499443178025</v>
      </c>
      <c r="F53" s="33">
        <f t="shared" ca="1" si="8"/>
        <v>81.204994432705561</v>
      </c>
      <c r="G53" s="33">
        <f t="shared" ca="1" si="9"/>
        <v>73.51593819794445</v>
      </c>
      <c r="H53" s="31">
        <f t="shared" ca="1" si="10"/>
        <v>39</v>
      </c>
      <c r="J53" s="32" t="str">
        <f ca="1">OFFSET(Org_dat!$C$5,$H53,0)</f>
        <v>Lidová konzervatoř</v>
      </c>
      <c r="K53" s="158">
        <f ca="1">OFFSET(Org_dat!$D$5,$H53,0)</f>
        <v>73.515938196877983</v>
      </c>
      <c r="L53" s="34">
        <f ca="1">OFFSET(Org_dat!$E$5,$H53,0)</f>
        <v>784750</v>
      </c>
      <c r="M53" s="34">
        <f ca="1">OFFSET(Org_dat!$F$5,$H53,0)</f>
        <v>212132.65</v>
      </c>
      <c r="N53" s="35">
        <f ca="1">OFFSET(Org_dat!$G$5,$H53,0)</f>
        <v>0.27031876393755971</v>
      </c>
      <c r="O53" s="35">
        <f ca="1">OFFSET(Org_dat!$H$5,$H53,0)</f>
        <v>0.22442950595550057</v>
      </c>
      <c r="P53" s="34">
        <f ca="1">OFFSET(Org_dat!$I$5,$H53,0)</f>
        <v>187757.62</v>
      </c>
      <c r="Q53" s="35">
        <f ca="1">OFFSET(Org_dat!$J$5,$H53,0)</f>
        <v>0.23925787830519274</v>
      </c>
      <c r="R53" s="35">
        <f ca="1">OFFSET(Org_dat!$K$5,$H53,0)</f>
        <v>1.0660714030740339</v>
      </c>
      <c r="S53" s="34">
        <f ca="1">OFFSET(Org_dat!$L$5,$H53,0)</f>
        <v>144366.84999999998</v>
      </c>
      <c r="T53" s="35">
        <f ca="1">OFFSET(Org_dat!$M$5,$H53,0)</f>
        <v>0.43467694506219307</v>
      </c>
    </row>
    <row r="54" spans="2:20" x14ac:dyDescent="0.2">
      <c r="B54" s="342">
        <f>Org_dat!K50+(C54/100000)</f>
        <v>0.18225835297261839</v>
      </c>
      <c r="C54" s="31">
        <f>Org_dat!B50</f>
        <v>45</v>
      </c>
      <c r="D54" s="32" t="str">
        <f>Org_dat!C50</f>
        <v>MŠ Dvořákova</v>
      </c>
      <c r="E54" s="33">
        <f ca="1">OFFSET(Org_dat!$C50,0,OrgSortCriteria)</f>
        <v>10.908501178357103</v>
      </c>
      <c r="F54" s="33">
        <f t="shared" ca="1" si="8"/>
        <v>10.90850117853936</v>
      </c>
      <c r="G54" s="33">
        <f t="shared" ca="1" si="9"/>
        <v>73.273709291653063</v>
      </c>
      <c r="H54" s="31">
        <f t="shared" ca="1" si="10"/>
        <v>30</v>
      </c>
      <c r="J54" s="32" t="str">
        <f ca="1">OFFSET(Org_dat!$C$5,$H54,0)</f>
        <v>Dům dětí a mládeže Poruba</v>
      </c>
      <c r="K54" s="158">
        <f ca="1">OFFSET(Org_dat!$D$5,$H54,0)</f>
        <v>73.273709290953548</v>
      </c>
      <c r="L54" s="34">
        <f ca="1">OFFSET(Org_dat!$E$5,$H54,0)</f>
        <v>2045000</v>
      </c>
      <c r="M54" s="34">
        <f ca="1">OFFSET(Org_dat!$F$5,$H54,0)</f>
        <v>1281006.9099999999</v>
      </c>
      <c r="N54" s="35">
        <f ca="1">OFFSET(Org_dat!$G$5,$H54,0)</f>
        <v>0.62640924694376521</v>
      </c>
      <c r="O54" s="35">
        <f ca="1">OFFSET(Org_dat!$H$5,$H54,0)</f>
        <v>0.14000000000000001</v>
      </c>
      <c r="P54" s="34">
        <f ca="1">OFFSET(Org_dat!$I$5,$H54,0)</f>
        <v>200186.91</v>
      </c>
      <c r="Q54" s="35">
        <f ca="1">OFFSET(Org_dat!$J$5,$H54,0)</f>
        <v>9.789090953545232E-2</v>
      </c>
      <c r="R54" s="35">
        <f ca="1">OFFSET(Org_dat!$K$5,$H54,0)</f>
        <v>0.69922078239608798</v>
      </c>
      <c r="S54" s="34">
        <f ca="1">OFFSET(Org_dat!$L$5,$H54,0)</f>
        <v>138099.81</v>
      </c>
      <c r="T54" s="35">
        <f ca="1">OFFSET(Org_dat!$M$5,$H54,0)</f>
        <v>0.40823302197615091</v>
      </c>
    </row>
    <row r="55" spans="2:20" x14ac:dyDescent="0.2">
      <c r="B55" s="342">
        <f>Org_dat!K51+(C55/100000)</f>
        <v>0.78683205226819908</v>
      </c>
      <c r="C55" s="31">
        <f>Org_dat!B51</f>
        <v>46</v>
      </c>
      <c r="D55" s="32" t="str">
        <f>Org_dat!C51</f>
        <v>MŠ Gen.Janka</v>
      </c>
      <c r="E55" s="33">
        <f ca="1">OFFSET(Org_dat!$C51,0,OrgSortCriteria)</f>
        <v>52.760447607205109</v>
      </c>
      <c r="F55" s="33">
        <f t="shared" ca="1" si="8"/>
        <v>52.760447607991942</v>
      </c>
      <c r="G55" s="33">
        <f t="shared" ca="1" si="9"/>
        <v>73.092729902346164</v>
      </c>
      <c r="H55" s="31">
        <f t="shared" ca="1" si="10"/>
        <v>6</v>
      </c>
      <c r="J55" s="32" t="str">
        <f ca="1">OFFSET(Org_dat!$C$5,$H55,0)</f>
        <v>OZO Ostrava</v>
      </c>
      <c r="K55" s="158">
        <f ca="1">OFFSET(Org_dat!$D$5,$H55,0)</f>
        <v>73.092729901736973</v>
      </c>
      <c r="L55" s="34">
        <f ca="1">OFFSET(Org_dat!$E$5,$H55,0)</f>
        <v>74755000</v>
      </c>
      <c r="M55" s="34">
        <f ca="1">OFFSET(Org_dat!$F$5,$H55,0)</f>
        <v>54638843.849999994</v>
      </c>
      <c r="N55" s="35">
        <f ca="1">OFFSET(Org_dat!$G$5,$H55,0)</f>
        <v>0.73090554277305853</v>
      </c>
      <c r="O55" s="35">
        <f ca="1">OFFSET(Org_dat!$H$5,$H55,0)</f>
        <v>0.23</v>
      </c>
      <c r="P55" s="34">
        <f ca="1">OFFSET(Org_dat!$I$5,$H55,0)</f>
        <v>10473068.52</v>
      </c>
      <c r="Q55" s="35">
        <f ca="1">OFFSET(Org_dat!$J$5,$H55,0)</f>
        <v>0.14009856892515551</v>
      </c>
      <c r="R55" s="35">
        <f ca="1">OFFSET(Org_dat!$K$5,$H55,0)</f>
        <v>0.60912421271806738</v>
      </c>
      <c r="S55" s="34">
        <f ca="1">OFFSET(Org_dat!$L$5,$H55,0)</f>
        <v>1075240.99</v>
      </c>
      <c r="T55" s="35">
        <f ca="1">OFFSET(Org_dat!$M$5,$H55,0)</f>
        <v>9.3108085566023249E-2</v>
      </c>
    </row>
    <row r="56" spans="2:20" x14ac:dyDescent="0.2">
      <c r="B56" s="342">
        <f>Org_dat!K52+(C56/100000)</f>
        <v>0.90333698043221711</v>
      </c>
      <c r="C56" s="31">
        <f>Org_dat!B52</f>
        <v>47</v>
      </c>
      <c r="D56" s="32" t="str">
        <f>Org_dat!C52</f>
        <v>MŠ Harmonie, O-Hrabůvka</v>
      </c>
      <c r="E56" s="33">
        <f ca="1">OFFSET(Org_dat!$C52,0,OrgSortCriteria)</f>
        <v>87.804668235347151</v>
      </c>
      <c r="F56" s="33">
        <f t="shared" ca="1" si="8"/>
        <v>87.804668236250492</v>
      </c>
      <c r="G56" s="33">
        <f t="shared" ca="1" si="9"/>
        <v>72.886961377549028</v>
      </c>
      <c r="H56" s="31">
        <f t="shared" ca="1" si="10"/>
        <v>164</v>
      </c>
      <c r="J56" s="32" t="str">
        <f ca="1">OFFSET(Org_dat!$C$5,$H56,0)</f>
        <v>ZŠ O-Vítkovice, Šalounova</v>
      </c>
      <c r="K56" s="158">
        <f ca="1">OFFSET(Org_dat!$D$5,$H56,0)</f>
        <v>72.886961376999267</v>
      </c>
      <c r="L56" s="34">
        <f ca="1">OFFSET(Org_dat!$E$5,$H56,0)</f>
        <v>1324250</v>
      </c>
      <c r="M56" s="34">
        <f ca="1">OFFSET(Org_dat!$F$5,$H56,0)</f>
        <v>120793053.33000001</v>
      </c>
      <c r="N56" s="35">
        <f ca="1">OFFSET(Org_dat!$G$5,$H56,0)</f>
        <v>91.216200362469337</v>
      </c>
      <c r="O56" s="35">
        <f ca="1">OFFSET(Org_dat!$H$5,$H56,0)</f>
        <v>0.24060000000000001</v>
      </c>
      <c r="P56" s="34">
        <f ca="1">OFFSET(Org_dat!$I$5,$H56,0)</f>
        <v>174637.74</v>
      </c>
      <c r="Q56" s="35">
        <f ca="1">OFFSET(Org_dat!$J$5,$H56,0)</f>
        <v>0.13187671512176702</v>
      </c>
      <c r="R56" s="35">
        <f ca="1">OFFSET(Org_dat!$K$5,$H56,0)</f>
        <v>0.54811602294998762</v>
      </c>
      <c r="S56" s="34">
        <f ca="1">OFFSET(Org_dat!$L$5,$H56,0)</f>
        <v>132721.74</v>
      </c>
      <c r="T56" s="35">
        <f ca="1">OFFSET(Org_dat!$M$5,$H56,0)</f>
        <v>0.43181274252546237</v>
      </c>
    </row>
    <row r="57" spans="2:20" x14ac:dyDescent="0.2">
      <c r="B57" s="342">
        <f>Org_dat!K53+(C57/100000)</f>
        <v>0.40929142195601248</v>
      </c>
      <c r="C57" s="31">
        <f>Org_dat!B53</f>
        <v>48</v>
      </c>
      <c r="D57" s="32" t="str">
        <f>Org_dat!C53</f>
        <v>MŠ Heřmanice</v>
      </c>
      <c r="E57" s="33">
        <f ca="1">OFFSET(Org_dat!$C53,0,OrgSortCriteria)</f>
        <v>24.52868531736075</v>
      </c>
      <c r="F57" s="33">
        <f t="shared" ca="1" si="8"/>
        <v>24.528685317770041</v>
      </c>
      <c r="G57" s="33">
        <f t="shared" ca="1" si="9"/>
        <v>72.522499600850907</v>
      </c>
      <c r="H57" s="31">
        <f t="shared" ca="1" si="10"/>
        <v>87</v>
      </c>
      <c r="J57" s="32" t="str">
        <f ca="1">OFFSET(Org_dat!$C$5,$H57,0)</f>
        <v>MŠ Zelená</v>
      </c>
      <c r="K57" s="158">
        <f ca="1">OFFSET(Org_dat!$D$5,$H57,0)</f>
        <v>72.522499599679747</v>
      </c>
      <c r="L57" s="34">
        <f ca="1">OFFSET(Org_dat!$E$5,$H57,0)</f>
        <v>936750</v>
      </c>
      <c r="M57" s="34">
        <f ca="1">OFFSET(Org_dat!$F$5,$H57,0)</f>
        <v>234609.03</v>
      </c>
      <c r="N57" s="35">
        <f ca="1">OFFSET(Org_dat!$G$5,$H57,0)</f>
        <v>0.25044999199359486</v>
      </c>
      <c r="O57" s="35">
        <f ca="1">OFFSET(Org_dat!$H$5,$H57,0)</f>
        <v>0.2046</v>
      </c>
      <c r="P57" s="34">
        <f ca="1">OFFSET(Org_dat!$I$5,$H57,0)</f>
        <v>224295.97</v>
      </c>
      <c r="Q57" s="35">
        <f ca="1">OFFSET(Org_dat!$J$5,$H57,0)</f>
        <v>0.23944058713637578</v>
      </c>
      <c r="R57" s="35">
        <f ca="1">OFFSET(Org_dat!$K$5,$H57,0)</f>
        <v>1.1702863496401552</v>
      </c>
      <c r="S57" s="34">
        <f ca="1">OFFSET(Org_dat!$L$5,$H57,0)</f>
        <v>59466.009999999995</v>
      </c>
      <c r="T57" s="35">
        <f ca="1">OFFSET(Org_dat!$M$5,$H57,0)</f>
        <v>0.20956299360471053</v>
      </c>
    </row>
    <row r="58" spans="2:20" x14ac:dyDescent="0.2">
      <c r="B58" s="342">
        <f>Org_dat!K54+(C58/100000)</f>
        <v>5.1856771950604279E-2</v>
      </c>
      <c r="C58" s="31">
        <f>Org_dat!B54</f>
        <v>49</v>
      </c>
      <c r="D58" s="32" t="str">
        <f>Org_dat!C54</f>
        <v>MŠ Hornická</v>
      </c>
      <c r="E58" s="33">
        <f ca="1">OFFSET(Org_dat!$C54,0,OrgSortCriteria)</f>
        <v>3.082006317036257</v>
      </c>
      <c r="F58" s="33">
        <f t="shared" ca="1" si="8"/>
        <v>3.0820063170881138</v>
      </c>
      <c r="G58" s="33">
        <f t="shared" ca="1" si="9"/>
        <v>72.236118808788035</v>
      </c>
      <c r="H58" s="31">
        <f t="shared" ca="1" si="10"/>
        <v>122</v>
      </c>
      <c r="J58" s="32" t="str">
        <f ca="1">OFFSET(Org_dat!$C$5,$H58,0)</f>
        <v>ÚMOb Vítkovice</v>
      </c>
      <c r="K58" s="158">
        <f ca="1">OFFSET(Org_dat!$D$5,$H58,0)</f>
        <v>72.236118808137576</v>
      </c>
      <c r="L58" s="34">
        <f ca="1">OFFSET(Org_dat!$E$5,$H58,0)</f>
        <v>15960000</v>
      </c>
      <c r="M58" s="34">
        <f ca="1">OFFSET(Org_dat!$F$5,$H58,0)</f>
        <v>10623543.33</v>
      </c>
      <c r="N58" s="35">
        <f ca="1">OFFSET(Org_dat!$G$5,$H58,0)</f>
        <v>0.66563554699248118</v>
      </c>
      <c r="O58" s="35">
        <f ca="1">OFFSET(Org_dat!$H$5,$H58,0)</f>
        <v>0.16601831318436977</v>
      </c>
      <c r="P58" s="34">
        <f ca="1">OFFSET(Org_dat!$I$5,$H58,0)</f>
        <v>1720257.66</v>
      </c>
      <c r="Q58" s="35">
        <f ca="1">OFFSET(Org_dat!$J$5,$H58,0)</f>
        <v>0.10778556766917292</v>
      </c>
      <c r="R58" s="35">
        <f ca="1">OFFSET(Org_dat!$K$5,$H58,0)</f>
        <v>0.64923902430855851</v>
      </c>
      <c r="S58" s="34">
        <f ca="1">OFFSET(Org_dat!$L$5,$H58,0)</f>
        <v>1330075.18</v>
      </c>
      <c r="T58" s="35">
        <f ca="1">OFFSET(Org_dat!$M$5,$H58,0)</f>
        <v>0.43604263854694625</v>
      </c>
    </row>
    <row r="59" spans="2:20" x14ac:dyDescent="0.2">
      <c r="B59" s="342">
        <f>Org_dat!K55+(C59/100000)</f>
        <v>0.20761280588476877</v>
      </c>
      <c r="C59" s="31">
        <f>Org_dat!B55</f>
        <v>50</v>
      </c>
      <c r="D59" s="32" t="str">
        <f>Org_dat!C55</f>
        <v>MŠ Klubíčko, O-Hrabová</v>
      </c>
      <c r="E59" s="33">
        <f ca="1">OFFSET(Org_dat!$C55,0,OrgSortCriteria)</f>
        <v>12.426768353086127</v>
      </c>
      <c r="F59" s="33">
        <f t="shared" ca="1" si="8"/>
        <v>12.42676835329374</v>
      </c>
      <c r="G59" s="33">
        <f t="shared" ca="1" si="9"/>
        <v>70.689667554580268</v>
      </c>
      <c r="H59" s="31">
        <f t="shared" ca="1" si="10"/>
        <v>160</v>
      </c>
      <c r="J59" s="32" t="str">
        <f ca="1">OFFSET(Org_dat!$C$5,$H59,0)</f>
        <v>ZŠ O-Poruba, Porubská 832</v>
      </c>
      <c r="K59" s="158">
        <f ca="1">OFFSET(Org_dat!$D$5,$H59,0)</f>
        <v>70.689667553627615</v>
      </c>
      <c r="L59" s="34">
        <f ca="1">OFFSET(Org_dat!$E$5,$H59,0)</f>
        <v>2523000</v>
      </c>
      <c r="M59" s="34">
        <f ca="1">OFFSET(Org_dat!$F$5,$H59,0)</f>
        <v>687613.81</v>
      </c>
      <c r="N59" s="35">
        <f ca="1">OFFSET(Org_dat!$G$5,$H59,0)</f>
        <v>0.27253817281014669</v>
      </c>
      <c r="O59" s="35">
        <f ca="1">OFFSET(Org_dat!$H$5,$H59,0)</f>
        <v>0.25209999999999999</v>
      </c>
      <c r="P59" s="34">
        <f ca="1">OFFSET(Org_dat!$I$5,$H59,0)</f>
        <v>604911.17999999993</v>
      </c>
      <c r="Q59" s="35">
        <f ca="1">OFFSET(Org_dat!$J$5,$H59,0)</f>
        <v>0.23975869203329367</v>
      </c>
      <c r="R59" s="35">
        <f ca="1">OFFSET(Org_dat!$K$5,$H59,0)</f>
        <v>0.95104598188533795</v>
      </c>
      <c r="S59" s="34">
        <f ca="1">OFFSET(Org_dat!$L$5,$H59,0)</f>
        <v>169787.08</v>
      </c>
      <c r="T59" s="35">
        <f ca="1">OFFSET(Org_dat!$M$5,$H59,0)</f>
        <v>0.21916543351988427</v>
      </c>
    </row>
    <row r="60" spans="2:20" x14ac:dyDescent="0.2">
      <c r="B60" s="342">
        <f>Org_dat!K56+(C60/100000)</f>
        <v>8.1031926105390673E-2</v>
      </c>
      <c r="C60" s="31">
        <f>Org_dat!B56</f>
        <v>51</v>
      </c>
      <c r="D60" s="32" t="str">
        <f>Org_dat!C56</f>
        <v>MŠ Komerční</v>
      </c>
      <c r="E60" s="33">
        <f ca="1">OFFSET(Org_dat!$C56,0,OrgSortCriteria)</f>
        <v>4.8313155663234406</v>
      </c>
      <c r="F60" s="33">
        <f t="shared" ca="1" si="8"/>
        <v>4.8313155664044727</v>
      </c>
      <c r="G60" s="33">
        <f t="shared" ca="1" si="9"/>
        <v>69.835629590676305</v>
      </c>
      <c r="H60" s="31">
        <f t="shared" ca="1" si="10"/>
        <v>13</v>
      </c>
      <c r="J60" s="32" t="str">
        <f ca="1">OFFSET(Org_dat!$C$5,$H60,0)</f>
        <v>Domov Magnolie</v>
      </c>
      <c r="K60" s="158">
        <f ca="1">OFFSET(Org_dat!$D$5,$H60,0)</f>
        <v>69.835629589869953</v>
      </c>
      <c r="L60" s="34">
        <f ca="1">OFFSET(Org_dat!$E$5,$H60,0)</f>
        <v>3616500</v>
      </c>
      <c r="M60" s="34">
        <f ca="1">OFFSET(Org_dat!$F$5,$H60,0)</f>
        <v>1552353.7</v>
      </c>
      <c r="N60" s="35">
        <f ca="1">OFFSET(Org_dat!$G$5,$H60,0)</f>
        <v>0.42924200193557305</v>
      </c>
      <c r="O60" s="35">
        <f ca="1">OFFSET(Org_dat!$H$5,$H60,0)</f>
        <v>0.51</v>
      </c>
      <c r="P60" s="34">
        <f ca="1">OFFSET(Org_dat!$I$5,$H60,0)</f>
        <v>1487014.3900000001</v>
      </c>
      <c r="Q60" s="35">
        <f ca="1">OFFSET(Org_dat!$J$5,$H60,0)</f>
        <v>0.4111750006912761</v>
      </c>
      <c r="R60" s="35">
        <f ca="1">OFFSET(Org_dat!$K$5,$H60,0)</f>
        <v>0.80622549155152179</v>
      </c>
      <c r="S60" s="34">
        <f ca="1">OFFSET(Org_dat!$L$5,$H60,0)</f>
        <v>865169.65</v>
      </c>
      <c r="T60" s="35">
        <f ca="1">OFFSET(Org_dat!$M$5,$H60,0)</f>
        <v>0.36781545801152532</v>
      </c>
    </row>
    <row r="61" spans="2:20" x14ac:dyDescent="0.2">
      <c r="B61" s="342">
        <f>Org_dat!K57+(C61/100000)</f>
        <v>5.9706915280665275E-2</v>
      </c>
      <c r="C61" s="31">
        <f>Org_dat!B57</f>
        <v>52</v>
      </c>
      <c r="D61" s="32" t="str">
        <f>Org_dat!C57</f>
        <v>MŠ Křižíkova</v>
      </c>
      <c r="E61" s="33">
        <f ca="1">OFFSET(Org_dat!$C57,0,OrgSortCriteria)</f>
        <v>3.5512149168399167</v>
      </c>
      <c r="F61" s="33">
        <f t="shared" ca="1" si="8"/>
        <v>3.5512149168996237</v>
      </c>
      <c r="G61" s="33">
        <f t="shared" ca="1" si="9"/>
        <v>69.574522656998482</v>
      </c>
      <c r="H61" s="31">
        <f t="shared" ca="1" si="10"/>
        <v>102</v>
      </c>
      <c r="J61" s="32" t="str">
        <f ca="1">OFFSET(Org_dat!$C$5,$H61,0)</f>
        <v>ÚMOb Krásné Pole</v>
      </c>
      <c r="K61" s="158">
        <f ca="1">OFFSET(Org_dat!$D$5,$H61,0)</f>
        <v>69.574522656504556</v>
      </c>
      <c r="L61" s="34">
        <f ca="1">OFFSET(Org_dat!$E$5,$H61,0)</f>
        <v>1711000</v>
      </c>
      <c r="M61" s="34">
        <f ca="1">OFFSET(Org_dat!$F$5,$H61,0)</f>
        <v>1682571.74</v>
      </c>
      <c r="N61" s="35">
        <f ca="1">OFFSET(Org_dat!$G$5,$H61,0)</f>
        <v>0.98338500292226771</v>
      </c>
      <c r="O61" s="35">
        <f ca="1">OFFSET(Org_dat!$H$5,$H61,0)</f>
        <v>0.1634802309946293</v>
      </c>
      <c r="P61" s="34">
        <f ca="1">OFFSET(Org_dat!$I$5,$H61,0)</f>
        <v>137873.79999999999</v>
      </c>
      <c r="Q61" s="35">
        <f ca="1">OFFSET(Org_dat!$J$5,$H61,0)</f>
        <v>8.0580829924021033E-2</v>
      </c>
      <c r="R61" s="35">
        <f ca="1">OFFSET(Org_dat!$K$5,$H61,0)</f>
        <v>0.49290871094174254</v>
      </c>
      <c r="S61" s="34">
        <f ca="1">OFFSET(Org_dat!$L$5,$H61,0)</f>
        <v>114153.26999999999</v>
      </c>
      <c r="T61" s="35">
        <f ca="1">OFFSET(Org_dat!$M$5,$H61,0)</f>
        <v>0.45294051150933906</v>
      </c>
    </row>
    <row r="62" spans="2:20" x14ac:dyDescent="0.2">
      <c r="B62" s="342">
        <f>Org_dat!K58+(C62/100000)</f>
        <v>0.33433030163190147</v>
      </c>
      <c r="C62" s="31">
        <f>Org_dat!B58</f>
        <v>53</v>
      </c>
      <c r="D62" s="32" t="str">
        <f>Org_dat!C58</f>
        <v>MŠ Lechowiczova</v>
      </c>
      <c r="E62" s="33">
        <f ca="1">OFFSET(Org_dat!$C58,0,OrgSortCriteria)</f>
        <v>25.169143476472538</v>
      </c>
      <c r="F62" s="33">
        <f t="shared" ca="1" si="8"/>
        <v>25.16914347680687</v>
      </c>
      <c r="G62" s="33">
        <f t="shared" ca="1" si="9"/>
        <v>69.524546648305119</v>
      </c>
      <c r="H62" s="31">
        <f t="shared" ca="1" si="10"/>
        <v>162</v>
      </c>
      <c r="J62" s="32" t="str">
        <f ca="1">OFFSET(Org_dat!$C$5,$H62,0)</f>
        <v>ZŠ O-Radvanice, Vrchlického</v>
      </c>
      <c r="K62" s="158">
        <f ca="1">OFFSET(Org_dat!$D$5,$H62,0)</f>
        <v>69.524546646921934</v>
      </c>
      <c r="L62" s="34">
        <f ca="1">OFFSET(Org_dat!$E$5,$H62,0)</f>
        <v>2363500</v>
      </c>
      <c r="M62" s="34">
        <f ca="1">OFFSET(Org_dat!$F$5,$H62,0)</f>
        <v>450225.32</v>
      </c>
      <c r="N62" s="35">
        <f ca="1">OFFSET(Org_dat!$G$5,$H62,0)</f>
        <v>0.19049093293843877</v>
      </c>
      <c r="O62" s="35">
        <f ca="1">OFFSET(Org_dat!$H$5,$H62,0)</f>
        <v>0.27689999999999998</v>
      </c>
      <c r="P62" s="34">
        <f ca="1">OFFSET(Org_dat!$I$5,$H62,0)</f>
        <v>904165.95</v>
      </c>
      <c r="Q62" s="35">
        <f ca="1">OFFSET(Org_dat!$J$5,$H62,0)</f>
        <v>0.38255381848952824</v>
      </c>
      <c r="R62" s="35">
        <f ca="1">OFFSET(Org_dat!$K$5,$H62,0)</f>
        <v>1.3815594745017272</v>
      </c>
      <c r="S62" s="34">
        <f ca="1">OFFSET(Org_dat!$L$5,$H62,0)</f>
        <v>502182.5</v>
      </c>
      <c r="T62" s="35">
        <f ca="1">OFFSET(Org_dat!$M$5,$H62,0)</f>
        <v>0.35708255660252625</v>
      </c>
    </row>
    <row r="63" spans="2:20" x14ac:dyDescent="0.2">
      <c r="B63" s="342">
        <f>Org_dat!K59+(C63/100000)</f>
        <v>5.4000000000000001E-4</v>
      </c>
      <c r="C63" s="31">
        <f>Org_dat!B59</f>
        <v>54</v>
      </c>
      <c r="D63" s="32" t="str">
        <f>Org_dat!C59</f>
        <v>MŠ Martinovská</v>
      </c>
      <c r="E63" s="33">
        <f ca="1">OFFSET(Org_dat!$C59,0,OrgSortCriteria)</f>
        <v>0</v>
      </c>
      <c r="F63" s="33">
        <f t="shared" ca="1" si="8"/>
        <v>5.4000000000000002E-13</v>
      </c>
      <c r="G63" s="33">
        <f t="shared" ca="1" si="9"/>
        <v>69.112856891536296</v>
      </c>
      <c r="H63" s="31">
        <f t="shared" ca="1" si="10"/>
        <v>1</v>
      </c>
      <c r="J63" s="32" t="str">
        <f ca="1">OFFSET(Org_dat!$C$5,$H63,0)</f>
        <v>Domov Slunečnice</v>
      </c>
      <c r="K63" s="158">
        <f ca="1">OFFSET(Org_dat!$D$5,$H63,0)</f>
        <v>69.112856891051067</v>
      </c>
      <c r="L63" s="34">
        <f ca="1">OFFSET(Org_dat!$E$5,$H63,0)</f>
        <v>18911000</v>
      </c>
      <c r="M63" s="34">
        <f ca="1">OFFSET(Org_dat!$F$5,$H63,0)</f>
        <v>15578098.960000001</v>
      </c>
      <c r="N63" s="35">
        <f ca="1">OFFSET(Org_dat!$G$5,$H63,0)</f>
        <v>0.82375860398709755</v>
      </c>
      <c r="O63" s="35">
        <f ca="1">OFFSET(Org_dat!$H$5,$H63,0)</f>
        <v>0.54</v>
      </c>
      <c r="P63" s="34">
        <f ca="1">OFFSET(Org_dat!$I$5,$H63,0)</f>
        <v>4954979.13</v>
      </c>
      <c r="Q63" s="35">
        <f ca="1">OFFSET(Org_dat!$J$5,$H63,0)</f>
        <v>0.26201571201945956</v>
      </c>
      <c r="R63" s="35">
        <f ca="1">OFFSET(Org_dat!$K$5,$H63,0)</f>
        <v>0.48521428151751772</v>
      </c>
      <c r="S63" s="34">
        <f ca="1">OFFSET(Org_dat!$L$5,$H63,0)</f>
        <v>1307140.1200000001</v>
      </c>
      <c r="T63" s="35">
        <f ca="1">OFFSET(Org_dat!$M$5,$H63,0)</f>
        <v>0.20873766017790224</v>
      </c>
    </row>
    <row r="64" spans="2:20" x14ac:dyDescent="0.2">
      <c r="B64" s="342">
        <f>Org_dat!K60+(C64/100000)</f>
        <v>0.24843710555363993</v>
      </c>
      <c r="C64" s="31">
        <f>Org_dat!B60</f>
        <v>55</v>
      </c>
      <c r="D64" s="32" t="str">
        <f>Org_dat!C60</f>
        <v>MŠ Na Jízdárně</v>
      </c>
      <c r="E64" s="33">
        <f ca="1">OFFSET(Org_dat!$C60,0,OrgSortCriteria)</f>
        <v>16.257602018775984</v>
      </c>
      <c r="F64" s="33">
        <f t="shared" ca="1" si="8"/>
        <v>16.257602019024421</v>
      </c>
      <c r="G64" s="33">
        <f t="shared" ca="1" si="9"/>
        <v>68.681486974242176</v>
      </c>
      <c r="H64" s="31">
        <f t="shared" ca="1" si="10"/>
        <v>132</v>
      </c>
      <c r="J64" s="32" t="str">
        <f ca="1">OFFSET(Org_dat!$C$5,$H64,0)</f>
        <v>ZŠ a MŠ O-Svinov</v>
      </c>
      <c r="K64" s="158">
        <f ca="1">OFFSET(Org_dat!$D$5,$H64,0)</f>
        <v>68.681486973411495</v>
      </c>
      <c r="L64" s="34">
        <f ca="1">OFFSET(Org_dat!$E$5,$H64,0)</f>
        <v>4033413</v>
      </c>
      <c r="M64" s="34">
        <f ca="1">OFFSET(Org_dat!$F$5,$H64,0)</f>
        <v>1526229.89</v>
      </c>
      <c r="N64" s="35">
        <f ca="1">OFFSET(Org_dat!$G$5,$H64,0)</f>
        <v>0.3783966308434073</v>
      </c>
      <c r="O64" s="35">
        <f ca="1">OFFSET(Org_dat!$H$5,$H64,0)</f>
        <v>0.37509999999999999</v>
      </c>
      <c r="P64" s="34">
        <f ca="1">OFFSET(Org_dat!$I$5,$H64,0)</f>
        <v>1254767.69</v>
      </c>
      <c r="Q64" s="35">
        <f ca="1">OFFSET(Org_dat!$J$5,$H64,0)</f>
        <v>0.3110932825376424</v>
      </c>
      <c r="R64" s="35">
        <f ca="1">OFFSET(Org_dat!$K$5,$H64,0)</f>
        <v>0.82936092385401872</v>
      </c>
      <c r="S64" s="34">
        <f ca="1">OFFSET(Org_dat!$L$5,$H64,0)</f>
        <v>521359.96</v>
      </c>
      <c r="T64" s="35">
        <f ca="1">OFFSET(Org_dat!$M$5,$H64,0)</f>
        <v>0.29353743803267746</v>
      </c>
    </row>
    <row r="65" spans="2:20" x14ac:dyDescent="0.2">
      <c r="B65" s="342">
        <f>Org_dat!K61+(C65/100000)</f>
        <v>0.71013934170265092</v>
      </c>
      <c r="C65" s="31">
        <f>Org_dat!B61</f>
        <v>56</v>
      </c>
      <c r="D65" s="32" t="str">
        <f>Org_dat!C61</f>
        <v>MŠ O-Bartovice</v>
      </c>
      <c r="E65" s="33">
        <f ca="1">OFFSET(Org_dat!$C61,0,OrgSortCriteria)</f>
        <v>42.574760502159052</v>
      </c>
      <c r="F65" s="33">
        <f t="shared" ca="1" si="8"/>
        <v>42.574760502869189</v>
      </c>
      <c r="G65" s="33">
        <f t="shared" ca="1" si="9"/>
        <v>67.989346355486006</v>
      </c>
      <c r="H65" s="31">
        <f t="shared" ca="1" si="10"/>
        <v>112</v>
      </c>
      <c r="J65" s="32" t="str">
        <f ca="1">OFFSET(Org_dat!$C$5,$H65,0)</f>
        <v>ÚMOb Plesná</v>
      </c>
      <c r="K65" s="158">
        <f ca="1">OFFSET(Org_dat!$D$5,$H65,0)</f>
        <v>67.989346355018398</v>
      </c>
      <c r="L65" s="34">
        <f ca="1">OFFSET(Org_dat!$E$5,$H65,0)</f>
        <v>900500</v>
      </c>
      <c r="M65" s="34">
        <f ca="1">OFFSET(Org_dat!$F$5,$H65,0)</f>
        <v>832062.81</v>
      </c>
      <c r="N65" s="35">
        <f ca="1">OFFSET(Org_dat!$G$5,$H65,0)</f>
        <v>0.92400089950027764</v>
      </c>
      <c r="O65" s="35">
        <f ca="1">OFFSET(Org_dat!$H$5,$H65,0)</f>
        <v>0.13139999999999999</v>
      </c>
      <c r="P65" s="34">
        <f ca="1">OFFSET(Org_dat!$I$5,$H65,0)</f>
        <v>55197.65</v>
      </c>
      <c r="Q65" s="35">
        <f ca="1">OFFSET(Org_dat!$J$5,$H65,0)</f>
        <v>6.1296668517490285E-2</v>
      </c>
      <c r="R65" s="35">
        <f ca="1">OFFSET(Org_dat!$K$5,$H65,0)</f>
        <v>0.46648910591697323</v>
      </c>
      <c r="S65" s="34">
        <f ca="1">OFFSET(Org_dat!$L$5,$H65,0)</f>
        <v>54579.79</v>
      </c>
      <c r="T65" s="35">
        <f ca="1">OFFSET(Org_dat!$M$5,$H65,0)</f>
        <v>0.4971858516649687</v>
      </c>
    </row>
    <row r="66" spans="2:20" x14ac:dyDescent="0.2">
      <c r="B66" s="342">
        <f>Org_dat!K62+(C66/100000)</f>
        <v>0.31382062216605966</v>
      </c>
      <c r="C66" s="31">
        <f>Org_dat!B62</f>
        <v>57</v>
      </c>
      <c r="D66" s="32" t="str">
        <f>Org_dat!C62</f>
        <v>MŠ O-Dubina, A.Gavlase</v>
      </c>
      <c r="E66" s="33">
        <f ca="1">OFFSET(Org_dat!$C62,0,OrgSortCriteria)</f>
        <v>21.161740098707639</v>
      </c>
      <c r="F66" s="33">
        <f t="shared" ca="1" si="8"/>
        <v>21.161740099021461</v>
      </c>
      <c r="G66" s="33">
        <f t="shared" ca="1" si="9"/>
        <v>64.95208710698661</v>
      </c>
      <c r="H66" s="31">
        <f t="shared" ca="1" si="10"/>
        <v>90</v>
      </c>
      <c r="J66" s="32" t="str">
        <f ca="1">OFFSET(Org_dat!$C$5,$H66,0)</f>
        <v>Ostravské výstavy, a.s.</v>
      </c>
      <c r="K66" s="158">
        <f ca="1">OFFSET(Org_dat!$D$5,$H66,0)</f>
        <v>64.9520871061018</v>
      </c>
      <c r="L66" s="34">
        <f ca="1">OFFSET(Org_dat!$E$5,$H66,0)</f>
        <v>11984500</v>
      </c>
      <c r="M66" s="34">
        <f ca="1">OFFSET(Org_dat!$F$5,$H66,0)</f>
        <v>2856465.0200000005</v>
      </c>
      <c r="N66" s="35">
        <f ca="1">OFFSET(Org_dat!$G$5,$H66,0)</f>
        <v>0.23834661604572577</v>
      </c>
      <c r="O66" s="35">
        <f ca="1">OFFSET(Org_dat!$H$5,$H66,0)</f>
        <v>0.13</v>
      </c>
      <c r="P66" s="34">
        <f ca="1">OFFSET(Org_dat!$I$5,$H66,0)</f>
        <v>1377122.58</v>
      </c>
      <c r="Q66" s="35">
        <f ca="1">OFFSET(Org_dat!$J$5,$H66,0)</f>
        <v>0.11490863865826693</v>
      </c>
      <c r="R66" s="35">
        <f ca="1">OFFSET(Org_dat!$K$5,$H66,0)</f>
        <v>0.88391260506359182</v>
      </c>
      <c r="S66" s="34">
        <f ca="1">OFFSET(Org_dat!$L$5,$H66,0)</f>
        <v>753894.08000000007</v>
      </c>
      <c r="T66" s="35">
        <f ca="1">OFFSET(Org_dat!$M$5,$H66,0)</f>
        <v>0.35377202541438602</v>
      </c>
    </row>
    <row r="67" spans="2:20" x14ac:dyDescent="0.2">
      <c r="B67" s="342">
        <f>Org_dat!K63+(C67/100000)</f>
        <v>0.40648362933677229</v>
      </c>
      <c r="C67" s="31">
        <f>Org_dat!B63</f>
        <v>58</v>
      </c>
      <c r="D67" s="32" t="str">
        <f>Org_dat!C63</f>
        <v>MŠ O-Dubina, F.Formana</v>
      </c>
      <c r="E67" s="33">
        <f ca="1">OFFSET(Org_dat!$C63,0,OrgSortCriteria)</f>
        <v>28.590570102540905</v>
      </c>
      <c r="F67" s="33">
        <f t="shared" ca="1" si="8"/>
        <v>28.590570102947389</v>
      </c>
      <c r="G67" s="33">
        <f t="shared" ca="1" si="9"/>
        <v>64.929191993586599</v>
      </c>
      <c r="H67" s="31">
        <f t="shared" ca="1" si="10"/>
        <v>98</v>
      </c>
      <c r="J67" s="32" t="str">
        <f ca="1">OFFSET(Org_dat!$C$5,$H67,0)</f>
        <v>Technické služby Slezská Ostrava</v>
      </c>
      <c r="K67" s="158">
        <f ca="1">OFFSET(Org_dat!$D$5,$H67,0)</f>
        <v>64.929191992815703</v>
      </c>
      <c r="L67" s="34">
        <f ca="1">OFFSET(Org_dat!$E$5,$H67,0)</f>
        <v>11661800</v>
      </c>
      <c r="M67" s="34">
        <f ca="1">OFFSET(Org_dat!$F$5,$H67,0)</f>
        <v>4369441.8600000003</v>
      </c>
      <c r="N67" s="35">
        <f ca="1">OFFSET(Org_dat!$G$5,$H67,0)</f>
        <v>0.37467988303692401</v>
      </c>
      <c r="O67" s="35">
        <f ca="1">OFFSET(Org_dat!$H$5,$H67,0)</f>
        <v>0.44</v>
      </c>
      <c r="P67" s="34">
        <f ca="1">OFFSET(Org_dat!$I$5,$H67,0)</f>
        <v>3950607.1599999997</v>
      </c>
      <c r="Q67" s="35">
        <f ca="1">OFFSET(Org_dat!$J$5,$H67,0)</f>
        <v>0.3387647841671097</v>
      </c>
      <c r="R67" s="35">
        <f ca="1">OFFSET(Org_dat!$K$5,$H67,0)</f>
        <v>0.76991996401615836</v>
      </c>
      <c r="S67" s="34">
        <f ca="1">OFFSET(Org_dat!$L$5,$H67,0)</f>
        <v>252055.90000000002</v>
      </c>
      <c r="T67" s="35">
        <f ca="1">OFFSET(Org_dat!$M$5,$H67,0)</f>
        <v>5.9975281482594053E-2</v>
      </c>
    </row>
    <row r="68" spans="2:20" x14ac:dyDescent="0.2">
      <c r="B68" s="342">
        <f>Org_dat!K64+(C68/100000)</f>
        <v>0.18245757959016473</v>
      </c>
      <c r="C68" s="31">
        <f>Org_dat!B64</f>
        <v>59</v>
      </c>
      <c r="D68" s="32" t="str">
        <f>Org_dat!C64</f>
        <v>MŠ O-Hrabůvka, Adamusova</v>
      </c>
      <c r="E68" s="33">
        <f ca="1">OFFSET(Org_dat!$C64,0,OrgSortCriteria)</f>
        <v>31.794298831548872</v>
      </c>
      <c r="F68" s="33">
        <f t="shared" ca="1" si="8"/>
        <v>31.794298831731329</v>
      </c>
      <c r="G68" s="33">
        <f t="shared" ca="1" si="9"/>
        <v>64.31340008583615</v>
      </c>
      <c r="H68" s="31">
        <f t="shared" ca="1" si="10"/>
        <v>142</v>
      </c>
      <c r="J68" s="32" t="str">
        <f ca="1">OFFSET(Org_dat!$C$5,$H68,0)</f>
        <v>ZŠ O-Dubina, F.Formana</v>
      </c>
      <c r="K68" s="158">
        <f ca="1">OFFSET(Org_dat!$D$5,$H68,0)</f>
        <v>64.313400083612038</v>
      </c>
      <c r="L68" s="34">
        <f ca="1">OFFSET(Org_dat!$E$5,$H68,0)</f>
        <v>3588000</v>
      </c>
      <c r="M68" s="34">
        <f ca="1">OFFSET(Org_dat!$F$5,$H68,0)</f>
        <v>309529.59000000003</v>
      </c>
      <c r="N68" s="35">
        <f ca="1">OFFSET(Org_dat!$G$5,$H68,0)</f>
        <v>8.6268001672240816E-2</v>
      </c>
      <c r="O68" s="35">
        <f ca="1">OFFSET(Org_dat!$H$5,$H68,0)</f>
        <v>0.20780000000000001</v>
      </c>
      <c r="P68" s="34">
        <f ca="1">OFFSET(Org_dat!$I$5,$H68,0)</f>
        <v>1657211.98</v>
      </c>
      <c r="Q68" s="35">
        <f ca="1">OFFSET(Org_dat!$J$5,$H68,0)</f>
        <v>0.46187624860646598</v>
      </c>
      <c r="R68" s="35">
        <f ca="1">OFFSET(Org_dat!$K$5,$H68,0)</f>
        <v>2.2226960953150434</v>
      </c>
      <c r="S68" s="34">
        <f ca="1">OFFSET(Org_dat!$L$5,$H68,0)</f>
        <v>600046.91999999993</v>
      </c>
      <c r="T68" s="35">
        <f ca="1">OFFSET(Org_dat!$M$5,$H68,0)</f>
        <v>0.2658299054663158</v>
      </c>
    </row>
    <row r="69" spans="2:20" x14ac:dyDescent="0.2">
      <c r="B69" s="342">
        <f>Org_dat!K65+(C69/100000)</f>
        <v>0.98854986538071909</v>
      </c>
      <c r="C69" s="31">
        <f>Org_dat!B65</f>
        <v>60</v>
      </c>
      <c r="D69" s="32" t="str">
        <f>Org_dat!C65</f>
        <v>MŠ O-Hulváky, Matrosova</v>
      </c>
      <c r="E69" s="33">
        <f ca="1">OFFSET(Org_dat!$C65,0,OrgSortCriteria)</f>
        <v>77.978220294007059</v>
      </c>
      <c r="F69" s="33">
        <f t="shared" ca="1" si="8"/>
        <v>77.978220294995609</v>
      </c>
      <c r="G69" s="33">
        <f t="shared" ca="1" si="9"/>
        <v>64.149026333446429</v>
      </c>
      <c r="H69" s="31">
        <f t="shared" ca="1" si="10"/>
        <v>150</v>
      </c>
      <c r="J69" s="32" t="str">
        <f ca="1">OFFSET(Org_dat!$C$5,$H69,0)</f>
        <v>ZŠ O-Petřkovice</v>
      </c>
      <c r="K69" s="158">
        <f ca="1">OFFSET(Org_dat!$D$5,$H69,0)</f>
        <v>64.149026332512747</v>
      </c>
      <c r="L69" s="34">
        <f ca="1">OFFSET(Org_dat!$E$5,$H69,0)</f>
        <v>1667500</v>
      </c>
      <c r="M69" s="34">
        <f ca="1">OFFSET(Org_dat!$F$5,$H69,0)</f>
        <v>274082.95</v>
      </c>
      <c r="N69" s="35">
        <f ca="1">OFFSET(Org_dat!$G$5,$H69,0)</f>
        <v>0.16436758620689657</v>
      </c>
      <c r="O69" s="35">
        <f ca="1">OFFSET(Org_dat!$H$5,$H69,0)</f>
        <v>0.29160000000000003</v>
      </c>
      <c r="P69" s="34">
        <f ca="1">OFFSET(Org_dat!$I$5,$H69,0)</f>
        <v>453264.76</v>
      </c>
      <c r="Q69" s="35">
        <f ca="1">OFFSET(Org_dat!$J$5,$H69,0)</f>
        <v>0.27182294452773614</v>
      </c>
      <c r="R69" s="35">
        <f ca="1">OFFSET(Org_dat!$K$5,$H69,0)</f>
        <v>0.93217745036946542</v>
      </c>
      <c r="S69" s="34">
        <f ca="1">OFFSET(Org_dat!$L$5,$H69,0)</f>
        <v>185731.62</v>
      </c>
      <c r="T69" s="35">
        <f ca="1">OFFSET(Org_dat!$M$5,$H69,0)</f>
        <v>0.29066145883330358</v>
      </c>
    </row>
    <row r="70" spans="2:20" x14ac:dyDescent="0.2">
      <c r="B70" s="342">
        <f>Org_dat!K66+(C70/100000)</f>
        <v>0.23109059181103347</v>
      </c>
      <c r="C70" s="31">
        <f>Org_dat!B66</f>
        <v>61</v>
      </c>
      <c r="D70" s="32" t="str">
        <f>Org_dat!C66</f>
        <v>MŠ O-Nová Bělá</v>
      </c>
      <c r="E70" s="33">
        <f ca="1">OFFSET(Org_dat!$C66,0,OrgSortCriteria)</f>
        <v>13.828835508662008</v>
      </c>
      <c r="F70" s="33">
        <f t="shared" ca="1" si="8"/>
        <v>13.828835508893098</v>
      </c>
      <c r="G70" s="33">
        <f t="shared" ca="1" si="9"/>
        <v>64.12813553732272</v>
      </c>
      <c r="H70" s="31">
        <f t="shared" ca="1" si="10"/>
        <v>4</v>
      </c>
      <c r="J70" s="32" t="str">
        <f ca="1">OFFSET(Org_dat!$C$5,$H70,0)</f>
        <v>Městská nemocnice Ostrava</v>
      </c>
      <c r="K70" s="158">
        <f ca="1">OFFSET(Org_dat!$D$5,$H70,0)</f>
        <v>64.128135536553913</v>
      </c>
      <c r="L70" s="34">
        <f ca="1">OFFSET(Org_dat!$E$5,$H70,0)</f>
        <v>271189000</v>
      </c>
      <c r="M70" s="34">
        <f ca="1">OFFSET(Org_dat!$F$5,$H70,0)</f>
        <v>97641648.510000005</v>
      </c>
      <c r="N70" s="35">
        <f ca="1">OFFSET(Org_dat!$G$5,$H70,0)</f>
        <v>0.36005018090704272</v>
      </c>
      <c r="O70" s="35">
        <f ca="1">OFFSET(Org_dat!$H$5,$H70,0)</f>
        <v>6.6600000000000006E-2</v>
      </c>
      <c r="P70" s="34">
        <f ca="1">OFFSET(Org_dat!$I$5,$H70,0)</f>
        <v>13884726.399999999</v>
      </c>
      <c r="Q70" s="35">
        <f ca="1">OFFSET(Org_dat!$J$5,$H70,0)</f>
        <v>5.1199445405233981E-2</v>
      </c>
      <c r="R70" s="35">
        <f ca="1">OFFSET(Org_dat!$K$5,$H70,0)</f>
        <v>0.76876044152002965</v>
      </c>
      <c r="S70" s="34">
        <f ca="1">OFFSET(Org_dat!$L$5,$H70,0)</f>
        <v>4325016.75</v>
      </c>
      <c r="T70" s="35">
        <f ca="1">OFFSET(Org_dat!$M$5,$H70,0)</f>
        <v>0.2375111342523247</v>
      </c>
    </row>
    <row r="71" spans="2:20" x14ac:dyDescent="0.2">
      <c r="B71" s="342">
        <f>Org_dat!K67+(C71/100000)</f>
        <v>0.7092181204768212</v>
      </c>
      <c r="C71" s="31">
        <f>Org_dat!B67</f>
        <v>62</v>
      </c>
      <c r="D71" s="32" t="str">
        <f>Org_dat!C67</f>
        <v>MŠ O-Petřkovice</v>
      </c>
      <c r="E71" s="33">
        <f ca="1">OFFSET(Org_dat!$C67,0,OrgSortCriteria)</f>
        <v>50.376413068506395</v>
      </c>
      <c r="F71" s="33">
        <f t="shared" ca="1" si="8"/>
        <v>50.376413069215616</v>
      </c>
      <c r="G71" s="33">
        <f t="shared" ca="1" si="9"/>
        <v>62.626519277068063</v>
      </c>
      <c r="H71" s="31">
        <f t="shared" ca="1" si="10"/>
        <v>161</v>
      </c>
      <c r="J71" s="32" t="str">
        <f ca="1">OFFSET(Org_dat!$C$5,$H71,0)</f>
        <v>ZŠ O-Poruba, Ukrajinská</v>
      </c>
      <c r="K71" s="158">
        <f ca="1">OFFSET(Org_dat!$D$5,$H71,0)</f>
        <v>62.626519276103579</v>
      </c>
      <c r="L71" s="34">
        <f ca="1">OFFSET(Org_dat!$E$5,$H71,0)</f>
        <v>1714650</v>
      </c>
      <c r="M71" s="34">
        <f ca="1">OFFSET(Org_dat!$F$5,$H71,0)</f>
        <v>166467.70000000001</v>
      </c>
      <c r="N71" s="35">
        <f ca="1">OFFSET(Org_dat!$G$5,$H71,0)</f>
        <v>9.7085527658705859E-2</v>
      </c>
      <c r="O71" s="35">
        <f ca="1">OFFSET(Org_dat!$H$5,$H71,0)</f>
        <v>0.18210000000000001</v>
      </c>
      <c r="P71" s="34">
        <f ca="1">OFFSET(Org_dat!$I$5,$H71,0)</f>
        <v>300644.59999999998</v>
      </c>
      <c r="Q71" s="35">
        <f ca="1">OFFSET(Org_dat!$J$5,$H71,0)</f>
        <v>0.17533875718076575</v>
      </c>
      <c r="R71" s="35">
        <f ca="1">OFFSET(Org_dat!$K$5,$H71,0)</f>
        <v>0.96287071488613807</v>
      </c>
      <c r="S71" s="34">
        <f ca="1">OFFSET(Org_dat!$L$5,$H71,0)</f>
        <v>158419.85999999999</v>
      </c>
      <c r="T71" s="35">
        <f ca="1">OFFSET(Org_dat!$M$5,$H71,0)</f>
        <v>0.34509284382415489</v>
      </c>
    </row>
    <row r="72" spans="2:20" x14ac:dyDescent="0.2">
      <c r="B72" s="342">
        <f>Org_dat!K68+(C72/100000)</f>
        <v>0.38889255985016274</v>
      </c>
      <c r="C72" s="31">
        <f>Org_dat!B68</f>
        <v>63</v>
      </c>
      <c r="D72" s="32" t="str">
        <f>Org_dat!C68</f>
        <v>MŠ O-Plesná</v>
      </c>
      <c r="E72" s="33">
        <f ca="1">OFFSET(Org_dat!$C68,0,OrgSortCriteria)</f>
        <v>23.698987178796024</v>
      </c>
      <c r="F72" s="33">
        <f t="shared" ca="1" si="8"/>
        <v>23.698987179184918</v>
      </c>
      <c r="G72" s="33">
        <f t="shared" ca="1" si="9"/>
        <v>62.426086957816153</v>
      </c>
      <c r="H72" s="31">
        <f t="shared" ca="1" si="10"/>
        <v>141</v>
      </c>
      <c r="J72" s="32" t="str">
        <f ca="1">OFFSET(Org_dat!$C$5,$H72,0)</f>
        <v>ZŠ MO a Přívoz, Gajdošova</v>
      </c>
      <c r="K72" s="158">
        <f ca="1">OFFSET(Org_dat!$D$5,$H72,0)</f>
        <v>62.426086956521736</v>
      </c>
      <c r="L72" s="34">
        <f ca="1">OFFSET(Org_dat!$E$5,$H72,0)</f>
        <v>494500</v>
      </c>
      <c r="M72" s="34">
        <f ca="1">OFFSET(Org_dat!$F$5,$H72,0)</f>
        <v>23994</v>
      </c>
      <c r="N72" s="35">
        <f ca="1">OFFSET(Org_dat!$G$5,$H72,0)</f>
        <v>4.8521739130434782E-2</v>
      </c>
      <c r="O72" s="35">
        <f ca="1">OFFSET(Org_dat!$H$5,$H72,0)</f>
        <v>5.6599999999999998E-2</v>
      </c>
      <c r="P72" s="34">
        <f ca="1">OFFSET(Org_dat!$I$5,$H72,0)</f>
        <v>36189.599999999999</v>
      </c>
      <c r="Q72" s="35">
        <f ca="1">OFFSET(Org_dat!$J$5,$H72,0)</f>
        <v>7.3184226491405463E-2</v>
      </c>
      <c r="R72" s="35">
        <f ca="1">OFFSET(Org_dat!$K$5,$H72,0)</f>
        <v>1.2930075351838421</v>
      </c>
      <c r="S72" s="34">
        <f ca="1">OFFSET(Org_dat!$L$5,$H72,0)</f>
        <v>18560.97</v>
      </c>
      <c r="T72" s="35">
        <f ca="1">OFFSET(Org_dat!$M$5,$H72,0)</f>
        <v>0.33900962126969642</v>
      </c>
    </row>
    <row r="73" spans="2:20" x14ac:dyDescent="0.2">
      <c r="B73" s="342">
        <f>Org_dat!K69+(C73/100000)</f>
        <v>0.98895740390405196</v>
      </c>
      <c r="C73" s="31">
        <f>Org_dat!B69</f>
        <v>64</v>
      </c>
      <c r="D73" s="32" t="str">
        <f>Org_dat!C69</f>
        <v>MŠ O-Poruba, Dětská</v>
      </c>
      <c r="E73" s="33">
        <f ca="1">OFFSET(Org_dat!$C69,0,OrgSortCriteria)</f>
        <v>82.738241213618011</v>
      </c>
      <c r="F73" s="33">
        <f t="shared" ca="1" si="8"/>
        <v>82.738241214606973</v>
      </c>
      <c r="G73" s="33">
        <f t="shared" ca="1" si="9"/>
        <v>61.575880176761345</v>
      </c>
      <c r="H73" s="31">
        <f t="shared" ca="1" si="10"/>
        <v>120</v>
      </c>
      <c r="J73" s="32" t="str">
        <f ca="1">OFFSET(Org_dat!$C$5,$H73,0)</f>
        <v>ÚMOb Svinov</v>
      </c>
      <c r="K73" s="158">
        <f ca="1">OFFSET(Org_dat!$D$5,$H73,0)</f>
        <v>61.575880176277643</v>
      </c>
      <c r="L73" s="34">
        <f ca="1">OFFSET(Org_dat!$E$5,$H73,0)</f>
        <v>3687000</v>
      </c>
      <c r="M73" s="34">
        <f ca="1">OFFSET(Org_dat!$F$5,$H73,0)</f>
        <v>2405810.67</v>
      </c>
      <c r="N73" s="35">
        <f ca="1">OFFSET(Org_dat!$G$5,$H73,0)</f>
        <v>0.65251170870626518</v>
      </c>
      <c r="O73" s="35">
        <f ca="1">OFFSET(Org_dat!$H$5,$H73,0)</f>
        <v>0.14752125202248395</v>
      </c>
      <c r="P73" s="34">
        <f ca="1">OFFSET(Org_dat!$I$5,$H73,0)</f>
        <v>262439.66000000003</v>
      </c>
      <c r="Q73" s="35">
        <f ca="1">OFFSET(Org_dat!$J$5,$H73,0)</f>
        <v>7.1179728776783302E-2</v>
      </c>
      <c r="R73" s="35">
        <f ca="1">OFFSET(Org_dat!$K$5,$H73,0)</f>
        <v>0.48250491234940635</v>
      </c>
      <c r="S73" s="34">
        <f ca="1">OFFSET(Org_dat!$L$5,$H73,0)</f>
        <v>192694.99</v>
      </c>
      <c r="T73" s="35">
        <f ca="1">OFFSET(Org_dat!$M$5,$H73,0)</f>
        <v>0.42338017990939603</v>
      </c>
    </row>
    <row r="74" spans="2:20" x14ac:dyDescent="0.2">
      <c r="B74" s="342">
        <f>Org_dat!K70+(C74/100000)</f>
        <v>1.0305702951728637</v>
      </c>
      <c r="C74" s="31">
        <f>Org_dat!B70</f>
        <v>65</v>
      </c>
      <c r="D74" s="32" t="str">
        <f>Org_dat!C70</f>
        <v>MŠ O-Poruba, Dvorní</v>
      </c>
      <c r="E74" s="33">
        <f ca="1">OFFSET(Org_dat!$C70,0,OrgSortCriteria)</f>
        <v>75.21790844155845</v>
      </c>
      <c r="F74" s="33">
        <f t="shared" ca="1" si="8"/>
        <v>75.217908442589021</v>
      </c>
      <c r="G74" s="33">
        <f t="shared" ref="G74:G105" ca="1" si="11">IF(ISERROR(LARGE($F$10:$F$185,C74)),0,LARGE($F$10:$F$185,C74))</f>
        <v>61.160588107488799</v>
      </c>
      <c r="H74" s="31">
        <f t="shared" ref="H74:H105" ca="1" si="12">MATCH(G74,$F$10:$F$185,0)</f>
        <v>155</v>
      </c>
      <c r="J74" s="32" t="str">
        <f ca="1">OFFSET(Org_dat!$C$5,$H74,0)</f>
        <v>ZŠ O-Poruba, I.Sekaniny</v>
      </c>
      <c r="K74" s="158">
        <f ca="1">OFFSET(Org_dat!$D$5,$H74,0)</f>
        <v>61.160588106753686</v>
      </c>
      <c r="L74" s="34">
        <f ca="1">OFFSET(Org_dat!$E$5,$H74,0)</f>
        <v>2768800</v>
      </c>
      <c r="M74" s="34">
        <f ca="1">OFFSET(Org_dat!$F$5,$H74,0)</f>
        <v>949527.61</v>
      </c>
      <c r="N74" s="35">
        <f ca="1">OFFSET(Org_dat!$G$5,$H74,0)</f>
        <v>0.34293831623808146</v>
      </c>
      <c r="O74" s="35">
        <f ca="1">OFFSET(Org_dat!$H$5,$H74,0)</f>
        <v>0.24529999999999999</v>
      </c>
      <c r="P74" s="34">
        <f ca="1">OFFSET(Org_dat!$I$5,$H74,0)</f>
        <v>498224.97</v>
      </c>
      <c r="Q74" s="35">
        <f ca="1">OFFSET(Org_dat!$J$5,$H74,0)</f>
        <v>0.1799425635654435</v>
      </c>
      <c r="R74" s="35">
        <f ca="1">OFFSET(Org_dat!$K$5,$H74,0)</f>
        <v>0.73356120491416021</v>
      </c>
      <c r="S74" s="34">
        <f ca="1">OFFSET(Org_dat!$L$5,$H74,0)</f>
        <v>141659.26999999999</v>
      </c>
      <c r="T74" s="35">
        <f ca="1">OFFSET(Org_dat!$M$5,$H74,0)</f>
        <v>0.22138265196217363</v>
      </c>
    </row>
    <row r="75" spans="2:20" x14ac:dyDescent="0.2">
      <c r="B75" s="342">
        <f>Org_dat!K71+(C75/100000)</f>
        <v>1.2235857400412615</v>
      </c>
      <c r="C75" s="31">
        <f>Org_dat!B71</f>
        <v>66</v>
      </c>
      <c r="D75" s="32" t="str">
        <f>Org_dat!C71</f>
        <v>MŠ O-Poruba, J.Šoupala</v>
      </c>
      <c r="E75" s="33">
        <f ca="1">OFFSET(Org_dat!$C71,0,OrgSortCriteria)</f>
        <v>85.438929840142094</v>
      </c>
      <c r="F75" s="33">
        <f t="shared" ref="F75:F138" ca="1" si="13">IF(ISERROR(IF(D75&lt;&gt;"",E75+$B75/1000000000,0)),0,IF(D75&lt;&gt;"",E75+$B75/1000000000,-999999999))</f>
        <v>85.438929841365677</v>
      </c>
      <c r="G75" s="33">
        <f t="shared" ca="1" si="11"/>
        <v>61.00925802637763</v>
      </c>
      <c r="H75" s="31">
        <f t="shared" ca="1" si="12"/>
        <v>68</v>
      </c>
      <c r="J75" s="32" t="str">
        <f ca="1">OFFSET(Org_dat!$C$5,$H75,0)</f>
        <v>MŠ O-Poruba, Oty Synka</v>
      </c>
      <c r="K75" s="158">
        <f ca="1">OFFSET(Org_dat!$D$5,$H75,0)</f>
        <v>61.009258025555575</v>
      </c>
      <c r="L75" s="34">
        <f ca="1">OFFSET(Org_dat!$E$5,$H75,0)</f>
        <v>1731000</v>
      </c>
      <c r="M75" s="34">
        <f ca="1">OFFSET(Org_dat!$F$5,$H75,0)</f>
        <v>405980.73</v>
      </c>
      <c r="N75" s="35">
        <f ca="1">OFFSET(Org_dat!$G$5,$H75,0)</f>
        <v>0.2345353726169844</v>
      </c>
      <c r="O75" s="35">
        <f ca="1">OFFSET(Org_dat!$H$5,$H75,0)</f>
        <v>0.27629999999999999</v>
      </c>
      <c r="P75" s="34">
        <f ca="1">OFFSET(Org_dat!$I$5,$H75,0)</f>
        <v>392843.29</v>
      </c>
      <c r="Q75" s="35">
        <f ca="1">OFFSET(Org_dat!$J$5,$H75,0)</f>
        <v>0.22694586366262276</v>
      </c>
      <c r="R75" s="35">
        <f ca="1">OFFSET(Org_dat!$K$5,$H75,0)</f>
        <v>0.82137482324510591</v>
      </c>
      <c r="S75" s="34">
        <f ca="1">OFFSET(Org_dat!$L$5,$H75,0)</f>
        <v>92831.86</v>
      </c>
      <c r="T75" s="35">
        <f ca="1">OFFSET(Org_dat!$M$5,$H75,0)</f>
        <v>0.19113981845684302</v>
      </c>
    </row>
    <row r="76" spans="2:20" x14ac:dyDescent="0.2">
      <c r="B76" s="342">
        <f>Org_dat!K72+(C76/100000)</f>
        <v>0.87253468181442118</v>
      </c>
      <c r="C76" s="31">
        <f>Org_dat!B72</f>
        <v>67</v>
      </c>
      <c r="D76" s="32" t="str">
        <f>Org_dat!C72</f>
        <v>MŠ O-Poruba, Nezvalovo nám.</v>
      </c>
      <c r="E76" s="33">
        <f ca="1">OFFSET(Org_dat!$C72,0,OrgSortCriteria)</f>
        <v>92.311880908865277</v>
      </c>
      <c r="F76" s="33">
        <f t="shared" ca="1" si="13"/>
        <v>92.311880909737809</v>
      </c>
      <c r="G76" s="33">
        <f t="shared" ca="1" si="11"/>
        <v>60.754393959181144</v>
      </c>
      <c r="H76" s="31">
        <f t="shared" ca="1" si="12"/>
        <v>27</v>
      </c>
      <c r="J76" s="32" t="str">
        <f ca="1">OFFSET(Org_dat!$C$5,$H76,0)</f>
        <v>Domov Slunovrat</v>
      </c>
      <c r="K76" s="158">
        <f ca="1">OFFSET(Org_dat!$D$5,$H76,0)</f>
        <v>60.754393958422526</v>
      </c>
      <c r="L76" s="34">
        <f ca="1">OFFSET(Org_dat!$E$5,$H76,0)</f>
        <v>5362500</v>
      </c>
      <c r="M76" s="34">
        <f ca="1">OFFSET(Org_dat!$F$5,$H76,0)</f>
        <v>1635940.85</v>
      </c>
      <c r="N76" s="35">
        <f ca="1">OFFSET(Org_dat!$G$5,$H76,0)</f>
        <v>0.30507055477855477</v>
      </c>
      <c r="O76" s="35">
        <f ca="1">OFFSET(Org_dat!$H$5,$H76,0)</f>
        <v>0.49</v>
      </c>
      <c r="P76" s="34">
        <f ca="1">OFFSET(Org_dat!$I$5,$H76,0)</f>
        <v>1992653.56</v>
      </c>
      <c r="Q76" s="35">
        <f ca="1">OFFSET(Org_dat!$J$5,$H76,0)</f>
        <v>0.37159040745920746</v>
      </c>
      <c r="R76" s="35">
        <f ca="1">OFFSET(Org_dat!$K$5,$H76,0)</f>
        <v>0.75834777032491318</v>
      </c>
      <c r="S76" s="34">
        <f ca="1">OFFSET(Org_dat!$L$5,$H76,0)</f>
        <v>938121.62</v>
      </c>
      <c r="T76" s="35">
        <f ca="1">OFFSET(Org_dat!$M$5,$H76,0)</f>
        <v>0.32009334131183681</v>
      </c>
    </row>
    <row r="77" spans="2:20" x14ac:dyDescent="0.2">
      <c r="B77" s="342">
        <f>Org_dat!K73+(C77/100000)</f>
        <v>0.82205482324510593</v>
      </c>
      <c r="C77" s="31">
        <f>Org_dat!B73</f>
        <v>68</v>
      </c>
      <c r="D77" s="32" t="str">
        <f>Org_dat!C73</f>
        <v>MŠ O-Poruba, Oty Synka</v>
      </c>
      <c r="E77" s="33">
        <f ca="1">OFFSET(Org_dat!$C73,0,OrgSortCriteria)</f>
        <v>61.009258025555575</v>
      </c>
      <c r="F77" s="33">
        <f t="shared" ca="1" si="13"/>
        <v>61.00925802637763</v>
      </c>
      <c r="G77" s="33">
        <f t="shared" ca="1" si="11"/>
        <v>60.414328040007213</v>
      </c>
      <c r="H77" s="31">
        <f t="shared" ca="1" si="12"/>
        <v>108</v>
      </c>
      <c r="J77" s="32" t="str">
        <f ca="1">OFFSET(Org_dat!$C$5,$H77,0)</f>
        <v>ÚMOb Nová Bělá</v>
      </c>
      <c r="K77" s="158">
        <f ca="1">OFFSET(Org_dat!$D$5,$H77,0)</f>
        <v>60.414328039531526</v>
      </c>
      <c r="L77" s="34">
        <f ca="1">OFFSET(Org_dat!$E$5,$H77,0)</f>
        <v>1180500</v>
      </c>
      <c r="M77" s="34">
        <f ca="1">OFFSET(Org_dat!$F$5,$H77,0)</f>
        <v>754058.62</v>
      </c>
      <c r="N77" s="35">
        <f ca="1">OFFSET(Org_dat!$G$5,$H77,0)</f>
        <v>0.63876206692079629</v>
      </c>
      <c r="O77" s="35">
        <f ca="1">OFFSET(Org_dat!$H$5,$H77,0)</f>
        <v>0.25188134348452557</v>
      </c>
      <c r="P77" s="34">
        <f ca="1">OFFSET(Org_dat!$I$5,$H77,0)</f>
        <v>141121.49000000002</v>
      </c>
      <c r="Q77" s="35">
        <f ca="1">OFFSET(Org_dat!$J$5,$H77,0)</f>
        <v>0.11954382888606524</v>
      </c>
      <c r="R77" s="35">
        <f ca="1">OFFSET(Org_dat!$K$5,$H77,0)</f>
        <v>0.47460374489152851</v>
      </c>
      <c r="S77" s="34">
        <f ca="1">OFFSET(Org_dat!$L$5,$H77,0)</f>
        <v>101282.76</v>
      </c>
      <c r="T77" s="35">
        <f ca="1">OFFSET(Org_dat!$M$5,$H77,0)</f>
        <v>0.41782584257495481</v>
      </c>
    </row>
    <row r="78" spans="2:20" x14ac:dyDescent="0.2">
      <c r="B78" s="342">
        <f>Org_dat!K74+(C78/100000)</f>
        <v>0.41547737200023999</v>
      </c>
      <c r="C78" s="31">
        <f>Org_dat!B74</f>
        <v>69</v>
      </c>
      <c r="D78" s="32" t="str">
        <f>Org_dat!C74</f>
        <v>MŠ O-Poruba, Sokolovská</v>
      </c>
      <c r="E78" s="33">
        <f ca="1">OFFSET(Org_dat!$C74,0,OrgSortCriteria)</f>
        <v>38.808230066577458</v>
      </c>
      <c r="F78" s="33">
        <f t="shared" ca="1" si="13"/>
        <v>38.808230066992934</v>
      </c>
      <c r="G78" s="33">
        <f t="shared" ca="1" si="11"/>
        <v>60.30245409035691</v>
      </c>
      <c r="H78" s="31">
        <f t="shared" ca="1" si="12"/>
        <v>83</v>
      </c>
      <c r="J78" s="32" t="str">
        <f ca="1">OFFSET(Org_dat!$C$5,$H78,0)</f>
        <v>MŠ Varenská</v>
      </c>
      <c r="K78" s="158">
        <f ca="1">OFFSET(Org_dat!$D$5,$H78,0)</f>
        <v>60.302454090017704</v>
      </c>
      <c r="L78" s="34">
        <f ca="1">OFFSET(Org_dat!$E$5,$H78,0)</f>
        <v>790500</v>
      </c>
      <c r="M78" s="34">
        <f ca="1">OFFSET(Org_dat!$F$5,$H78,0)</f>
        <v>825166.25</v>
      </c>
      <c r="N78" s="35">
        <f ca="1">OFFSET(Org_dat!$G$5,$H78,0)</f>
        <v>1.0438535736875396</v>
      </c>
      <c r="O78" s="35">
        <f ca="1">OFFSET(Org_dat!$H$5,$H78,0)</f>
        <v>0.19120000000000001</v>
      </c>
      <c r="P78" s="34">
        <f ca="1">OFFSET(Org_dat!$I$5,$H78,0)</f>
        <v>51143.100000000006</v>
      </c>
      <c r="Q78" s="35">
        <f ca="1">OFFSET(Org_dat!$J$5,$H78,0)</f>
        <v>6.4697153700189761E-2</v>
      </c>
      <c r="R78" s="35">
        <f ca="1">OFFSET(Org_dat!$K$5,$H78,0)</f>
        <v>0.33837423483362844</v>
      </c>
      <c r="S78" s="34">
        <f ca="1">OFFSET(Org_dat!$L$5,$H78,0)</f>
        <v>17968.379999999997</v>
      </c>
      <c r="T78" s="35">
        <f ca="1">OFFSET(Org_dat!$M$5,$H78,0)</f>
        <v>0.25999124892130793</v>
      </c>
    </row>
    <row r="79" spans="2:20" x14ac:dyDescent="0.2">
      <c r="B79" s="342">
        <f>Org_dat!K75+(C79/100000)</f>
        <v>0.80296221378111887</v>
      </c>
      <c r="C79" s="31">
        <f>Org_dat!B75</f>
        <v>70</v>
      </c>
      <c r="D79" s="32" t="str">
        <f>Org_dat!C75</f>
        <v>MŠ O-Poruba, Ukrajinská</v>
      </c>
      <c r="E79" s="33">
        <f ca="1">OFFSET(Org_dat!$C75,0,OrgSortCriteria)</f>
        <v>84.686104276473031</v>
      </c>
      <c r="F79" s="33">
        <f t="shared" ca="1" si="13"/>
        <v>84.686104277275987</v>
      </c>
      <c r="G79" s="33">
        <f t="shared" ca="1" si="11"/>
        <v>60.199768553603967</v>
      </c>
      <c r="H79" s="31">
        <f t="shared" ca="1" si="12"/>
        <v>116</v>
      </c>
      <c r="J79" s="32" t="str">
        <f ca="1">OFFSET(Org_dat!$C$5,$H79,0)</f>
        <v>ÚMOb Pustkovec</v>
      </c>
      <c r="K79" s="158">
        <f ca="1">OFFSET(Org_dat!$D$5,$H79,0)</f>
        <v>60.199768551945446</v>
      </c>
      <c r="L79" s="34">
        <f ca="1">OFFSET(Org_dat!$E$5,$H79,0)</f>
        <v>1246500</v>
      </c>
      <c r="M79" s="34">
        <f ca="1">OFFSET(Org_dat!$F$5,$H79,0)</f>
        <v>4980.2299999999996</v>
      </c>
      <c r="N79" s="35">
        <f ca="1">OFFSET(Org_dat!$G$5,$H79,0)</f>
        <v>3.9953710389089448E-3</v>
      </c>
      <c r="O79" s="35">
        <f ca="1">OFFSET(Org_dat!$H$5,$H79,0)</f>
        <v>0.19500000000000001</v>
      </c>
      <c r="P79" s="34">
        <f ca="1">OFFSET(Org_dat!$I$5,$H79,0)</f>
        <v>402851.29</v>
      </c>
      <c r="Q79" s="35">
        <f ca="1">OFFSET(Org_dat!$J$5,$H79,0)</f>
        <v>0.32318595266746891</v>
      </c>
      <c r="R79" s="35">
        <f ca="1">OFFSET(Org_dat!$K$5,$H79,0)</f>
        <v>1.6573638598331739</v>
      </c>
      <c r="S79" s="34">
        <f ca="1">OFFSET(Org_dat!$L$5,$H79,0)</f>
        <v>55630.67</v>
      </c>
      <c r="T79" s="35">
        <f ca="1">OFFSET(Org_dat!$M$5,$H79,0)</f>
        <v>0.12133666066163215</v>
      </c>
    </row>
    <row r="80" spans="2:20" x14ac:dyDescent="0.2">
      <c r="B80" s="342">
        <f>Org_dat!K76+(C80/100000)</f>
        <v>0.73704538226867022</v>
      </c>
      <c r="C80" s="31">
        <f>Org_dat!B76</f>
        <v>71</v>
      </c>
      <c r="D80" s="32" t="str">
        <f>Org_dat!C76</f>
        <v>MŠ O-Poruba, V.Makovského</v>
      </c>
      <c r="E80" s="33">
        <f ca="1">OFFSET(Org_dat!$C76,0,OrgSortCriteria)</f>
        <v>84.180122936120213</v>
      </c>
      <c r="F80" s="33">
        <f t="shared" ca="1" si="13"/>
        <v>84.180122936857259</v>
      </c>
      <c r="G80" s="33">
        <f t="shared" ca="1" si="11"/>
        <v>60.103522523563988</v>
      </c>
      <c r="H80" s="31">
        <f t="shared" ca="1" si="12"/>
        <v>148</v>
      </c>
      <c r="J80" s="32" t="str">
        <f ca="1">OFFSET(Org_dat!$C$5,$H80,0)</f>
        <v>ZŠ O-Muglinov</v>
      </c>
      <c r="K80" s="158">
        <f ca="1">OFFSET(Org_dat!$D$5,$H80,0)</f>
        <v>60.103522522522525</v>
      </c>
      <c r="L80" s="34">
        <f ca="1">OFFSET(Org_dat!$E$5,$H80,0)</f>
        <v>832500</v>
      </c>
      <c r="M80" s="34">
        <f ca="1">OFFSET(Org_dat!$F$5,$H80,0)</f>
        <v>1723.65</v>
      </c>
      <c r="N80" s="35">
        <f ca="1">OFFSET(Org_dat!$G$5,$H80,0)</f>
        <v>2.0704504504504505E-3</v>
      </c>
      <c r="O80" s="35">
        <f ca="1">OFFSET(Org_dat!$H$5,$H80,0)</f>
        <v>0.21249999999999999</v>
      </c>
      <c r="P80" s="34">
        <f ca="1">OFFSET(Org_dat!$I$5,$H80,0)</f>
        <v>183979.94999999998</v>
      </c>
      <c r="Q80" s="35">
        <f ca="1">OFFSET(Org_dat!$J$5,$H80,0)</f>
        <v>0.22099693693693692</v>
      </c>
      <c r="R80" s="35">
        <f ca="1">OFFSET(Org_dat!$K$5,$H80,0)</f>
        <v>1.0399855855855855</v>
      </c>
      <c r="S80" s="34">
        <f ca="1">OFFSET(Org_dat!$L$5,$H80,0)</f>
        <v>129579.91</v>
      </c>
      <c r="T80" s="35">
        <f ca="1">OFFSET(Org_dat!$M$5,$H80,0)</f>
        <v>0.41325413909803382</v>
      </c>
    </row>
    <row r="81" spans="2:20" x14ac:dyDescent="0.2">
      <c r="B81" s="342">
        <f>Org_dat!K77+(C81/100000)</f>
        <v>0.36175130818319129</v>
      </c>
      <c r="C81" s="31">
        <f>Org_dat!B77</f>
        <v>72</v>
      </c>
      <c r="D81" s="32" t="str">
        <f>Org_dat!C77</f>
        <v>MŠ O-Radvanice</v>
      </c>
      <c r="E81" s="33">
        <f ca="1">OFFSET(Org_dat!$C77,0,OrgSortCriteria)</f>
        <v>22.499759384028543</v>
      </c>
      <c r="F81" s="33">
        <f t="shared" ca="1" si="13"/>
        <v>22.499759384390295</v>
      </c>
      <c r="G81" s="33">
        <f t="shared" ca="1" si="11"/>
        <v>58.689203280815491</v>
      </c>
      <c r="H81" s="31">
        <f t="shared" ca="1" si="12"/>
        <v>118</v>
      </c>
      <c r="J81" s="32" t="str">
        <f ca="1">OFFSET(Org_dat!$C$5,$H81,0)</f>
        <v>ÚMOb Slezská Ostrava</v>
      </c>
      <c r="K81" s="158">
        <f ca="1">OFFSET(Org_dat!$D$5,$H81,0)</f>
        <v>58.689203280302799</v>
      </c>
      <c r="L81" s="34">
        <f ca="1">OFFSET(Org_dat!$E$5,$H81,0)</f>
        <v>38319500</v>
      </c>
      <c r="M81" s="34">
        <f ca="1">OFFSET(Org_dat!$F$5,$H81,0)</f>
        <v>21457722.77</v>
      </c>
      <c r="N81" s="35">
        <f ca="1">OFFSET(Org_dat!$G$5,$H81,0)</f>
        <v>0.55996875663826506</v>
      </c>
      <c r="O81" s="35">
        <f ca="1">OFFSET(Org_dat!$H$5,$H81,0)</f>
        <v>0.21337085300724309</v>
      </c>
      <c r="P81" s="34">
        <f ca="1">OFFSET(Org_dat!$I$5,$H81,0)</f>
        <v>4182263.5500000003</v>
      </c>
      <c r="Q81" s="35">
        <f ca="1">OFFSET(Org_dat!$J$5,$H81,0)</f>
        <v>0.10914191338613501</v>
      </c>
      <c r="R81" s="35">
        <f ca="1">OFFSET(Org_dat!$K$5,$H81,0)</f>
        <v>0.51151275747315905</v>
      </c>
      <c r="S81" s="34">
        <f ca="1">OFFSET(Org_dat!$L$5,$H81,0)</f>
        <v>2976252.7199999997</v>
      </c>
      <c r="T81" s="35">
        <f ca="1">OFFSET(Org_dat!$M$5,$H81,0)</f>
        <v>0.41576391080829378</v>
      </c>
    </row>
    <row r="82" spans="2:20" x14ac:dyDescent="0.2">
      <c r="B82" s="342">
        <f>Org_dat!K78+(C82/100000)</f>
        <v>0.14088905223566292</v>
      </c>
      <c r="C82" s="31">
        <f>Org_dat!B78</f>
        <v>73</v>
      </c>
      <c r="D82" s="32" t="str">
        <f>Org_dat!C78</f>
        <v>MŠ O-Stará Bělá</v>
      </c>
      <c r="E82" s="33">
        <f ca="1">OFFSET(Org_dat!$C78,0,OrgSortCriteria)</f>
        <v>8.5519944558676908</v>
      </c>
      <c r="F82" s="33">
        <f t="shared" ca="1" si="13"/>
        <v>8.551994456008579</v>
      </c>
      <c r="G82" s="33">
        <f t="shared" ca="1" si="11"/>
        <v>58.187651848722858</v>
      </c>
      <c r="H82" s="31">
        <f t="shared" ca="1" si="12"/>
        <v>96</v>
      </c>
      <c r="J82" s="32" t="str">
        <f ca="1">OFFSET(Org_dat!$C$5,$H82,0)</f>
        <v>Technické služby Moravská Ostrava a Přívoz</v>
      </c>
      <c r="K82" s="158">
        <f ca="1">OFFSET(Org_dat!$D$5,$H82,0)</f>
        <v>58.187651848145045</v>
      </c>
      <c r="L82" s="34">
        <f ca="1">OFFSET(Org_dat!$E$5,$H82,0)</f>
        <v>10315050</v>
      </c>
      <c r="M82" s="34">
        <f ca="1">OFFSET(Org_dat!$F$5,$H82,0)</f>
        <v>4863845.5</v>
      </c>
      <c r="N82" s="35">
        <f ca="1">OFFSET(Org_dat!$G$5,$H82,0)</f>
        <v>0.47152902797368895</v>
      </c>
      <c r="O82" s="35">
        <f ca="1">OFFSET(Org_dat!$H$5,$H82,0)</f>
        <v>0.43912186127453956</v>
      </c>
      <c r="P82" s="34">
        <f ca="1">OFFSET(Org_dat!$I$5,$H82,0)</f>
        <v>2612894.1</v>
      </c>
      <c r="Q82" s="35">
        <f ca="1">OFFSET(Org_dat!$J$5,$H82,0)</f>
        <v>0.25330891270522199</v>
      </c>
      <c r="R82" s="35">
        <f ca="1">OFFSET(Org_dat!$K$5,$H82,0)</f>
        <v>0.57685334082434325</v>
      </c>
      <c r="S82" s="34">
        <f ca="1">OFFSET(Org_dat!$L$5,$H82,0)</f>
        <v>213746.06</v>
      </c>
      <c r="T82" s="35">
        <f ca="1">OFFSET(Org_dat!$M$5,$H82,0)</f>
        <v>7.5618419006683882E-2</v>
      </c>
    </row>
    <row r="83" spans="2:20" x14ac:dyDescent="0.2">
      <c r="B83" s="342">
        <f>Org_dat!K79+(C83/100000)</f>
        <v>0.62282292094973979</v>
      </c>
      <c r="C83" s="31">
        <f>Org_dat!B79</f>
        <v>74</v>
      </c>
      <c r="D83" s="32" t="str">
        <f>Org_dat!C79</f>
        <v>MŠ O-Vítkovice</v>
      </c>
      <c r="E83" s="33">
        <f ca="1">OFFSET(Org_dat!$C79,0,OrgSortCriteria)</f>
        <v>37.992299005379763</v>
      </c>
      <c r="F83" s="33">
        <f t="shared" ca="1" si="13"/>
        <v>37.99229900600259</v>
      </c>
      <c r="G83" s="33">
        <f t="shared" ca="1" si="11"/>
        <v>56.126757879291091</v>
      </c>
      <c r="H83" s="31">
        <f t="shared" ca="1" si="12"/>
        <v>170</v>
      </c>
      <c r="J83" s="32" t="str">
        <f ca="1">OFFSET(Org_dat!$C$5,$H83,0)</f>
        <v>ZŠ Ostrava, Nádražní</v>
      </c>
      <c r="K83" s="158">
        <f ca="1">OFFSET(Org_dat!$D$5,$H83,0)</f>
        <v>56.126757878355022</v>
      </c>
      <c r="L83" s="34">
        <f ca="1">OFFSET(Org_dat!$E$5,$H83,0)</f>
        <v>1270750</v>
      </c>
      <c r="M83" s="34">
        <f ca="1">OFFSET(Org_dat!$F$5,$H83,0)</f>
        <v>1645.6</v>
      </c>
      <c r="N83" s="35">
        <f ca="1">OFFSET(Org_dat!$G$5,$H83,0)</f>
        <v>1.2949832775919733E-3</v>
      </c>
      <c r="O83" s="35">
        <f ca="1">OFFSET(Org_dat!$H$5,$H83,0)</f>
        <v>0.13189999999999999</v>
      </c>
      <c r="P83" s="34">
        <f ca="1">OFFSET(Org_dat!$I$5,$H83,0)</f>
        <v>156611.02000000002</v>
      </c>
      <c r="Q83" s="35">
        <f ca="1">OFFSET(Org_dat!$J$5,$H83,0)</f>
        <v>0.12324298249065514</v>
      </c>
      <c r="R83" s="35">
        <f ca="1">OFFSET(Org_dat!$K$5,$H83,0)</f>
        <v>0.93436681190792381</v>
      </c>
      <c r="S83" s="34">
        <f ca="1">OFFSET(Org_dat!$L$5,$H83,0)</f>
        <v>119220.38</v>
      </c>
      <c r="T83" s="35">
        <f ca="1">OFFSET(Org_dat!$M$5,$H83,0)</f>
        <v>0.43222192977304252</v>
      </c>
    </row>
    <row r="84" spans="2:20" x14ac:dyDescent="0.2">
      <c r="B84" s="342">
        <f>Org_dat!K80+(C84/100000)</f>
        <v>0.58005734856007951</v>
      </c>
      <c r="C84" s="31">
        <f>Org_dat!B80</f>
        <v>75</v>
      </c>
      <c r="D84" s="32" t="str">
        <f>Org_dat!C80</f>
        <v>MŠ Poděbradova</v>
      </c>
      <c r="E84" s="33">
        <f ca="1">OFFSET(Org_dat!$C80,0,OrgSortCriteria)</f>
        <v>34.758440913604773</v>
      </c>
      <c r="F84" s="33">
        <f t="shared" ca="1" si="13"/>
        <v>34.758440914184831</v>
      </c>
      <c r="G84" s="33">
        <f t="shared" ca="1" si="11"/>
        <v>56.040734751406347</v>
      </c>
      <c r="H84" s="31">
        <f t="shared" ca="1" si="12"/>
        <v>20</v>
      </c>
      <c r="J84" s="32" t="str">
        <f ca="1">OFFSET(Org_dat!$C$5,$H84,0)</f>
        <v>ZŠ a MŠ MO a Přívoz, Ostrčilova</v>
      </c>
      <c r="K84" s="158">
        <f ca="1">OFFSET(Org_dat!$D$5,$H84,0)</f>
        <v>56.040734750820299</v>
      </c>
      <c r="L84" s="34">
        <f ca="1">OFFSET(Org_dat!$E$5,$H84,0)</f>
        <v>6187500</v>
      </c>
      <c r="M84" s="34">
        <f ca="1">OFFSET(Org_dat!$F$5,$H84,0)</f>
        <v>2585133.9699999997</v>
      </c>
      <c r="N84" s="35">
        <f ca="1">OFFSET(Org_dat!$G$5,$H84,0)</f>
        <v>0.41779942949494947</v>
      </c>
      <c r="O84" s="35">
        <f ca="1">OFFSET(Org_dat!$H$5,$H84,0)</f>
        <v>0.23549999999999999</v>
      </c>
      <c r="P84" s="34">
        <f ca="1">OFFSET(Org_dat!$I$5,$H84,0)</f>
        <v>853669.24</v>
      </c>
      <c r="Q84" s="35">
        <f ca="1">OFFSET(Org_dat!$J$5,$H84,0)</f>
        <v>0.13796674585858587</v>
      </c>
      <c r="R84" s="35">
        <f ca="1">OFFSET(Org_dat!$K$5,$H84,0)</f>
        <v>0.58584605460121386</v>
      </c>
      <c r="S84" s="34">
        <f ca="1">OFFSET(Org_dat!$L$5,$H84,0)</f>
        <v>408476.63</v>
      </c>
      <c r="T84" s="35">
        <f ca="1">OFFSET(Org_dat!$M$5,$H84,0)</f>
        <v>0.32363662529751808</v>
      </c>
    </row>
    <row r="85" spans="2:20" x14ac:dyDescent="0.2">
      <c r="B85" s="342">
        <f>Org_dat!K81+(C85/100000)</f>
        <v>0.19867946662929115</v>
      </c>
      <c r="C85" s="31">
        <f>Org_dat!B81</f>
        <v>76</v>
      </c>
      <c r="D85" s="32" t="str">
        <f>Org_dat!C81</f>
        <v>MŠ Polanka</v>
      </c>
      <c r="E85" s="33">
        <f ca="1">OFFSET(Org_dat!$C81,0,OrgSortCriteria)</f>
        <v>12.689538282822177</v>
      </c>
      <c r="F85" s="33">
        <f t="shared" ca="1" si="13"/>
        <v>12.689538283020857</v>
      </c>
      <c r="G85" s="33">
        <f t="shared" ca="1" si="11"/>
        <v>55.838866713581254</v>
      </c>
      <c r="H85" s="31">
        <f t="shared" ca="1" si="12"/>
        <v>100</v>
      </c>
      <c r="J85" s="32" t="str">
        <f ca="1">OFFSET(Org_dat!$C$5,$H85,0)</f>
        <v>ÚMOb Hošťálkovice</v>
      </c>
      <c r="K85" s="158">
        <f ca="1">OFFSET(Org_dat!$D$5,$H85,0)</f>
        <v>55.838866713291992</v>
      </c>
      <c r="L85" s="34">
        <f ca="1">OFFSET(Org_dat!$E$5,$H85,0)</f>
        <v>1756000</v>
      </c>
      <c r="M85" s="34">
        <f ca="1">OFFSET(Org_dat!$F$5,$H85,0)</f>
        <v>1353627.97</v>
      </c>
      <c r="N85" s="35">
        <f ca="1">OFFSET(Org_dat!$G$5,$H85,0)</f>
        <v>0.77085875284738037</v>
      </c>
      <c r="O85" s="35">
        <f ca="1">OFFSET(Org_dat!$H$5,$H85,0)</f>
        <v>0.11961456907126954</v>
      </c>
      <c r="P85" s="34">
        <f ca="1">OFFSET(Org_dat!$I$5,$H85,0)</f>
        <v>60548.200000000004</v>
      </c>
      <c r="Q85" s="35">
        <f ca="1">OFFSET(Org_dat!$J$5,$H85,0)</f>
        <v>3.4480751708428251E-2</v>
      </c>
      <c r="R85" s="35">
        <f ca="1">OFFSET(Org_dat!$K$5,$H85,0)</f>
        <v>0.28826548451538292</v>
      </c>
      <c r="S85" s="34">
        <f ca="1">OFFSET(Org_dat!$L$5,$H85,0)</f>
        <v>34664.31</v>
      </c>
      <c r="T85" s="35">
        <f ca="1">OFFSET(Org_dat!$M$5,$H85,0)</f>
        <v>0.36407306140758178</v>
      </c>
    </row>
    <row r="86" spans="2:20" x14ac:dyDescent="0.2">
      <c r="B86" s="342">
        <f>Org_dat!K82+(C86/100000)</f>
        <v>0.13644147175768043</v>
      </c>
      <c r="C86" s="31">
        <f>Org_dat!B82</f>
        <v>77</v>
      </c>
      <c r="D86" s="32" t="str">
        <f>Org_dat!C82</f>
        <v>MŠ Repinova</v>
      </c>
      <c r="E86" s="33">
        <f ca="1">OFFSET(Org_dat!$C82,0,OrgSortCriteria)</f>
        <v>8.4480120623669031</v>
      </c>
      <c r="F86" s="33">
        <f t="shared" ca="1" si="13"/>
        <v>8.448012062503345</v>
      </c>
      <c r="G86" s="33">
        <f t="shared" ca="1" si="11"/>
        <v>54.58936880654268</v>
      </c>
      <c r="H86" s="31">
        <f t="shared" ca="1" si="12"/>
        <v>145</v>
      </c>
      <c r="J86" s="32" t="str">
        <f ca="1">OFFSET(Org_dat!$C$5,$H86,0)</f>
        <v>ZŠ O-Hrabůvka, Provaznická</v>
      </c>
      <c r="K86" s="158">
        <f ca="1">OFFSET(Org_dat!$D$5,$H86,0)</f>
        <v>54.589368805867572</v>
      </c>
      <c r="L86" s="34">
        <f ca="1">OFFSET(Org_dat!$E$5,$H86,0)</f>
        <v>1989686</v>
      </c>
      <c r="M86" s="34">
        <f ca="1">OFFSET(Org_dat!$F$5,$H86,0)</f>
        <v>563877.52</v>
      </c>
      <c r="N86" s="35">
        <f ca="1">OFFSET(Org_dat!$G$5,$H86,0)</f>
        <v>0.28340025511563133</v>
      </c>
      <c r="O86" s="35">
        <f ca="1">OFFSET(Org_dat!$H$5,$H86,0)</f>
        <v>0.15709999999999999</v>
      </c>
      <c r="P86" s="34">
        <f ca="1">OFFSET(Org_dat!$I$5,$H86,0)</f>
        <v>210571.15</v>
      </c>
      <c r="Q86" s="35">
        <f ca="1">OFFSET(Org_dat!$J$5,$H86,0)</f>
        <v>0.10583134725780852</v>
      </c>
      <c r="R86" s="35">
        <f ca="1">OFFSET(Org_dat!$K$5,$H86,0)</f>
        <v>0.6736559341681001</v>
      </c>
      <c r="S86" s="34">
        <f ca="1">OFFSET(Org_dat!$L$5,$H86,0)</f>
        <v>56096.67</v>
      </c>
      <c r="T86" s="35">
        <f ca="1">OFFSET(Org_dat!$M$5,$H86,0)</f>
        <v>0.21036160268606838</v>
      </c>
    </row>
    <row r="87" spans="2:20" x14ac:dyDescent="0.2">
      <c r="B87" s="342">
        <f>Org_dat!K83+(C87/100000)</f>
        <v>0.64488729398172961</v>
      </c>
      <c r="C87" s="31">
        <f>Org_dat!B83</f>
        <v>78</v>
      </c>
      <c r="D87" s="32" t="str">
        <f>Org_dat!C83</f>
        <v>MŠ Sládečkova</v>
      </c>
      <c r="E87" s="33">
        <f ca="1">OFFSET(Org_dat!$C83,0,OrgSortCriteria)</f>
        <v>38.646437638903777</v>
      </c>
      <c r="F87" s="33">
        <f t="shared" ca="1" si="13"/>
        <v>38.646437639548665</v>
      </c>
      <c r="G87" s="33">
        <f t="shared" ca="1" si="11"/>
        <v>53.269643005160823</v>
      </c>
      <c r="H87" s="31">
        <f t="shared" ca="1" si="12"/>
        <v>135</v>
      </c>
      <c r="J87" s="32" t="str">
        <f ca="1">OFFSET(Org_dat!$C$5,$H87,0)</f>
        <v>ZŠ a MŠ O-Zábřeh, Horymírova</v>
      </c>
      <c r="K87" s="158">
        <f ca="1">OFFSET(Org_dat!$D$5,$H87,0)</f>
        <v>53.269643004611595</v>
      </c>
      <c r="L87" s="34">
        <f ca="1">OFFSET(Org_dat!$E$5,$H87,0)</f>
        <v>3749150</v>
      </c>
      <c r="M87" s="34">
        <f ca="1">OFFSET(Org_dat!$F$5,$H87,0)</f>
        <v>1529415.6800000002</v>
      </c>
      <c r="N87" s="35">
        <f ca="1">OFFSET(Org_dat!$G$5,$H87,0)</f>
        <v>0.407936646973314</v>
      </c>
      <c r="O87" s="35">
        <f ca="1">OFFSET(Org_dat!$H$5,$H87,0)</f>
        <v>0.24879999999999999</v>
      </c>
      <c r="P87" s="34">
        <f ca="1">OFFSET(Org_dat!$I$5,$H87,0)</f>
        <v>511056.34</v>
      </c>
      <c r="Q87" s="35">
        <f ca="1">OFFSET(Org_dat!$J$5,$H87,0)</f>
        <v>0.13631258818665565</v>
      </c>
      <c r="R87" s="35">
        <f ca="1">OFFSET(Org_dat!$K$5,$H87,0)</f>
        <v>0.54788017759909824</v>
      </c>
      <c r="S87" s="34">
        <f ca="1">OFFSET(Org_dat!$L$5,$H87,0)</f>
        <v>128842.18</v>
      </c>
      <c r="T87" s="35">
        <f ca="1">OFFSET(Org_dat!$M$5,$H87,0)</f>
        <v>0.20134783246568533</v>
      </c>
    </row>
    <row r="88" spans="2:20" x14ac:dyDescent="0.2">
      <c r="B88" s="342">
        <f>Org_dat!K84+(C88/100000)</f>
        <v>0.2660718396970973</v>
      </c>
      <c r="C88" s="31">
        <f>Org_dat!B84</f>
        <v>79</v>
      </c>
      <c r="D88" s="32" t="str">
        <f>Org_dat!C84</f>
        <v>MŠ Staňkova</v>
      </c>
      <c r="E88" s="33">
        <f ca="1">OFFSET(Org_dat!$C84,0,OrgSortCriteria)</f>
        <v>33.176332325577647</v>
      </c>
      <c r="F88" s="33">
        <f t="shared" ca="1" si="13"/>
        <v>33.176332325843717</v>
      </c>
      <c r="G88" s="33">
        <f t="shared" ca="1" si="11"/>
        <v>52.760447607991942</v>
      </c>
      <c r="H88" s="31">
        <f t="shared" ca="1" si="12"/>
        <v>46</v>
      </c>
      <c r="J88" s="32" t="str">
        <f ca="1">OFFSET(Org_dat!$C$5,$H88,0)</f>
        <v>MŠ Gen.Janka</v>
      </c>
      <c r="K88" s="158">
        <f ca="1">OFFSET(Org_dat!$D$5,$H88,0)</f>
        <v>52.760447607205109</v>
      </c>
      <c r="L88" s="34">
        <f ca="1">OFFSET(Org_dat!$E$5,$H88,0)</f>
        <v>649950</v>
      </c>
      <c r="M88" s="34">
        <f ca="1">OFFSET(Org_dat!$F$5,$H88,0)</f>
        <v>72510.039999999994</v>
      </c>
      <c r="N88" s="35">
        <f ca="1">OFFSET(Org_dat!$G$5,$H88,0)</f>
        <v>0.11156248942226324</v>
      </c>
      <c r="O88" s="35">
        <f ca="1">OFFSET(Org_dat!$H$5,$H88,0)</f>
        <v>0.1789</v>
      </c>
      <c r="P88" s="34">
        <f ca="1">OFFSET(Org_dat!$I$5,$H88,0)</f>
        <v>91436.239999999991</v>
      </c>
      <c r="Q88" s="35">
        <f ca="1">OFFSET(Org_dat!$J$5,$H88,0)</f>
        <v>0.14068196015078083</v>
      </c>
      <c r="R88" s="35">
        <f ca="1">OFFSET(Org_dat!$K$5,$H88,0)</f>
        <v>0.78637205226819906</v>
      </c>
      <c r="S88" s="34">
        <f ca="1">OFFSET(Org_dat!$L$5,$H88,0)</f>
        <v>27241.31</v>
      </c>
      <c r="T88" s="35">
        <f ca="1">OFFSET(Org_dat!$M$5,$H88,0)</f>
        <v>0.22954054916030878</v>
      </c>
    </row>
    <row r="89" spans="2:20" x14ac:dyDescent="0.2">
      <c r="B89" s="342">
        <f>Org_dat!K85+(C89/100000)</f>
        <v>5.3980429691477448E-2</v>
      </c>
      <c r="C89" s="31">
        <f>Org_dat!B85</f>
        <v>80</v>
      </c>
      <c r="D89" s="32" t="str">
        <f>Org_dat!C85</f>
        <v>MŠ Šafaříkova</v>
      </c>
      <c r="E89" s="33">
        <f ca="1">OFFSET(Org_dat!$C85,0,OrgSortCriteria)</f>
        <v>3.1908257814886469</v>
      </c>
      <c r="F89" s="33">
        <f t="shared" ca="1" si="13"/>
        <v>3.1908257815426273</v>
      </c>
      <c r="G89" s="33">
        <f t="shared" ca="1" si="11"/>
        <v>52.734206183084332</v>
      </c>
      <c r="H89" s="31">
        <f t="shared" ca="1" si="12"/>
        <v>19</v>
      </c>
      <c r="J89" s="32" t="str">
        <f ca="1">OFFSET(Org_dat!$C$5,$H89,0)</f>
        <v>ZOO Ostrava</v>
      </c>
      <c r="K89" s="158">
        <f ca="1">OFFSET(Org_dat!$D$5,$H89,0)</f>
        <v>52.734206182392789</v>
      </c>
      <c r="L89" s="34">
        <f ca="1">OFFSET(Org_dat!$E$5,$H89,0)</f>
        <v>14598500</v>
      </c>
      <c r="M89" s="34">
        <f ca="1">OFFSET(Org_dat!$F$5,$H89,0)</f>
        <v>3285547.12</v>
      </c>
      <c r="N89" s="35">
        <f ca="1">OFFSET(Org_dat!$G$5,$H89,0)</f>
        <v>0.22506059663664077</v>
      </c>
      <c r="O89" s="35">
        <f ca="1">OFFSET(Org_dat!$H$5,$H89,0)</f>
        <v>0.28270000000000001</v>
      </c>
      <c r="P89" s="34">
        <f ca="1">OFFSET(Org_dat!$I$5,$H89,0)</f>
        <v>2853210.78</v>
      </c>
      <c r="Q89" s="35">
        <f ca="1">OFFSET(Org_dat!$J$5,$H89,0)</f>
        <v>0.19544547590505873</v>
      </c>
      <c r="R89" s="35">
        <f ca="1">OFFSET(Org_dat!$K$5,$H89,0)</f>
        <v>0.69135293917601248</v>
      </c>
      <c r="S89" s="34">
        <f ca="1">OFFSET(Org_dat!$L$5,$H89,0)</f>
        <v>932066.73</v>
      </c>
      <c r="T89" s="35">
        <f ca="1">OFFSET(Org_dat!$M$5,$H89,0)</f>
        <v>0.24623471529832433</v>
      </c>
    </row>
    <row r="90" spans="2:20" x14ac:dyDescent="0.2">
      <c r="B90" s="342">
        <f>Org_dat!K86+(C90/100000)</f>
        <v>9.9845535196459806E-2</v>
      </c>
      <c r="C90" s="31">
        <f>Org_dat!B86</f>
        <v>81</v>
      </c>
      <c r="D90" s="32" t="str">
        <f>Org_dat!C86</f>
        <v>MŠ Špálova</v>
      </c>
      <c r="E90" s="33">
        <f ca="1">OFFSET(Org_dat!$C86,0,OrgSortCriteria)</f>
        <v>5.942132111787588</v>
      </c>
      <c r="F90" s="33">
        <f t="shared" ca="1" si="13"/>
        <v>5.9421321118874335</v>
      </c>
      <c r="G90" s="33">
        <f t="shared" ca="1" si="11"/>
        <v>51.812404787590786</v>
      </c>
      <c r="H90" s="31">
        <f t="shared" ca="1" si="12"/>
        <v>15</v>
      </c>
      <c r="J90" s="32" t="str">
        <f ca="1">OFFSET(Org_dat!$C$5,$H90,0)</f>
        <v>Komorní scéna Aréna</v>
      </c>
      <c r="K90" s="158">
        <f ca="1">OFFSET(Org_dat!$D$5,$H90,0)</f>
        <v>51.81240478739376</v>
      </c>
      <c r="L90" s="34">
        <f ca="1">OFFSET(Org_dat!$E$5,$H90,0)</f>
        <v>2558000</v>
      </c>
      <c r="M90" s="34">
        <f ca="1">OFFSET(Org_dat!$F$5,$H90,0)</f>
        <v>2047609.26</v>
      </c>
      <c r="N90" s="35">
        <f ca="1">OFFSET(Org_dat!$G$5,$H90,0)</f>
        <v>0.80047273651290074</v>
      </c>
      <c r="O90" s="35">
        <f ca="1">OFFSET(Org_dat!$H$5,$H90,0)</f>
        <v>8.9867162672331385E-2</v>
      </c>
      <c r="P90" s="34">
        <f ca="1">OFFSET(Org_dat!$I$5,$H90,0)</f>
        <v>45257.3</v>
      </c>
      <c r="Q90" s="35">
        <f ca="1">OFFSET(Org_dat!$J$5,$H90,0)</f>
        <v>1.7692455043002348E-2</v>
      </c>
      <c r="R90" s="35">
        <f ca="1">OFFSET(Org_dat!$K$5,$H90,0)</f>
        <v>0.19687341312322928</v>
      </c>
      <c r="S90" s="34">
        <f ca="1">OFFSET(Org_dat!$L$5,$H90,0)</f>
        <v>50021.35</v>
      </c>
      <c r="T90" s="35">
        <f ca="1">OFFSET(Org_dat!$M$5,$H90,0)</f>
        <v>0.52500061661243103</v>
      </c>
    </row>
    <row r="91" spans="2:20" x14ac:dyDescent="0.2">
      <c r="B91" s="342">
        <f>Org_dat!K87+(C91/100000)</f>
        <v>0.24242024853851207</v>
      </c>
      <c r="C91" s="31">
        <f>Org_dat!B87</f>
        <v>82</v>
      </c>
      <c r="D91" s="32" t="str">
        <f>Org_dat!C87</f>
        <v>MŠ U Dvoru</v>
      </c>
      <c r="E91" s="33">
        <f ca="1">OFFSET(Org_dat!$C87,0,OrgSortCriteria)</f>
        <v>14.496014912310725</v>
      </c>
      <c r="F91" s="33">
        <f t="shared" ca="1" si="13"/>
        <v>14.496014912553145</v>
      </c>
      <c r="G91" s="33">
        <f t="shared" ca="1" si="11"/>
        <v>51.776494870039841</v>
      </c>
      <c r="H91" s="31">
        <f t="shared" ca="1" si="12"/>
        <v>110</v>
      </c>
      <c r="J91" s="32" t="str">
        <f ca="1">OFFSET(Org_dat!$C$5,$H91,0)</f>
        <v>ÚMOb Ostrava-Jih</v>
      </c>
      <c r="K91" s="158">
        <f ca="1">OFFSET(Org_dat!$D$5,$H91,0)</f>
        <v>51.776494869187367</v>
      </c>
      <c r="L91" s="34">
        <f ca="1">OFFSET(Org_dat!$E$5,$H91,0)</f>
        <v>121453500</v>
      </c>
      <c r="M91" s="34">
        <f ca="1">OFFSET(Org_dat!$F$5,$H91,0)</f>
        <v>1686036.23</v>
      </c>
      <c r="N91" s="35">
        <f ca="1">OFFSET(Org_dat!$G$5,$H91,0)</f>
        <v>1.3882154322436158E-2</v>
      </c>
      <c r="O91" s="35">
        <f ca="1">OFFSET(Org_dat!$H$5,$H91,0)</f>
        <v>0.24460000000000001</v>
      </c>
      <c r="P91" s="34">
        <f ca="1">OFFSET(Org_dat!$I$5,$H91,0)</f>
        <v>25292189.16</v>
      </c>
      <c r="Q91" s="35">
        <f ca="1">OFFSET(Org_dat!$J$5,$H91,0)</f>
        <v>0.20824586496066397</v>
      </c>
      <c r="R91" s="35">
        <f ca="1">OFFSET(Org_dat!$K$5,$H91,0)</f>
        <v>0.85137311921775938</v>
      </c>
      <c r="S91" s="34">
        <f ca="1">OFFSET(Org_dat!$L$5,$H91,0)</f>
        <v>5482469.6100000003</v>
      </c>
      <c r="T91" s="35">
        <f ca="1">OFFSET(Org_dat!$M$5,$H91,0)</f>
        <v>0.17814883508454904</v>
      </c>
    </row>
    <row r="92" spans="2:20" x14ac:dyDescent="0.2">
      <c r="B92" s="342">
        <f>Org_dat!K88+(C92/100000)</f>
        <v>0.33920423483362844</v>
      </c>
      <c r="C92" s="31">
        <f>Org_dat!B88</f>
        <v>83</v>
      </c>
      <c r="D92" s="32" t="str">
        <f>Org_dat!C88</f>
        <v>MŠ Varenská</v>
      </c>
      <c r="E92" s="33">
        <f ca="1">OFFSET(Org_dat!$C88,0,OrgSortCriteria)</f>
        <v>60.302454090017704</v>
      </c>
      <c r="F92" s="33">
        <f t="shared" ca="1" si="13"/>
        <v>60.30245409035691</v>
      </c>
      <c r="G92" s="33">
        <f t="shared" ca="1" si="11"/>
        <v>50.376413069215616</v>
      </c>
      <c r="H92" s="31">
        <f t="shared" ca="1" si="12"/>
        <v>62</v>
      </c>
      <c r="J92" s="32" t="str">
        <f ca="1">OFFSET(Org_dat!$C$5,$H92,0)</f>
        <v>MŠ O-Petřkovice</v>
      </c>
      <c r="K92" s="158">
        <f ca="1">OFFSET(Org_dat!$D$5,$H92,0)</f>
        <v>50.376413068506395</v>
      </c>
      <c r="L92" s="34">
        <f ca="1">OFFSET(Org_dat!$E$5,$H92,0)</f>
        <v>497680</v>
      </c>
      <c r="M92" s="34">
        <f ca="1">OFFSET(Org_dat!$F$5,$H92,0)</f>
        <v>78240.53</v>
      </c>
      <c r="N92" s="35">
        <f ca="1">OFFSET(Org_dat!$G$5,$H92,0)</f>
        <v>0.15721051679794246</v>
      </c>
      <c r="O92" s="35">
        <f ca="1">OFFSET(Org_dat!$H$5,$H92,0)</f>
        <v>0.3286</v>
      </c>
      <c r="P92" s="34">
        <f ca="1">OFFSET(Org_dat!$I$5,$H92,0)</f>
        <v>115882.47</v>
      </c>
      <c r="Q92" s="35">
        <f ca="1">OFFSET(Org_dat!$J$5,$H92,0)</f>
        <v>0.23284534238868348</v>
      </c>
      <c r="R92" s="35">
        <f ca="1">OFFSET(Org_dat!$K$5,$H92,0)</f>
        <v>0.70859812047682125</v>
      </c>
      <c r="S92" s="34">
        <f ca="1">OFFSET(Org_dat!$L$5,$H92,0)</f>
        <v>56737.51</v>
      </c>
      <c r="T92" s="35">
        <f ca="1">OFFSET(Org_dat!$M$5,$H92,0)</f>
        <v>0.32868448947798512</v>
      </c>
    </row>
    <row r="93" spans="2:20" x14ac:dyDescent="0.2">
      <c r="B93" s="342">
        <f>Org_dat!K89+(C93/100000)</f>
        <v>0.1464992295555391</v>
      </c>
      <c r="C93" s="31">
        <f>Org_dat!B89</f>
        <v>84</v>
      </c>
      <c r="D93" s="32" t="str">
        <f>Org_dat!C89</f>
        <v>MŠ Volgogradská</v>
      </c>
      <c r="E93" s="33">
        <f ca="1">OFFSET(Org_dat!$C89,0,OrgSortCriteria)</f>
        <v>9.3922840835948751</v>
      </c>
      <c r="F93" s="33">
        <f t="shared" ca="1" si="13"/>
        <v>9.3922840837413748</v>
      </c>
      <c r="G93" s="33">
        <f t="shared" ca="1" si="11"/>
        <v>49.815953795267625</v>
      </c>
      <c r="H93" s="31">
        <f t="shared" ca="1" si="12"/>
        <v>92</v>
      </c>
      <c r="J93" s="32" t="str">
        <f ca="1">OFFSET(Org_dat!$C$5,$H93,0)</f>
        <v>OVA!!!CLOUD.net a.s.</v>
      </c>
      <c r="K93" s="158">
        <f ca="1">OFFSET(Org_dat!$D$5,$H93,0)</f>
        <v>49.815953794437569</v>
      </c>
      <c r="L93" s="34">
        <f ca="1">OFFSET(Org_dat!$E$5,$H93,0)</f>
        <v>15766500</v>
      </c>
      <c r="M93" s="34">
        <f ca="1">OFFSET(Org_dat!$F$5,$H93,0)</f>
        <v>21361.51</v>
      </c>
      <c r="N93" s="35">
        <f ca="1">OFFSET(Org_dat!$G$5,$H93,0)</f>
        <v>1.3548669647670693E-3</v>
      </c>
      <c r="O93" s="35">
        <f ca="1">OFFSET(Org_dat!$H$5,$H93,0)</f>
        <v>0.02</v>
      </c>
      <c r="P93" s="34">
        <f ca="1">OFFSET(Org_dat!$I$5,$H93,0)</f>
        <v>261451.72</v>
      </c>
      <c r="Q93" s="35">
        <f ca="1">OFFSET(Org_dat!$J$5,$H93,0)</f>
        <v>1.6582736815399741E-2</v>
      </c>
      <c r="R93" s="35">
        <f ca="1">OFFSET(Org_dat!$K$5,$H93,0)</f>
        <v>0.82913684076998695</v>
      </c>
      <c r="S93" s="34">
        <f ca="1">OFFSET(Org_dat!$L$5,$H93,0)</f>
        <v>166256.72</v>
      </c>
      <c r="T93" s="35">
        <f ca="1">OFFSET(Org_dat!$M$5,$H93,0)</f>
        <v>0.38871507889813911</v>
      </c>
    </row>
    <row r="94" spans="2:20" x14ac:dyDescent="0.2">
      <c r="B94" s="342">
        <f>Org_dat!K90+(C94/100000)</f>
        <v>0.16546778773612195</v>
      </c>
      <c r="C94" s="31">
        <f>Org_dat!B90</f>
        <v>85</v>
      </c>
      <c r="D94" s="32" t="str">
        <f>Org_dat!C90</f>
        <v>MŠ Za Školou</v>
      </c>
      <c r="E94" s="33">
        <f ca="1">OFFSET(Org_dat!$C90,0,OrgSortCriteria)</f>
        <v>10.563295548609734</v>
      </c>
      <c r="F94" s="33">
        <f t="shared" ca="1" si="13"/>
        <v>10.563295548775201</v>
      </c>
      <c r="G94" s="33">
        <f t="shared" ca="1" si="11"/>
        <v>48.492698773355876</v>
      </c>
      <c r="H94" s="31">
        <f t="shared" ca="1" si="12"/>
        <v>113</v>
      </c>
      <c r="J94" s="32" t="str">
        <f ca="1">OFFSET(Org_dat!$C$5,$H94,0)</f>
        <v>ÚMOb Polanka n/O</v>
      </c>
      <c r="K94" s="158">
        <f ca="1">OFFSET(Org_dat!$D$5,$H94,0)</f>
        <v>48.492698773107207</v>
      </c>
      <c r="L94" s="34">
        <f ca="1">OFFSET(Org_dat!$E$5,$H94,0)</f>
        <v>2993500</v>
      </c>
      <c r="M94" s="34">
        <f ca="1">OFFSET(Org_dat!$F$5,$H94,0)</f>
        <v>2014038.3199999998</v>
      </c>
      <c r="N94" s="35">
        <f ca="1">OFFSET(Org_dat!$G$5,$H94,0)</f>
        <v>0.67280384833806572</v>
      </c>
      <c r="O94" s="35">
        <f ca="1">OFFSET(Org_dat!$H$5,$H94,0)</f>
        <v>0.12054742985739865</v>
      </c>
      <c r="P94" s="34">
        <f ca="1">OFFSET(Org_dat!$I$5,$H94,0)</f>
        <v>89327.61</v>
      </c>
      <c r="Q94" s="35">
        <f ca="1">OFFSET(Org_dat!$J$5,$H94,0)</f>
        <v>2.9840524469684316E-2</v>
      </c>
      <c r="R94" s="35">
        <f ca="1">OFFSET(Org_dat!$K$5,$H94,0)</f>
        <v>0.24754177260339857</v>
      </c>
      <c r="S94" s="34">
        <f ca="1">OFFSET(Org_dat!$L$5,$H94,0)</f>
        <v>78709.03</v>
      </c>
      <c r="T94" s="35">
        <f ca="1">OFFSET(Org_dat!$M$5,$H94,0)</f>
        <v>0.46840397427608643</v>
      </c>
    </row>
    <row r="95" spans="2:20" x14ac:dyDescent="0.2">
      <c r="B95" s="342">
        <f>Org_dat!K91+(C95/100000)</f>
        <v>8.5999999999999998E-4</v>
      </c>
      <c r="C95" s="31">
        <f>Org_dat!B91</f>
        <v>86</v>
      </c>
      <c r="D95" s="32" t="str">
        <f>Org_dat!C91</f>
        <v>MŠ Zámostní</v>
      </c>
      <c r="E95" s="33">
        <f ca="1">OFFSET(Org_dat!$C91,0,OrgSortCriteria)</f>
        <v>0</v>
      </c>
      <c r="F95" s="33">
        <f t="shared" ca="1" si="13"/>
        <v>8.5999999999999997E-13</v>
      </c>
      <c r="G95" s="33">
        <f t="shared" ca="1" si="11"/>
        <v>47.554145833918859</v>
      </c>
      <c r="H95" s="31">
        <f t="shared" ca="1" si="12"/>
        <v>107</v>
      </c>
      <c r="J95" s="32" t="str">
        <f ca="1">OFFSET(Org_dat!$C$5,$H95,0)</f>
        <v>ÚMOb Moravská Ostrava a Přívoz</v>
      </c>
      <c r="K95" s="158">
        <f ca="1">OFFSET(Org_dat!$D$5,$H95,0)</f>
        <v>47.554145833507363</v>
      </c>
      <c r="L95" s="34">
        <f ca="1">OFFSET(Org_dat!$E$5,$H95,0)</f>
        <v>32353000</v>
      </c>
      <c r="M95" s="34">
        <f ca="1">OFFSET(Org_dat!$F$5,$H95,0)</f>
        <v>14836029.77</v>
      </c>
      <c r="N95" s="35">
        <f ca="1">OFFSET(Org_dat!$G$5,$H95,0)</f>
        <v>0.4585673591320743</v>
      </c>
      <c r="O95" s="35">
        <f ca="1">OFFSET(Org_dat!$H$5,$H95,0)</f>
        <v>0.13648221985178036</v>
      </c>
      <c r="P95" s="34">
        <f ca="1">OFFSET(Org_dat!$I$5,$H95,0)</f>
        <v>1812296.88</v>
      </c>
      <c r="Q95" s="35">
        <f ca="1">OFFSET(Org_dat!$J$5,$H95,0)</f>
        <v>5.6016347170277869E-2</v>
      </c>
      <c r="R95" s="35">
        <f ca="1">OFFSET(Org_dat!$K$5,$H95,0)</f>
        <v>0.41042963128172744</v>
      </c>
      <c r="S95" s="34">
        <f ca="1">OFFSET(Org_dat!$L$5,$H95,0)</f>
        <v>1106067.49</v>
      </c>
      <c r="T95" s="35">
        <f ca="1">OFFSET(Org_dat!$M$5,$H95,0)</f>
        <v>0.37900253353216479</v>
      </c>
    </row>
    <row r="96" spans="2:20" x14ac:dyDescent="0.2">
      <c r="B96" s="342">
        <f>Org_dat!K92+(C96/100000)</f>
        <v>1.1711563496401551</v>
      </c>
      <c r="C96" s="31">
        <f>Org_dat!B92</f>
        <v>87</v>
      </c>
      <c r="D96" s="32" t="str">
        <f>Org_dat!C92</f>
        <v>MŠ Zelená</v>
      </c>
      <c r="E96" s="33">
        <f ca="1">OFFSET(Org_dat!$C92,0,OrgSortCriteria)</f>
        <v>72.522499599679747</v>
      </c>
      <c r="F96" s="33">
        <f t="shared" ca="1" si="13"/>
        <v>72.522499600850907</v>
      </c>
      <c r="G96" s="33">
        <f t="shared" ca="1" si="11"/>
        <v>46.744468859087199</v>
      </c>
      <c r="H96" s="31">
        <f t="shared" ca="1" si="12"/>
        <v>88</v>
      </c>
      <c r="J96" s="32" t="str">
        <f ca="1">OFFSET(Org_dat!$C$5,$H96,0)</f>
        <v>Ostravské městské lesy</v>
      </c>
      <c r="K96" s="158">
        <f ca="1">OFFSET(Org_dat!$D$5,$H96,0)</f>
        <v>46.74446885897391</v>
      </c>
      <c r="L96" s="34">
        <f ca="1">OFFSET(Org_dat!$E$5,$H96,0)</f>
        <v>25757886</v>
      </c>
      <c r="M96" s="34">
        <f ca="1">OFFSET(Org_dat!$F$5,$H96,0)</f>
        <v>25605924.940000001</v>
      </c>
      <c r="N96" s="35">
        <f ca="1">OFFSET(Org_dat!$G$5,$H96,0)</f>
        <v>0.99410040637651709</v>
      </c>
      <c r="O96" s="35">
        <f ca="1">OFFSET(Org_dat!$H$5,$H96,0)</f>
        <v>0.03</v>
      </c>
      <c r="P96" s="34">
        <f ca="1">OFFSET(Org_dat!$I$5,$H96,0)</f>
        <v>86861.63</v>
      </c>
      <c r="Q96" s="35">
        <f ca="1">OFFSET(Org_dat!$J$5,$H96,0)</f>
        <v>3.3722344294869542E-3</v>
      </c>
      <c r="R96" s="35">
        <f ca="1">OFFSET(Org_dat!$K$5,$H96,0)</f>
        <v>0.11240781431623181</v>
      </c>
      <c r="S96" s="34">
        <f ca="1">OFFSET(Org_dat!$L$5,$H96,0)</f>
        <v>104135.55</v>
      </c>
      <c r="T96" s="35">
        <f ca="1">OFFSET(Org_dat!$M$5,$H96,0)</f>
        <v>0.54522035351516707</v>
      </c>
    </row>
    <row r="97" spans="2:20" x14ac:dyDescent="0.2">
      <c r="B97" s="342">
        <f>Org_dat!K93+(C97/100000)</f>
        <v>0.11328781431623182</v>
      </c>
      <c r="C97" s="31">
        <f>Org_dat!B93</f>
        <v>88</v>
      </c>
      <c r="D97" s="32" t="str">
        <f>Org_dat!C93</f>
        <v>Ostravské městské lesy</v>
      </c>
      <c r="E97" s="33">
        <f ca="1">OFFSET(Org_dat!$C93,0,OrgSortCriteria)</f>
        <v>46.74446885897391</v>
      </c>
      <c r="F97" s="33">
        <f t="shared" ca="1" si="13"/>
        <v>46.744468859087199</v>
      </c>
      <c r="G97" s="33">
        <f t="shared" ca="1" si="11"/>
        <v>46.382236604828385</v>
      </c>
      <c r="H97" s="31">
        <f t="shared" ca="1" si="12"/>
        <v>16</v>
      </c>
      <c r="J97" s="32" t="str">
        <f ca="1">OFFSET(Org_dat!$C$5,$H97,0)</f>
        <v>Ostravské komunikace</v>
      </c>
      <c r="K97" s="158">
        <f ca="1">OFFSET(Org_dat!$D$5,$H97,0)</f>
        <v>46.382236604115839</v>
      </c>
      <c r="L97" s="34">
        <f ca="1">OFFSET(Org_dat!$E$5,$H97,0)</f>
        <v>95620916</v>
      </c>
      <c r="M97" s="34">
        <f ca="1">OFFSET(Org_dat!$F$5,$H97,0)</f>
        <v>6959332.8899999997</v>
      </c>
      <c r="N97" s="35">
        <f ca="1">OFFSET(Org_dat!$G$5,$H97,0)</f>
        <v>7.2780445755194392E-2</v>
      </c>
      <c r="O97" s="35">
        <f ca="1">OFFSET(Org_dat!$H$5,$H97,0)</f>
        <v>0.21</v>
      </c>
      <c r="P97" s="34">
        <f ca="1">OFFSET(Org_dat!$I$5,$H97,0)</f>
        <v>14305008.57</v>
      </c>
      <c r="Q97" s="35">
        <f ca="1">OFFSET(Org_dat!$J$5,$H97,0)</f>
        <v>0.14960125010724643</v>
      </c>
      <c r="R97" s="35">
        <f ca="1">OFFSET(Org_dat!$K$5,$H97,0)</f>
        <v>0.71238690527260196</v>
      </c>
      <c r="S97" s="34">
        <f ca="1">OFFSET(Org_dat!$L$5,$H97,0)</f>
        <v>862031.57</v>
      </c>
      <c r="T97" s="35">
        <f ca="1">OFFSET(Org_dat!$M$5,$H97,0)</f>
        <v>5.6835846812758543E-2</v>
      </c>
    </row>
    <row r="98" spans="2:20" x14ac:dyDescent="0.2">
      <c r="B98" s="342">
        <f>Org_dat!K94+(C98/100000)</f>
        <v>1.1339483607493408</v>
      </c>
      <c r="C98" s="31">
        <f>Org_dat!B94</f>
        <v>89</v>
      </c>
      <c r="D98" s="32" t="str">
        <f>Org_dat!C94</f>
        <v>Ostravské muzeum</v>
      </c>
      <c r="E98" s="33">
        <f ca="1">OFFSET(Org_dat!$C94,0,OrgSortCriteria)</f>
        <v>92.906337442660544</v>
      </c>
      <c r="F98" s="33">
        <f t="shared" ca="1" si="13"/>
        <v>92.906337443794499</v>
      </c>
      <c r="G98" s="33">
        <f t="shared" ca="1" si="11"/>
        <v>46.306903104017579</v>
      </c>
      <c r="H98" s="31">
        <f t="shared" ca="1" si="12"/>
        <v>140</v>
      </c>
      <c r="J98" s="32" t="str">
        <f ca="1">OFFSET(Org_dat!$C$5,$H98,0)</f>
        <v>ZŠ gen.Z.Škarvady, O-Poruba</v>
      </c>
      <c r="K98" s="158">
        <f ca="1">OFFSET(Org_dat!$D$5,$H98,0)</f>
        <v>46.306903103419145</v>
      </c>
      <c r="L98" s="34">
        <f ca="1">OFFSET(Org_dat!$E$5,$H98,0)</f>
        <v>2850500</v>
      </c>
      <c r="M98" s="34">
        <f ca="1">OFFSET(Org_dat!$F$5,$H98,0)</f>
        <v>597745.62</v>
      </c>
      <c r="N98" s="35">
        <f ca="1">OFFSET(Org_dat!$G$5,$H98,0)</f>
        <v>0.20969851604981582</v>
      </c>
      <c r="O98" s="35">
        <f ca="1">OFFSET(Org_dat!$H$5,$H98,0)</f>
        <v>0.32400000000000001</v>
      </c>
      <c r="P98" s="34">
        <f ca="1">OFFSET(Org_dat!$I$5,$H98,0)</f>
        <v>551396.94999999995</v>
      </c>
      <c r="Q98" s="35">
        <f ca="1">OFFSET(Org_dat!$J$5,$H98,0)</f>
        <v>0.19343867742501314</v>
      </c>
      <c r="R98" s="35">
        <f ca="1">OFFSET(Org_dat!$K$5,$H98,0)</f>
        <v>0.5970329550154726</v>
      </c>
      <c r="S98" s="34">
        <f ca="1">OFFSET(Org_dat!$L$5,$H98,0)</f>
        <v>86771.07</v>
      </c>
      <c r="T98" s="35">
        <f ca="1">OFFSET(Org_dat!$M$5,$H98,0)</f>
        <v>0.13596900389963132</v>
      </c>
    </row>
    <row r="99" spans="2:20" x14ac:dyDescent="0.2">
      <c r="B99" s="342">
        <f>Org_dat!K95+(C99/100000)</f>
        <v>0.88481260506359183</v>
      </c>
      <c r="C99" s="31">
        <f>Org_dat!B95</f>
        <v>90</v>
      </c>
      <c r="D99" s="32" t="str">
        <f>Org_dat!C95</f>
        <v>Ostravské výstavy, a.s.</v>
      </c>
      <c r="E99" s="33">
        <f ca="1">OFFSET(Org_dat!$C95,0,OrgSortCriteria)</f>
        <v>64.9520871061018</v>
      </c>
      <c r="F99" s="33">
        <f t="shared" ca="1" si="13"/>
        <v>64.95208710698661</v>
      </c>
      <c r="G99" s="33">
        <f t="shared" ca="1" si="11"/>
        <v>45.897499234670704</v>
      </c>
      <c r="H99" s="31">
        <f t="shared" ca="1" si="12"/>
        <v>156</v>
      </c>
      <c r="J99" s="32" t="str">
        <f ca="1">OFFSET(Org_dat!$C$5,$H99,0)</f>
        <v>ZŠ O-Poruba, J.Šoupala</v>
      </c>
      <c r="K99" s="158">
        <f ca="1">OFFSET(Org_dat!$D$5,$H99,0)</f>
        <v>45.897499234317387</v>
      </c>
      <c r="L99" s="34">
        <f ca="1">OFFSET(Org_dat!$E$5,$H99,0)</f>
        <v>2125500</v>
      </c>
      <c r="M99" s="34">
        <f ca="1">OFFSET(Org_dat!$F$5,$H99,0)</f>
        <v>1053907.1100000001</v>
      </c>
      <c r="N99" s="35">
        <f ca="1">OFFSET(Org_dat!$G$5,$H99,0)</f>
        <v>0.49583961891319694</v>
      </c>
      <c r="O99" s="35">
        <f ca="1">OFFSET(Org_dat!$H$5,$H99,0)</f>
        <v>0.1983</v>
      </c>
      <c r="P99" s="34">
        <f ca="1">OFFSET(Org_dat!$I$5,$H99,0)</f>
        <v>148261.57</v>
      </c>
      <c r="Q99" s="35">
        <f ca="1">OFFSET(Org_dat!$J$5,$H99,0)</f>
        <v>6.9753737944013183E-2</v>
      </c>
      <c r="R99" s="35">
        <f ca="1">OFFSET(Org_dat!$K$5,$H99,0)</f>
        <v>0.35175863814429237</v>
      </c>
      <c r="S99" s="34">
        <f ca="1">OFFSET(Org_dat!$L$5,$H99,0)</f>
        <v>63972.33</v>
      </c>
      <c r="T99" s="35">
        <f ca="1">OFFSET(Org_dat!$M$5,$H99,0)</f>
        <v>0.30142371223447334</v>
      </c>
    </row>
    <row r="100" spans="2:20" x14ac:dyDescent="0.2">
      <c r="B100" s="342">
        <f>Org_dat!K96+(C100/100000)</f>
        <v>9.3186407895812007E-2</v>
      </c>
      <c r="C100" s="31">
        <f>Org_dat!B96</f>
        <v>91</v>
      </c>
      <c r="D100" s="32" t="str">
        <f>Org_dat!C96</f>
        <v>Ostravský informační servis</v>
      </c>
      <c r="E100" s="33">
        <f ca="1">OFFSET(Org_dat!$C96,0,OrgSortCriteria)</f>
        <v>40.091105862454938</v>
      </c>
      <c r="F100" s="33">
        <f t="shared" ca="1" si="13"/>
        <v>40.091105862548126</v>
      </c>
      <c r="G100" s="33">
        <f t="shared" ca="1" si="11"/>
        <v>45.883222624114836</v>
      </c>
      <c r="H100" s="31">
        <f t="shared" ca="1" si="12"/>
        <v>25</v>
      </c>
      <c r="J100" s="32" t="str">
        <f ca="1">OFFSET(Org_dat!$C$5,$H100,0)</f>
        <v>DK POKLAD</v>
      </c>
      <c r="K100" s="158">
        <f ca="1">OFFSET(Org_dat!$D$5,$H100,0)</f>
        <v>45.883222623349866</v>
      </c>
      <c r="L100" s="34">
        <f ca="1">OFFSET(Org_dat!$E$5,$H100,0)</f>
        <v>1065500</v>
      </c>
      <c r="M100" s="34">
        <f ca="1">OFFSET(Org_dat!$F$5,$H100,0)</f>
        <v>0</v>
      </c>
      <c r="N100" s="35">
        <f ca="1">OFFSET(Org_dat!$G$5,$H100,0)</f>
        <v>0</v>
      </c>
      <c r="O100" s="35">
        <f ca="1">OFFSET(Org_dat!$H$5,$H100,0)</f>
        <v>7.5300000000000006E-2</v>
      </c>
      <c r="P100" s="34">
        <f ca="1">OFFSET(Org_dat!$I$5,$H100,0)</f>
        <v>61355.16</v>
      </c>
      <c r="Q100" s="35">
        <f ca="1">OFFSET(Org_dat!$J$5,$H100,0)</f>
        <v>5.7583444392304083E-2</v>
      </c>
      <c r="R100" s="35">
        <f ca="1">OFFSET(Org_dat!$K$5,$H100,0)</f>
        <v>0.76472037705583107</v>
      </c>
      <c r="S100" s="34">
        <f ca="1">OFFSET(Org_dat!$L$5,$H100,0)</f>
        <v>45258</v>
      </c>
      <c r="T100" s="35">
        <f ca="1">OFFSET(Org_dat!$M$5,$H100,0)</f>
        <v>0.42450669316996137</v>
      </c>
    </row>
    <row r="101" spans="2:20" x14ac:dyDescent="0.2">
      <c r="B101" s="342">
        <f>Org_dat!K97+(C101/100000)</f>
        <v>0.83005684076998698</v>
      </c>
      <c r="C101" s="31">
        <f>Org_dat!B97</f>
        <v>92</v>
      </c>
      <c r="D101" s="32" t="str">
        <f>Org_dat!C97</f>
        <v>OVA!!!CLOUD.net a.s.</v>
      </c>
      <c r="E101" s="33">
        <f ca="1">OFFSET(Org_dat!$C97,0,OrgSortCriteria)</f>
        <v>49.815953794437569</v>
      </c>
      <c r="F101" s="33">
        <f t="shared" ca="1" si="13"/>
        <v>49.815953795267625</v>
      </c>
      <c r="G101" s="33">
        <f t="shared" ca="1" si="11"/>
        <v>45.644605282631801</v>
      </c>
      <c r="H101" s="31">
        <f t="shared" ca="1" si="12"/>
        <v>22</v>
      </c>
      <c r="J101" s="32" t="str">
        <f ca="1">OFFSET(Org_dat!$C$5,$H101,0)</f>
        <v>ZŠ a MŠ O-Hrabůvka, A.Kučery</v>
      </c>
      <c r="K101" s="158">
        <f ca="1">OFFSET(Org_dat!$D$5,$H101,0)</f>
        <v>45.644605282149065</v>
      </c>
      <c r="L101" s="34">
        <f ca="1">OFFSET(Org_dat!$E$5,$H101,0)</f>
        <v>6432583</v>
      </c>
      <c r="M101" s="34">
        <f ca="1">OFFSET(Org_dat!$F$5,$H101,0)</f>
        <v>2147661.73</v>
      </c>
      <c r="N101" s="35">
        <f ca="1">OFFSET(Org_dat!$G$5,$H101,0)</f>
        <v>0.33387236977742846</v>
      </c>
      <c r="O101" s="35">
        <f ca="1">OFFSET(Org_dat!$H$5,$H101,0)</f>
        <v>0.2606</v>
      </c>
      <c r="P101" s="34">
        <f ca="1">OFFSET(Org_dat!$I$5,$H101,0)</f>
        <v>808857.34</v>
      </c>
      <c r="Q101" s="35">
        <f ca="1">OFFSET(Org_dat!$J$5,$H101,0)</f>
        <v>0.12574378597213592</v>
      </c>
      <c r="R101" s="35">
        <f ca="1">OFFSET(Org_dat!$K$5,$H101,0)</f>
        <v>0.48251644655462744</v>
      </c>
      <c r="S101" s="34">
        <f ca="1">OFFSET(Org_dat!$L$5,$H101,0)</f>
        <v>215528.36</v>
      </c>
      <c r="T101" s="35">
        <f ca="1">OFFSET(Org_dat!$M$5,$H101,0)</f>
        <v>0.21039766564488355</v>
      </c>
    </row>
    <row r="102" spans="2:20" x14ac:dyDescent="0.2">
      <c r="B102" s="342">
        <f>Org_dat!K98+(C102/100000)</f>
        <v>1.6593494118741858</v>
      </c>
      <c r="C102" s="31">
        <f>Org_dat!B98</f>
        <v>93</v>
      </c>
      <c r="D102" s="32" t="str">
        <f>Org_dat!C98</f>
        <v>Středisko volného času Korunka</v>
      </c>
      <c r="E102" s="33">
        <f ca="1">OFFSET(Org_dat!$C98,0,OrgSortCriteria)</f>
        <v>100</v>
      </c>
      <c r="F102" s="33">
        <f t="shared" ca="1" si="13"/>
        <v>100.00000000165934</v>
      </c>
      <c r="G102" s="33">
        <f t="shared" ca="1" si="11"/>
        <v>42.83453869475229</v>
      </c>
      <c r="H102" s="31">
        <f t="shared" ca="1" si="12"/>
        <v>3</v>
      </c>
      <c r="J102" s="32" t="str">
        <f ca="1">OFFSET(Org_dat!$C$5,$H102,0)</f>
        <v>Magistrát města Ostrava</v>
      </c>
      <c r="K102" s="158">
        <f ca="1">OFFSET(Org_dat!$D$5,$H102,0)</f>
        <v>42.834538694524817</v>
      </c>
      <c r="L102" s="34">
        <f ca="1">OFFSET(Org_dat!$E$5,$H102,0)</f>
        <v>347707000</v>
      </c>
      <c r="M102" s="34">
        <f ca="1">OFFSET(Org_dat!$F$5,$H102,0)</f>
        <v>202975722.45999998</v>
      </c>
      <c r="N102" s="35">
        <f ca="1">OFFSET(Org_dat!$G$5,$H102,0)</f>
        <v>0.58375506521295217</v>
      </c>
      <c r="O102" s="35">
        <f ca="1">OFFSET(Org_dat!$H$5,$H102,0)</f>
        <v>7.0000000000000007E-2</v>
      </c>
      <c r="P102" s="34">
        <f ca="1">OFFSET(Org_dat!$I$5,$H102,0)</f>
        <v>5535929.96</v>
      </c>
      <c r="Q102" s="35">
        <f ca="1">OFFSET(Org_dat!$J$5,$H102,0)</f>
        <v>1.5921249672856744E-2</v>
      </c>
      <c r="R102" s="35">
        <f ca="1">OFFSET(Org_dat!$K$5,$H102,0)</f>
        <v>0.22744642389795344</v>
      </c>
      <c r="S102" s="34">
        <f ca="1">OFFSET(Org_dat!$L$5,$H102,0)</f>
        <v>3634966.6799999997</v>
      </c>
      <c r="T102" s="35">
        <f ca="1">OFFSET(Org_dat!$M$5,$H102,0)</f>
        <v>0.39635891916452781</v>
      </c>
    </row>
    <row r="103" spans="2:20" x14ac:dyDescent="0.2">
      <c r="B103" s="342">
        <f>Org_dat!K99+(C103/100000)</f>
        <v>1.1630905979481576</v>
      </c>
      <c r="C103" s="31">
        <f>Org_dat!B99</f>
        <v>94</v>
      </c>
      <c r="D103" s="32" t="str">
        <f>Org_dat!C99</f>
        <v>Středisko volného času O-Zábřeh</v>
      </c>
      <c r="E103" s="33">
        <f ca="1">OFFSET(Org_dat!$C99,0,OrgSortCriteria)</f>
        <v>99.80033509378984</v>
      </c>
      <c r="F103" s="33">
        <f t="shared" ca="1" si="13"/>
        <v>99.800335094952928</v>
      </c>
      <c r="G103" s="33">
        <f t="shared" ca="1" si="11"/>
        <v>42.574760502869189</v>
      </c>
      <c r="H103" s="31">
        <f t="shared" ca="1" si="12"/>
        <v>56</v>
      </c>
      <c r="J103" s="32" t="str">
        <f ca="1">OFFSET(Org_dat!$C$5,$H103,0)</f>
        <v>MŠ O-Bartovice</v>
      </c>
      <c r="K103" s="158">
        <f ca="1">OFFSET(Org_dat!$D$5,$H103,0)</f>
        <v>42.574760502159052</v>
      </c>
      <c r="L103" s="34">
        <f ca="1">OFFSET(Org_dat!$E$5,$H103,0)</f>
        <v>302500</v>
      </c>
      <c r="M103" s="34">
        <f ca="1">OFFSET(Org_dat!$F$5,$H103,0)</f>
        <v>0</v>
      </c>
      <c r="N103" s="35">
        <f ca="1">OFFSET(Org_dat!$G$5,$H103,0)</f>
        <v>0</v>
      </c>
      <c r="O103" s="35">
        <f ca="1">OFFSET(Org_dat!$H$5,$H103,0)</f>
        <v>0.1734</v>
      </c>
      <c r="P103" s="34">
        <f ca="1">OFFSET(Org_dat!$I$5,$H103,0)</f>
        <v>37219.919999999998</v>
      </c>
      <c r="Q103" s="35">
        <f ca="1">OFFSET(Org_dat!$J$5,$H103,0)</f>
        <v>0.12304105785123966</v>
      </c>
      <c r="R103" s="35">
        <f ca="1">OFFSET(Org_dat!$K$5,$H103,0)</f>
        <v>0.70957934170265091</v>
      </c>
      <c r="S103" s="34">
        <f ca="1">OFFSET(Org_dat!$L$5,$H103,0)</f>
        <v>33411.54</v>
      </c>
      <c r="T103" s="35">
        <f ca="1">OFFSET(Org_dat!$M$5,$H103,0)</f>
        <v>0.47304048365983098</v>
      </c>
    </row>
    <row r="104" spans="2:20" x14ac:dyDescent="0.2">
      <c r="B104" s="342">
        <f>Org_dat!K100+(C104/100000)</f>
        <v>0.71765539017086488</v>
      </c>
      <c r="C104" s="31">
        <f>Org_dat!B100</f>
        <v>95</v>
      </c>
      <c r="D104" s="32" t="str">
        <f>Org_dat!C100</f>
        <v>Středisko volného času Ostrava</v>
      </c>
      <c r="E104" s="33">
        <f ca="1">OFFSET(Org_dat!$C100,0,OrgSortCriteria)</f>
        <v>82.152031794962127</v>
      </c>
      <c r="F104" s="33">
        <f t="shared" ca="1" si="13"/>
        <v>82.15203179567979</v>
      </c>
      <c r="G104" s="33">
        <f t="shared" ca="1" si="11"/>
        <v>42.249407869342853</v>
      </c>
      <c r="H104" s="31">
        <f t="shared" ca="1" si="12"/>
        <v>115</v>
      </c>
      <c r="J104" s="32" t="str">
        <f ca="1">OFFSET(Org_dat!$C$5,$H104,0)</f>
        <v>ÚMOb Proskovice</v>
      </c>
      <c r="K104" s="158">
        <f ca="1">OFFSET(Org_dat!$D$5,$H104,0)</f>
        <v>42.249407869081125</v>
      </c>
      <c r="L104" s="34">
        <f ca="1">OFFSET(Org_dat!$E$5,$H104,0)</f>
        <v>1706500</v>
      </c>
      <c r="M104" s="34">
        <f ca="1">OFFSET(Org_dat!$F$5,$H104,0)</f>
        <v>908356.20000000007</v>
      </c>
      <c r="N104" s="35">
        <f ca="1">OFFSET(Org_dat!$G$5,$H104,0)</f>
        <v>0.53229194257251689</v>
      </c>
      <c r="O104" s="35">
        <f ca="1">OFFSET(Org_dat!$H$5,$H104,0)</f>
        <v>0.27362467245610628</v>
      </c>
      <c r="P104" s="34">
        <f ca="1">OFFSET(Org_dat!$I$5,$H104,0)</f>
        <v>121675.44</v>
      </c>
      <c r="Q104" s="35">
        <f ca="1">OFFSET(Org_dat!$J$5,$H104,0)</f>
        <v>7.1301166129504837E-2</v>
      </c>
      <c r="R104" s="35">
        <f ca="1">OFFSET(Org_dat!$K$5,$H104,0)</f>
        <v>0.26058017900758812</v>
      </c>
      <c r="S104" s="34">
        <f ca="1">OFFSET(Org_dat!$L$5,$H104,0)</f>
        <v>93053.2</v>
      </c>
      <c r="T104" s="35">
        <f ca="1">OFFSET(Org_dat!$M$5,$H104,0)</f>
        <v>0.43335253275948654</v>
      </c>
    </row>
    <row r="105" spans="2:20" x14ac:dyDescent="0.2">
      <c r="B105" s="342">
        <f>Org_dat!K101+(C105/100000)</f>
        <v>0.57781334082434321</v>
      </c>
      <c r="C105" s="31">
        <f>Org_dat!B101</f>
        <v>96</v>
      </c>
      <c r="D105" s="32" t="str">
        <f>Org_dat!C101</f>
        <v>Technické služby Moravská Ostrava a Přívoz</v>
      </c>
      <c r="E105" s="33">
        <f ca="1">OFFSET(Org_dat!$C101,0,OrgSortCriteria)</f>
        <v>58.187651848145045</v>
      </c>
      <c r="F105" s="33">
        <f t="shared" ca="1" si="13"/>
        <v>58.187651848722858</v>
      </c>
      <c r="G105" s="33">
        <f t="shared" ca="1" si="11"/>
        <v>40.091105862548126</v>
      </c>
      <c r="H105" s="31">
        <f t="shared" ca="1" si="12"/>
        <v>91</v>
      </c>
      <c r="J105" s="32" t="str">
        <f ca="1">OFFSET(Org_dat!$C$5,$H105,0)</f>
        <v>Ostravský informační servis</v>
      </c>
      <c r="K105" s="158">
        <f ca="1">OFFSET(Org_dat!$D$5,$H105,0)</f>
        <v>40.091105862454938</v>
      </c>
      <c r="L105" s="34">
        <f ca="1">OFFSET(Org_dat!$E$5,$H105,0)</f>
        <v>2965350</v>
      </c>
      <c r="M105" s="34">
        <f ca="1">OFFSET(Org_dat!$F$5,$H105,0)</f>
        <v>2049325</v>
      </c>
      <c r="N105" s="35">
        <f ca="1">OFFSET(Org_dat!$G$5,$H105,0)</f>
        <v>0.69109042777412444</v>
      </c>
      <c r="O105" s="35">
        <f ca="1">OFFSET(Org_dat!$H$5,$H105,0)</f>
        <v>0.13</v>
      </c>
      <c r="P105" s="34">
        <f ca="1">OFFSET(Org_dat!$I$5,$H105,0)</f>
        <v>35572.14</v>
      </c>
      <c r="Q105" s="35">
        <f ca="1">OFFSET(Org_dat!$J$5,$H105,0)</f>
        <v>1.1995933026455562E-2</v>
      </c>
      <c r="R105" s="35">
        <f ca="1">OFFSET(Org_dat!$K$5,$H105,0)</f>
        <v>9.2276407895812013E-2</v>
      </c>
      <c r="S105" s="34">
        <f ca="1">OFFSET(Org_dat!$L$5,$H105,0)</f>
        <v>51132.579999999994</v>
      </c>
      <c r="T105" s="35">
        <f ca="1">OFFSET(Org_dat!$M$5,$H105,0)</f>
        <v>0.58973236981792909</v>
      </c>
    </row>
    <row r="106" spans="2:20" x14ac:dyDescent="0.2">
      <c r="B106" s="342">
        <f>Org_dat!K102+(C106/100000)</f>
        <v>0.6384624859222745</v>
      </c>
      <c r="C106" s="31">
        <f>Org_dat!B102</f>
        <v>97</v>
      </c>
      <c r="D106" s="32" t="str">
        <f>Org_dat!C102</f>
        <v>Technické služby O-Jih</v>
      </c>
      <c r="E106" s="33">
        <f ca="1">OFFSET(Org_dat!$C102,0,OrgSortCriteria)</f>
        <v>40.022607500357502</v>
      </c>
      <c r="F106" s="33">
        <f t="shared" ca="1" si="13"/>
        <v>40.022607500995967</v>
      </c>
      <c r="G106" s="33">
        <f t="shared" ref="G106:G137" ca="1" si="14">IF(ISERROR(LARGE($F$10:$F$185,C106)),0,LARGE($F$10:$F$185,C106))</f>
        <v>40.022607500995967</v>
      </c>
      <c r="H106" s="31">
        <f t="shared" ref="H106:H137" ca="1" si="15">MATCH(G106,$F$10:$F$185,0)</f>
        <v>97</v>
      </c>
      <c r="J106" s="32" t="str">
        <f ca="1">OFFSET(Org_dat!$C$5,$H106,0)</f>
        <v>Technické služby O-Jih</v>
      </c>
      <c r="K106" s="158">
        <f ca="1">OFFSET(Org_dat!$D$5,$H106,0)</f>
        <v>40.022607500357502</v>
      </c>
      <c r="L106" s="34">
        <f ca="1">OFFSET(Org_dat!$E$5,$H106,0)</f>
        <v>1782500</v>
      </c>
      <c r="M106" s="34">
        <f ca="1">OFFSET(Org_dat!$F$5,$H106,0)</f>
        <v>63209.53</v>
      </c>
      <c r="N106" s="35">
        <f ca="1">OFFSET(Org_dat!$G$5,$H106,0)</f>
        <v>3.5461166900420754E-2</v>
      </c>
      <c r="O106" s="35">
        <f ca="1">OFFSET(Org_dat!$H$5,$H106,0)</f>
        <v>7.8393831087387525E-2</v>
      </c>
      <c r="P106" s="34">
        <f ca="1">OFFSET(Org_dat!$I$5,$H106,0)</f>
        <v>89081.29</v>
      </c>
      <c r="Q106" s="35">
        <f ca="1">OFFSET(Org_dat!$J$5,$H106,0)</f>
        <v>4.9975478260869559E-2</v>
      </c>
      <c r="R106" s="35">
        <f ca="1">OFFSET(Org_dat!$K$5,$H106,0)</f>
        <v>0.63749248592227448</v>
      </c>
      <c r="S106" s="34">
        <f ca="1">OFFSET(Org_dat!$L$5,$H106,0)</f>
        <v>7947.6900000000005</v>
      </c>
      <c r="T106" s="35">
        <f ca="1">OFFSET(Org_dat!$M$5,$H106,0)</f>
        <v>8.1910476643163727E-2</v>
      </c>
    </row>
    <row r="107" spans="2:20" x14ac:dyDescent="0.2">
      <c r="B107" s="342">
        <f>Org_dat!K103+(C107/100000)</f>
        <v>0.77089996401615835</v>
      </c>
      <c r="C107" s="31">
        <f>Org_dat!B103</f>
        <v>98</v>
      </c>
      <c r="D107" s="32" t="str">
        <f>Org_dat!C103</f>
        <v>Technické služby Slezská Ostrava</v>
      </c>
      <c r="E107" s="33">
        <f ca="1">OFFSET(Org_dat!$C103,0,OrgSortCriteria)</f>
        <v>64.929191992815703</v>
      </c>
      <c r="F107" s="33">
        <f t="shared" ca="1" si="13"/>
        <v>64.929191993586599</v>
      </c>
      <c r="G107" s="33">
        <f t="shared" ca="1" si="14"/>
        <v>38.808230066992934</v>
      </c>
      <c r="H107" s="31">
        <f t="shared" ca="1" si="15"/>
        <v>69</v>
      </c>
      <c r="J107" s="32" t="str">
        <f ca="1">OFFSET(Org_dat!$C$5,$H107,0)</f>
        <v>MŠ O-Poruba, Sokolovská</v>
      </c>
      <c r="K107" s="158">
        <f ca="1">OFFSET(Org_dat!$D$5,$H107,0)</f>
        <v>38.808230066577458</v>
      </c>
      <c r="L107" s="34">
        <f ca="1">OFFSET(Org_dat!$E$5,$H107,0)</f>
        <v>1673000</v>
      </c>
      <c r="M107" s="34">
        <f ca="1">OFFSET(Org_dat!$F$5,$H107,0)</f>
        <v>465796.25</v>
      </c>
      <c r="N107" s="35">
        <f ca="1">OFFSET(Org_dat!$G$5,$H107,0)</f>
        <v>0.2784197549312612</v>
      </c>
      <c r="O107" s="35">
        <f ca="1">OFFSET(Org_dat!$H$5,$H107,0)</f>
        <v>0.23119999999999999</v>
      </c>
      <c r="P107" s="34">
        <f ca="1">OFFSET(Org_dat!$I$5,$H107,0)</f>
        <v>160438.76</v>
      </c>
      <c r="Q107" s="35">
        <f ca="1">OFFSET(Org_dat!$J$5,$H107,0)</f>
        <v>9.5898840406455479E-2</v>
      </c>
      <c r="R107" s="35">
        <f ca="1">OFFSET(Org_dat!$K$5,$H107,0)</f>
        <v>0.41478737200023996</v>
      </c>
      <c r="S107" s="34">
        <f ca="1">OFFSET(Org_dat!$L$5,$H107,0)</f>
        <v>42346.22</v>
      </c>
      <c r="T107" s="35">
        <f ca="1">OFFSET(Org_dat!$M$5,$H107,0)</f>
        <v>0.20882325702820789</v>
      </c>
    </row>
    <row r="108" spans="2:20" x14ac:dyDescent="0.2">
      <c r="B108" s="342">
        <f>Org_dat!K104+(C108/100000)</f>
        <v>0.34079771793126284</v>
      </c>
      <c r="C108" s="31">
        <f>Org_dat!B104</f>
        <v>99</v>
      </c>
      <c r="D108" s="32" t="str">
        <f>Org_dat!C104</f>
        <v>Technický dvůr O-Svinov</v>
      </c>
      <c r="E108" s="33">
        <f ca="1">OFFSET(Org_dat!$C104,0,OrgSortCriteria)</f>
        <v>28.896671163787424</v>
      </c>
      <c r="F108" s="33">
        <f t="shared" ca="1" si="13"/>
        <v>28.896671164128222</v>
      </c>
      <c r="G108" s="33">
        <f t="shared" ca="1" si="14"/>
        <v>38.646437639548665</v>
      </c>
      <c r="H108" s="31">
        <f t="shared" ca="1" si="15"/>
        <v>78</v>
      </c>
      <c r="J108" s="32" t="str">
        <f ca="1">OFFSET(Org_dat!$C$5,$H108,0)</f>
        <v>MŠ Sládečkova</v>
      </c>
      <c r="K108" s="158">
        <f ca="1">OFFSET(Org_dat!$D$5,$H108,0)</f>
        <v>38.646437638903777</v>
      </c>
      <c r="L108" s="34">
        <f ca="1">OFFSET(Org_dat!$E$5,$H108,0)</f>
        <v>357400</v>
      </c>
      <c r="M108" s="34">
        <f ca="1">OFFSET(Org_dat!$F$5,$H108,0)</f>
        <v>0</v>
      </c>
      <c r="N108" s="35">
        <f ca="1">OFFSET(Org_dat!$G$5,$H108,0)</f>
        <v>0</v>
      </c>
      <c r="O108" s="35">
        <f ca="1">OFFSET(Org_dat!$H$5,$H108,0)</f>
        <v>0.26350000000000001</v>
      </c>
      <c r="P108" s="34">
        <f ca="1">OFFSET(Org_dat!$I$5,$H108,0)</f>
        <v>60658.74</v>
      </c>
      <c r="Q108" s="35">
        <f ca="1">OFFSET(Org_dat!$J$5,$H108,0)</f>
        <v>0.16972227196418577</v>
      </c>
      <c r="R108" s="35">
        <f ca="1">OFFSET(Org_dat!$K$5,$H108,0)</f>
        <v>0.64410729398172961</v>
      </c>
      <c r="S108" s="34">
        <f ca="1">OFFSET(Org_dat!$L$5,$H108,0)</f>
        <v>44163.6</v>
      </c>
      <c r="T108" s="35">
        <f ca="1">OFFSET(Org_dat!$M$5,$H108,0)</f>
        <v>0.42131858533209621</v>
      </c>
    </row>
    <row r="109" spans="2:20" x14ac:dyDescent="0.2">
      <c r="B109" s="342">
        <f>Org_dat!K105+(C109/100000)</f>
        <v>0.28926548451538292</v>
      </c>
      <c r="C109" s="31">
        <f>Org_dat!B105</f>
        <v>100</v>
      </c>
      <c r="D109" s="32" t="str">
        <f>Org_dat!C105</f>
        <v>ÚMOb Hošťálkovice</v>
      </c>
      <c r="E109" s="33">
        <f ca="1">OFFSET(Org_dat!$C105,0,OrgSortCriteria)</f>
        <v>55.838866713291992</v>
      </c>
      <c r="F109" s="33">
        <f t="shared" ca="1" si="13"/>
        <v>55.838866713581254</v>
      </c>
      <c r="G109" s="33">
        <f t="shared" ca="1" si="14"/>
        <v>38.446619611805545</v>
      </c>
      <c r="H109" s="31">
        <f t="shared" ca="1" si="15"/>
        <v>128</v>
      </c>
      <c r="J109" s="32" t="str">
        <f ca="1">OFFSET(Org_dat!$C$5,$H109,0)</f>
        <v>ZŠ a MŠ O-Hrabůvka, Mitušova 16</v>
      </c>
      <c r="K109" s="158">
        <f ca="1">OFFSET(Org_dat!$D$5,$H109,0)</f>
        <v>38.446619611267238</v>
      </c>
      <c r="L109" s="34">
        <f ca="1">OFFSET(Org_dat!$E$5,$H109,0)</f>
        <v>6687500</v>
      </c>
      <c r="M109" s="34">
        <f ca="1">OFFSET(Org_dat!$F$5,$H109,0)</f>
        <v>832568.38</v>
      </c>
      <c r="N109" s="35">
        <f ca="1">OFFSET(Org_dat!$G$5,$H109,0)</f>
        <v>0.12449620635514019</v>
      </c>
      <c r="O109" s="35">
        <f ca="1">OFFSET(Org_dat!$H$5,$H109,0)</f>
        <v>0.20019999999999999</v>
      </c>
      <c r="P109" s="34">
        <f ca="1">OFFSET(Org_dat!$I$5,$H109,0)</f>
        <v>718996.11</v>
      </c>
      <c r="Q109" s="35">
        <f ca="1">OFFSET(Org_dat!$J$5,$H109,0)</f>
        <v>0.10751343700934579</v>
      </c>
      <c r="R109" s="35">
        <f ca="1">OFFSET(Org_dat!$K$5,$H109,0)</f>
        <v>0.53703015489183714</v>
      </c>
      <c r="S109" s="34">
        <f ca="1">OFFSET(Org_dat!$L$5,$H109,0)</f>
        <v>160981.59999999998</v>
      </c>
      <c r="T109" s="35">
        <f ca="1">OFFSET(Org_dat!$M$5,$H109,0)</f>
        <v>0.18293827010686439</v>
      </c>
    </row>
    <row r="110" spans="2:20" x14ac:dyDescent="0.2">
      <c r="B110" s="342">
        <f>Org_dat!K106+(C110/100000)</f>
        <v>0.15856858992237952</v>
      </c>
      <c r="C110" s="31">
        <f>Org_dat!B106</f>
        <v>101</v>
      </c>
      <c r="D110" s="32" t="str">
        <f>Org_dat!C106</f>
        <v>ÚMOb Hrabová</v>
      </c>
      <c r="E110" s="33">
        <f ca="1">OFFSET(Org_dat!$C106,0,OrgSortCriteria)</f>
        <v>9.5146847639782077</v>
      </c>
      <c r="F110" s="33">
        <f t="shared" ca="1" si="13"/>
        <v>9.514684764136776</v>
      </c>
      <c r="G110" s="33">
        <f t="shared" ca="1" si="14"/>
        <v>37.99229900600259</v>
      </c>
      <c r="H110" s="31">
        <f t="shared" ca="1" si="15"/>
        <v>74</v>
      </c>
      <c r="J110" s="32" t="str">
        <f ca="1">OFFSET(Org_dat!$C$5,$H110,0)</f>
        <v>MŠ O-Vítkovice</v>
      </c>
      <c r="K110" s="158">
        <f ca="1">OFFSET(Org_dat!$D$5,$H110,0)</f>
        <v>37.992299005379763</v>
      </c>
      <c r="L110" s="34">
        <f ca="1">OFFSET(Org_dat!$E$5,$H110,0)</f>
        <v>973750</v>
      </c>
      <c r="M110" s="34">
        <f ca="1">OFFSET(Org_dat!$F$5,$H110,0)</f>
        <v>12996.13</v>
      </c>
      <c r="N110" s="35">
        <f ca="1">OFFSET(Org_dat!$G$5,$H110,0)</f>
        <v>1.3346474967907572E-2</v>
      </c>
      <c r="O110" s="35">
        <f ca="1">OFFSET(Org_dat!$H$5,$H110,0)</f>
        <v>0.26200000000000001</v>
      </c>
      <c r="P110" s="34">
        <f ca="1">OFFSET(Org_dat!$I$5,$H110,0)</f>
        <v>158707.35</v>
      </c>
      <c r="Q110" s="35">
        <f ca="1">OFFSET(Org_dat!$J$5,$H110,0)</f>
        <v>0.16298572528883185</v>
      </c>
      <c r="R110" s="35">
        <f ca="1">OFFSET(Org_dat!$K$5,$H110,0)</f>
        <v>0.62208292094973983</v>
      </c>
      <c r="S110" s="34">
        <f ca="1">OFFSET(Org_dat!$L$5,$H110,0)</f>
        <v>112784.09</v>
      </c>
      <c r="T110" s="35">
        <f ca="1">OFFSET(Org_dat!$M$5,$H110,0)</f>
        <v>0.41542411060915951</v>
      </c>
    </row>
    <row r="111" spans="2:20" x14ac:dyDescent="0.2">
      <c r="B111" s="342">
        <f>Org_dat!K107+(C111/100000)</f>
        <v>0.49392871094174257</v>
      </c>
      <c r="C111" s="31">
        <f>Org_dat!B107</f>
        <v>102</v>
      </c>
      <c r="D111" s="32" t="str">
        <f>Org_dat!C107</f>
        <v>ÚMOb Krásné Pole</v>
      </c>
      <c r="E111" s="33">
        <f ca="1">OFFSET(Org_dat!$C107,0,OrgSortCriteria)</f>
        <v>69.574522656504556</v>
      </c>
      <c r="F111" s="33">
        <f t="shared" ca="1" si="13"/>
        <v>69.574522656998482</v>
      </c>
      <c r="G111" s="33">
        <f t="shared" ca="1" si="14"/>
        <v>37.49991932200389</v>
      </c>
      <c r="H111" s="31">
        <f t="shared" ca="1" si="15"/>
        <v>172</v>
      </c>
      <c r="J111" s="32" t="str">
        <f ca="1">OFFSET(Org_dat!$C$5,$H111,0)</f>
        <v>ZŠ Slezská Ostrava, Bohumínská</v>
      </c>
      <c r="K111" s="158">
        <f ca="1">OFFSET(Org_dat!$D$5,$H111,0)</f>
        <v>37.499919321865526</v>
      </c>
      <c r="L111" s="34">
        <f ca="1">OFFSET(Org_dat!$E$5,$H111,0)</f>
        <v>3554800</v>
      </c>
      <c r="M111" s="34">
        <f ca="1">OFFSET(Org_dat!$F$5,$H111,0)</f>
        <v>2083189.62</v>
      </c>
      <c r="N111" s="35">
        <f ca="1">OFFSET(Org_dat!$G$5,$H111,0)</f>
        <v>0.58602161021717114</v>
      </c>
      <c r="O111" s="35">
        <f ca="1">OFFSET(Org_dat!$H$5,$H111,0)</f>
        <v>0.2571</v>
      </c>
      <c r="P111" s="34">
        <f ca="1">OFFSET(Org_dat!$I$5,$H111,0)</f>
        <v>124887.32</v>
      </c>
      <c r="Q111" s="35">
        <f ca="1">OFFSET(Org_dat!$J$5,$H111,0)</f>
        <v>3.513202430516485E-2</v>
      </c>
      <c r="R111" s="35">
        <f ca="1">OFFSET(Org_dat!$K$5,$H111,0)</f>
        <v>0.13664731351678278</v>
      </c>
      <c r="S111" s="34">
        <f ca="1">OFFSET(Org_dat!$L$5,$H111,0)</f>
        <v>85507.17</v>
      </c>
      <c r="T111" s="35">
        <f ca="1">OFFSET(Org_dat!$M$5,$H111,0)</f>
        <v>0.40641354248393102</v>
      </c>
    </row>
    <row r="112" spans="2:20" x14ac:dyDescent="0.2">
      <c r="B112" s="342">
        <f>Org_dat!K108+(C112/100000)</f>
        <v>0.60495530613267445</v>
      </c>
      <c r="C112" s="31">
        <f>Org_dat!B108</f>
        <v>103</v>
      </c>
      <c r="D112" s="32" t="str">
        <f>Org_dat!C108</f>
        <v>ÚMOb Lhotka</v>
      </c>
      <c r="E112" s="33">
        <f ca="1">OFFSET(Org_dat!$C108,0,OrgSortCriteria)</f>
        <v>36.235518367960466</v>
      </c>
      <c r="F112" s="33">
        <f t="shared" ca="1" si="13"/>
        <v>36.235518368565423</v>
      </c>
      <c r="G112" s="33">
        <f t="shared" ca="1" si="14"/>
        <v>36.294231429424052</v>
      </c>
      <c r="H112" s="31">
        <f t="shared" ca="1" si="15"/>
        <v>121</v>
      </c>
      <c r="J112" s="32" t="str">
        <f ca="1">OFFSET(Org_dat!$C$5,$H112,0)</f>
        <v>ÚMOb Třebovice</v>
      </c>
      <c r="K112" s="158">
        <f ca="1">OFFSET(Org_dat!$D$5,$H112,0)</f>
        <v>36.294231429211912</v>
      </c>
      <c r="L112" s="34">
        <f ca="1">OFFSET(Org_dat!$E$5,$H112,0)</f>
        <v>1696000</v>
      </c>
      <c r="M112" s="34">
        <f ca="1">OFFSET(Org_dat!$F$5,$H112,0)</f>
        <v>801822.54</v>
      </c>
      <c r="N112" s="35">
        <f ca="1">OFFSET(Org_dat!$G$5,$H112,0)</f>
        <v>0.47277272405660381</v>
      </c>
      <c r="O112" s="35">
        <f ca="1">OFFSET(Org_dat!$H$5,$H112,0)</f>
        <v>0.32468997749544032</v>
      </c>
      <c r="P112" s="34">
        <f ca="1">OFFSET(Org_dat!$I$5,$H112,0)</f>
        <v>116151.83</v>
      </c>
      <c r="Q112" s="35">
        <f ca="1">OFFSET(Org_dat!$J$5,$H112,0)</f>
        <v>6.8485748820754713E-2</v>
      </c>
      <c r="R112" s="35">
        <f ca="1">OFFSET(Org_dat!$K$5,$H112,0)</f>
        <v>0.21092658710636203</v>
      </c>
      <c r="S112" s="34">
        <f ca="1">OFFSET(Org_dat!$L$5,$H112,0)</f>
        <v>102029.89</v>
      </c>
      <c r="T112" s="35">
        <f ca="1">OFFSET(Org_dat!$M$5,$H112,0)</f>
        <v>0.46763720627007616</v>
      </c>
    </row>
    <row r="113" spans="2:20" x14ac:dyDescent="0.2">
      <c r="B113" s="342">
        <f>Org_dat!K109+(C113/100000)</f>
        <v>4.8058602582510754E-2</v>
      </c>
      <c r="C113" s="31">
        <f>Org_dat!B109</f>
        <v>104</v>
      </c>
      <c r="D113" s="32" t="str">
        <f>Org_dat!C109</f>
        <v>ÚMOb Mariánské Hory a Hulváky</v>
      </c>
      <c r="E113" s="33">
        <f ca="1">OFFSET(Org_dat!$C109,0,OrgSortCriteria)</f>
        <v>34.941710280113874</v>
      </c>
      <c r="F113" s="33">
        <f t="shared" ca="1" si="13"/>
        <v>34.941710280161935</v>
      </c>
      <c r="G113" s="33">
        <f t="shared" ca="1" si="14"/>
        <v>36.235518368565423</v>
      </c>
      <c r="H113" s="31">
        <f t="shared" ca="1" si="15"/>
        <v>103</v>
      </c>
      <c r="J113" s="32" t="str">
        <f ca="1">OFFSET(Org_dat!$C$5,$H113,0)</f>
        <v>ÚMOb Lhotka</v>
      </c>
      <c r="K113" s="158">
        <f ca="1">OFFSET(Org_dat!$D$5,$H113,0)</f>
        <v>36.235518367960466</v>
      </c>
      <c r="L113" s="34">
        <f ca="1">OFFSET(Org_dat!$E$5,$H113,0)</f>
        <v>920500</v>
      </c>
      <c r="M113" s="34">
        <f ca="1">OFFSET(Org_dat!$F$5,$H113,0)</f>
        <v>0</v>
      </c>
      <c r="N113" s="35">
        <f ca="1">OFFSET(Org_dat!$G$5,$H113,0)</f>
        <v>0</v>
      </c>
      <c r="O113" s="35">
        <f ca="1">OFFSET(Org_dat!$H$5,$H113,0)</f>
        <v>0.18939041492615671</v>
      </c>
      <c r="P113" s="34">
        <f ca="1">OFFSET(Org_dat!$I$5,$H113,0)</f>
        <v>105284.64</v>
      </c>
      <c r="Q113" s="35">
        <f ca="1">OFFSET(Org_dat!$J$5,$H113,0)</f>
        <v>0.11437766431287344</v>
      </c>
      <c r="R113" s="35">
        <f ca="1">OFFSET(Org_dat!$K$5,$H113,0)</f>
        <v>0.60392530613267448</v>
      </c>
      <c r="S113" s="34">
        <f ca="1">OFFSET(Org_dat!$L$5,$H113,0)</f>
        <v>84128.4</v>
      </c>
      <c r="T113" s="35">
        <f ca="1">OFFSET(Org_dat!$M$5,$H113,0)</f>
        <v>0.44415315862096932</v>
      </c>
    </row>
    <row r="114" spans="2:20" x14ac:dyDescent="0.2">
      <c r="B114" s="342">
        <f>Org_dat!K110+(C114/100000)</f>
        <v>0.43960906046300136</v>
      </c>
      <c r="C114" s="31">
        <f>Org_dat!B110</f>
        <v>105</v>
      </c>
      <c r="D114" s="32" t="str">
        <f>Org_dat!C110</f>
        <v>ÚMOb Martinov</v>
      </c>
      <c r="E114" s="33">
        <f ca="1">OFFSET(Org_dat!$C110,0,OrgSortCriteria)</f>
        <v>27.198264846341896</v>
      </c>
      <c r="F114" s="33">
        <f t="shared" ca="1" si="13"/>
        <v>27.198264846781505</v>
      </c>
      <c r="G114" s="33">
        <f t="shared" ca="1" si="14"/>
        <v>35.779030477802671</v>
      </c>
      <c r="H114" s="31">
        <f t="shared" ca="1" si="15"/>
        <v>157</v>
      </c>
      <c r="J114" s="32" t="str">
        <f ca="1">OFFSET(Org_dat!$C$5,$H114,0)</f>
        <v>ZŠ O-Poruba, J.Valčíka</v>
      </c>
      <c r="K114" s="158">
        <f ca="1">OFFSET(Org_dat!$D$5,$H114,0)</f>
        <v>35.779030477289076</v>
      </c>
      <c r="L114" s="34">
        <f ca="1">OFFSET(Org_dat!$E$5,$H114,0)</f>
        <v>2205200</v>
      </c>
      <c r="M114" s="34">
        <f ca="1">OFFSET(Org_dat!$F$5,$H114,0)</f>
        <v>223050.66</v>
      </c>
      <c r="N114" s="35">
        <f ca="1">OFFSET(Org_dat!$G$5,$H114,0)</f>
        <v>0.10114758752040631</v>
      </c>
      <c r="O114" s="35">
        <f ca="1">OFFSET(Org_dat!$H$5,$H114,0)</f>
        <v>0.23480000000000001</v>
      </c>
      <c r="P114" s="34">
        <f ca="1">OFFSET(Org_dat!$I$5,$H114,0)</f>
        <v>265118.09999999998</v>
      </c>
      <c r="Q114" s="35">
        <f ca="1">OFFSET(Org_dat!$J$5,$H114,0)</f>
        <v>0.12022406130963177</v>
      </c>
      <c r="R114" s="35">
        <f ca="1">OFFSET(Org_dat!$K$5,$H114,0)</f>
        <v>0.51202751835447935</v>
      </c>
      <c r="S114" s="34">
        <f ca="1">OFFSET(Org_dat!$L$5,$H114,0)</f>
        <v>68442.459999999992</v>
      </c>
      <c r="T114" s="35">
        <f ca="1">OFFSET(Org_dat!$M$5,$H114,0)</f>
        <v>0.20518750777969674</v>
      </c>
    </row>
    <row r="115" spans="2:20" x14ac:dyDescent="0.2">
      <c r="B115" s="342">
        <f>Org_dat!K111+(C115/100000)</f>
        <v>0.40791879912186491</v>
      </c>
      <c r="C115" s="31">
        <f>Org_dat!B111</f>
        <v>106</v>
      </c>
      <c r="D115" s="32" t="str">
        <f>Org_dat!C111</f>
        <v>ÚMOb Michálkovice</v>
      </c>
      <c r="E115" s="33">
        <f ca="1">OFFSET(Org_dat!$C111,0,OrgSortCriteria)</f>
        <v>25.05374631394351</v>
      </c>
      <c r="F115" s="33">
        <f t="shared" ca="1" si="13"/>
        <v>25.053746314351429</v>
      </c>
      <c r="G115" s="33">
        <f t="shared" ca="1" si="14"/>
        <v>35.549699668251684</v>
      </c>
      <c r="H115" s="31">
        <f t="shared" ca="1" si="15"/>
        <v>152</v>
      </c>
      <c r="J115" s="32" t="str">
        <f ca="1">OFFSET(Org_dat!$C$5,$H115,0)</f>
        <v>ZŠ O-Poruba, A.Hrdličky</v>
      </c>
      <c r="K115" s="158">
        <f ca="1">OFFSET(Org_dat!$D$5,$H115,0)</f>
        <v>35.549699668075718</v>
      </c>
      <c r="L115" s="34">
        <f ca="1">OFFSET(Org_dat!$E$5,$H115,0)</f>
        <v>2395500</v>
      </c>
      <c r="M115" s="34">
        <f ca="1">OFFSET(Org_dat!$F$5,$H115,0)</f>
        <v>1201725.8400000001</v>
      </c>
      <c r="N115" s="35">
        <f ca="1">OFFSET(Org_dat!$G$5,$H115,0)</f>
        <v>0.50165971195992487</v>
      </c>
      <c r="O115" s="35">
        <f ca="1">OFFSET(Org_dat!$H$5,$H115,0)</f>
        <v>0.22869999999999999</v>
      </c>
      <c r="P115" s="34">
        <f ca="1">OFFSET(Org_dat!$I$5,$H115,0)</f>
        <v>95569.97</v>
      </c>
      <c r="Q115" s="35">
        <f ca="1">OFFSET(Org_dat!$J$5,$H115,0)</f>
        <v>3.989562513045293E-2</v>
      </c>
      <c r="R115" s="35">
        <f ca="1">OFFSET(Org_dat!$K$5,$H115,0)</f>
        <v>0.1744452345013246</v>
      </c>
      <c r="S115" s="34">
        <f ca="1">OFFSET(Org_dat!$L$5,$H115,0)</f>
        <v>55299.83</v>
      </c>
      <c r="T115" s="35">
        <f ca="1">OFFSET(Org_dat!$M$5,$H115,0)</f>
        <v>0.36654008953415468</v>
      </c>
    </row>
    <row r="116" spans="2:20" x14ac:dyDescent="0.2">
      <c r="B116" s="342">
        <f>Org_dat!K112+(C116/100000)</f>
        <v>0.41149963128172745</v>
      </c>
      <c r="C116" s="31">
        <f>Org_dat!B112</f>
        <v>107</v>
      </c>
      <c r="D116" s="32" t="str">
        <f>Org_dat!C112</f>
        <v>ÚMOb Moravská Ostrava a Přívoz</v>
      </c>
      <c r="E116" s="33">
        <f ca="1">OFFSET(Org_dat!$C112,0,OrgSortCriteria)</f>
        <v>47.554145833507363</v>
      </c>
      <c r="F116" s="33">
        <f t="shared" ca="1" si="13"/>
        <v>47.554145833918859</v>
      </c>
      <c r="G116" s="33">
        <f t="shared" ca="1" si="14"/>
        <v>35.199862894084781</v>
      </c>
      <c r="H116" s="31">
        <f t="shared" ca="1" si="15"/>
        <v>139</v>
      </c>
      <c r="J116" s="32" t="str">
        <f ca="1">OFFSET(Org_dat!$C$5,$H116,0)</f>
        <v>ZŠ a waldorfská ZŠ O-Poruba</v>
      </c>
      <c r="K116" s="158">
        <f ca="1">OFFSET(Org_dat!$D$5,$H116,0)</f>
        <v>35.19986289380099</v>
      </c>
      <c r="L116" s="34">
        <f ca="1">OFFSET(Org_dat!$E$5,$H116,0)</f>
        <v>3283000</v>
      </c>
      <c r="M116" s="34">
        <f ca="1">OFFSET(Org_dat!$F$5,$H116,0)</f>
        <v>1198683.79</v>
      </c>
      <c r="N116" s="35">
        <f ca="1">OFFSET(Org_dat!$G$5,$H116,0)</f>
        <v>0.3651184252208346</v>
      </c>
      <c r="O116" s="35">
        <f ca="1">OFFSET(Org_dat!$H$5,$H116,0)</f>
        <v>0.1893</v>
      </c>
      <c r="P116" s="34">
        <f ca="1">OFFSET(Org_dat!$I$5,$H116,0)</f>
        <v>175503.06</v>
      </c>
      <c r="Q116" s="35">
        <f ca="1">OFFSET(Org_dat!$J$5,$H116,0)</f>
        <v>5.3458135851355469E-2</v>
      </c>
      <c r="R116" s="35">
        <f ca="1">OFFSET(Org_dat!$K$5,$H116,0)</f>
        <v>0.28239902721265431</v>
      </c>
      <c r="S116" s="34">
        <f ca="1">OFFSET(Org_dat!$L$5,$H116,0)</f>
        <v>70626.149999999994</v>
      </c>
      <c r="T116" s="35">
        <f ca="1">OFFSET(Org_dat!$M$5,$H116,0)</f>
        <v>0.28694745333152449</v>
      </c>
    </row>
    <row r="117" spans="2:20" x14ac:dyDescent="0.2">
      <c r="B117" s="342">
        <f>Org_dat!K113+(C117/100000)</f>
        <v>0.47568374489152854</v>
      </c>
      <c r="C117" s="31">
        <f>Org_dat!B113</f>
        <v>108</v>
      </c>
      <c r="D117" s="32" t="str">
        <f>Org_dat!C113</f>
        <v>ÚMOb Nová Bělá</v>
      </c>
      <c r="E117" s="33">
        <f ca="1">OFFSET(Org_dat!$C113,0,OrgSortCriteria)</f>
        <v>60.414328039531526</v>
      </c>
      <c r="F117" s="33">
        <f t="shared" ca="1" si="13"/>
        <v>60.414328040007213</v>
      </c>
      <c r="G117" s="33">
        <f t="shared" ca="1" si="14"/>
        <v>35.187589054019838</v>
      </c>
      <c r="H117" s="31">
        <f t="shared" ca="1" si="15"/>
        <v>124</v>
      </c>
      <c r="J117" s="32" t="str">
        <f ca="1">OFFSET(Org_dat!$C$5,$H117,0)</f>
        <v>ZŠ a MŠ O-Dubina, V.Košaře</v>
      </c>
      <c r="K117" s="158">
        <f ca="1">OFFSET(Org_dat!$D$5,$H117,0)</f>
        <v>35.187589053819735</v>
      </c>
      <c r="L117" s="34">
        <f ca="1">OFFSET(Org_dat!$E$5,$H117,0)</f>
        <v>2349500</v>
      </c>
      <c r="M117" s="34">
        <f ca="1">OFFSET(Org_dat!$F$5,$H117,0)</f>
        <v>1092799.51</v>
      </c>
      <c r="N117" s="35">
        <f ca="1">OFFSET(Org_dat!$G$5,$H117,0)</f>
        <v>0.46512002979357309</v>
      </c>
      <c r="O117" s="35">
        <f ca="1">OFFSET(Org_dat!$H$5,$H117,0)</f>
        <v>0.13850000000000001</v>
      </c>
      <c r="P117" s="34">
        <f ca="1">OFFSET(Org_dat!$I$5,$H117,0)</f>
        <v>64710.12</v>
      </c>
      <c r="Q117" s="35">
        <f ca="1">OFFSET(Org_dat!$J$5,$H117,0)</f>
        <v>2.754208129389232E-2</v>
      </c>
      <c r="R117" s="35">
        <f ca="1">OFFSET(Org_dat!$K$5,$H117,0)</f>
        <v>0.1988597927356846</v>
      </c>
      <c r="S117" s="34">
        <f ca="1">OFFSET(Org_dat!$L$5,$H117,0)</f>
        <v>62521.26</v>
      </c>
      <c r="T117" s="35">
        <f ca="1">OFFSET(Org_dat!$M$5,$H117,0)</f>
        <v>0.4913981126354206</v>
      </c>
    </row>
    <row r="118" spans="2:20" x14ac:dyDescent="0.2">
      <c r="B118" s="342">
        <f>Org_dat!K114+(C118/100000)</f>
        <v>0.34144621065973341</v>
      </c>
      <c r="C118" s="31">
        <f>Org_dat!B114</f>
        <v>109</v>
      </c>
      <c r="D118" s="32" t="str">
        <f>Org_dat!C114</f>
        <v>ÚMOb Nová Ves</v>
      </c>
      <c r="E118" s="33">
        <f ca="1">OFFSET(Org_dat!$C114,0,OrgSortCriteria)</f>
        <v>20.484382066958307</v>
      </c>
      <c r="F118" s="33">
        <f t="shared" ca="1" si="13"/>
        <v>20.484382067299755</v>
      </c>
      <c r="G118" s="33">
        <f t="shared" ca="1" si="14"/>
        <v>35.0341487572517</v>
      </c>
      <c r="H118" s="31">
        <f t="shared" ca="1" si="15"/>
        <v>14</v>
      </c>
      <c r="J118" s="32" t="str">
        <f ca="1">OFFSET(Org_dat!$C$5,$H118,0)</f>
        <v>Dům kultury Akord</v>
      </c>
      <c r="K118" s="158">
        <f ca="1">OFFSET(Org_dat!$D$5,$H118,0)</f>
        <v>35.034148756906077</v>
      </c>
      <c r="L118" s="34">
        <f ca="1">OFFSET(Org_dat!$E$5,$H118,0)</f>
        <v>7240000</v>
      </c>
      <c r="M118" s="34">
        <f ca="1">OFFSET(Org_dat!$F$5,$H118,0)</f>
        <v>2071393.94</v>
      </c>
      <c r="N118" s="35">
        <f ca="1">OFFSET(Org_dat!$G$5,$H118,0)</f>
        <v>0.286104135359116</v>
      </c>
      <c r="O118" s="35">
        <f ca="1">OFFSET(Org_dat!$H$5,$H118,0)</f>
        <v>0.15</v>
      </c>
      <c r="P118" s="34">
        <f ca="1">OFFSET(Org_dat!$I$5,$H118,0)</f>
        <v>375193.85</v>
      </c>
      <c r="Q118" s="35">
        <f ca="1">OFFSET(Org_dat!$J$5,$H118,0)</f>
        <v>5.1822354972375688E-2</v>
      </c>
      <c r="R118" s="35">
        <f ca="1">OFFSET(Org_dat!$K$5,$H118,0)</f>
        <v>0.34548236648250458</v>
      </c>
      <c r="S118" s="34">
        <f ca="1">OFFSET(Org_dat!$L$5,$H118,0)</f>
        <v>188716.84</v>
      </c>
      <c r="T118" s="35">
        <f ca="1">OFFSET(Org_dat!$M$5,$H118,0)</f>
        <v>0.33465731958370931</v>
      </c>
    </row>
    <row r="119" spans="2:20" x14ac:dyDescent="0.2">
      <c r="B119" s="342">
        <f>Org_dat!K115+(C119/100000)</f>
        <v>0.85247311921775937</v>
      </c>
      <c r="C119" s="31">
        <f>Org_dat!B115</f>
        <v>110</v>
      </c>
      <c r="D119" s="32" t="str">
        <f>Org_dat!C115</f>
        <v>ÚMOb Ostrava-Jih</v>
      </c>
      <c r="E119" s="33">
        <f ca="1">OFFSET(Org_dat!$C115,0,OrgSortCriteria)</f>
        <v>51.776494869187367</v>
      </c>
      <c r="F119" s="33">
        <f t="shared" ca="1" si="13"/>
        <v>51.776494870039841</v>
      </c>
      <c r="G119" s="33">
        <f t="shared" ca="1" si="14"/>
        <v>34.941710280161935</v>
      </c>
      <c r="H119" s="31">
        <f t="shared" ca="1" si="15"/>
        <v>104</v>
      </c>
      <c r="J119" s="32" t="str">
        <f ca="1">OFFSET(Org_dat!$C$5,$H119,0)</f>
        <v>ÚMOb Mariánské Hory a Hulváky</v>
      </c>
      <c r="K119" s="158">
        <f ca="1">OFFSET(Org_dat!$D$5,$H119,0)</f>
        <v>34.941710280113874</v>
      </c>
      <c r="L119" s="34">
        <f ca="1">OFFSET(Org_dat!$E$5,$H119,0)</f>
        <v>35609500</v>
      </c>
      <c r="M119" s="34">
        <f ca="1">OFFSET(Org_dat!$F$5,$H119,0)</f>
        <v>22875965.93</v>
      </c>
      <c r="N119" s="35">
        <f ca="1">OFFSET(Org_dat!$G$5,$H119,0)</f>
        <v>0.64241188250326453</v>
      </c>
      <c r="O119" s="35">
        <f ca="1">OFFSET(Org_dat!$H$5,$H119,0)</f>
        <v>0.18018404777970171</v>
      </c>
      <c r="P119" s="34">
        <f ca="1">OFFSET(Org_dat!$I$5,$H119,0)</f>
        <v>301683.76</v>
      </c>
      <c r="Q119" s="35">
        <f ca="1">OFFSET(Org_dat!$J$5,$H119,0)</f>
        <v>8.4720021342619255E-3</v>
      </c>
      <c r="R119" s="35">
        <f ca="1">OFFSET(Org_dat!$K$5,$H119,0)</f>
        <v>4.7018602582510755E-2</v>
      </c>
      <c r="S119" s="34">
        <f ca="1">OFFSET(Org_dat!$L$5,$H119,0)</f>
        <v>439203.72000000003</v>
      </c>
      <c r="T119" s="35">
        <f ca="1">OFFSET(Org_dat!$M$5,$H119,0)</f>
        <v>0.59280758800243194</v>
      </c>
    </row>
    <row r="120" spans="2:20" x14ac:dyDescent="0.2">
      <c r="B120" s="342">
        <f>Org_dat!K116+(C120/100000)</f>
        <v>0.51451183894082575</v>
      </c>
      <c r="C120" s="31">
        <f>Org_dat!B116</f>
        <v>111</v>
      </c>
      <c r="D120" s="32" t="str">
        <f>Org_dat!C116</f>
        <v>ÚMOb Petřkovice</v>
      </c>
      <c r="E120" s="33">
        <f ca="1">OFFSET(Org_dat!$C116,0,OrgSortCriteria)</f>
        <v>31.046866349276904</v>
      </c>
      <c r="F120" s="33">
        <f t="shared" ca="1" si="13"/>
        <v>31.046866349791415</v>
      </c>
      <c r="G120" s="33">
        <f t="shared" ca="1" si="14"/>
        <v>34.758440914184831</v>
      </c>
      <c r="H120" s="31">
        <f t="shared" ca="1" si="15"/>
        <v>75</v>
      </c>
      <c r="J120" s="32" t="str">
        <f ca="1">OFFSET(Org_dat!$C$5,$H120,0)</f>
        <v>MŠ Poděbradova</v>
      </c>
      <c r="K120" s="158">
        <f ca="1">OFFSET(Org_dat!$D$5,$H120,0)</f>
        <v>34.758440913604773</v>
      </c>
      <c r="L120" s="34">
        <f ca="1">OFFSET(Org_dat!$E$5,$H120,0)</f>
        <v>503500</v>
      </c>
      <c r="M120" s="34">
        <f ca="1">OFFSET(Org_dat!$F$5,$H120,0)</f>
        <v>0</v>
      </c>
      <c r="N120" s="35">
        <f ca="1">OFFSET(Org_dat!$G$5,$H120,0)</f>
        <v>0</v>
      </c>
      <c r="O120" s="35">
        <f ca="1">OFFSET(Org_dat!$H$5,$H120,0)</f>
        <v>0.24</v>
      </c>
      <c r="P120" s="34">
        <f ca="1">OFFSET(Org_dat!$I$5,$H120,0)</f>
        <v>70003.5</v>
      </c>
      <c r="Q120" s="35">
        <f ca="1">OFFSET(Org_dat!$J$5,$H120,0)</f>
        <v>0.13903376365441908</v>
      </c>
      <c r="R120" s="35">
        <f ca="1">OFFSET(Org_dat!$K$5,$H120,0)</f>
        <v>0.57930734856007948</v>
      </c>
      <c r="S120" s="34">
        <f ca="1">OFFSET(Org_dat!$L$5,$H120,0)</f>
        <v>55393.38</v>
      </c>
      <c r="T120" s="35">
        <f ca="1">OFFSET(Org_dat!$M$5,$H120,0)</f>
        <v>0.44174448359480711</v>
      </c>
    </row>
    <row r="121" spans="2:20" x14ac:dyDescent="0.2">
      <c r="B121" s="342">
        <f>Org_dat!K117+(C121/100000)</f>
        <v>0.46760910591697324</v>
      </c>
      <c r="C121" s="31">
        <f>Org_dat!B117</f>
        <v>112</v>
      </c>
      <c r="D121" s="32" t="str">
        <f>Org_dat!C117</f>
        <v>ÚMOb Plesná</v>
      </c>
      <c r="E121" s="33">
        <f ca="1">OFFSET(Org_dat!$C117,0,OrgSortCriteria)</f>
        <v>67.989346355018398</v>
      </c>
      <c r="F121" s="33">
        <f t="shared" ca="1" si="13"/>
        <v>67.989346355486006</v>
      </c>
      <c r="G121" s="33">
        <f t="shared" ca="1" si="14"/>
        <v>33.176332325843717</v>
      </c>
      <c r="H121" s="31">
        <f t="shared" ca="1" si="15"/>
        <v>79</v>
      </c>
      <c r="J121" s="32" t="str">
        <f ca="1">OFFSET(Org_dat!$C$5,$H121,0)</f>
        <v>MŠ Staňkova</v>
      </c>
      <c r="K121" s="158">
        <f ca="1">OFFSET(Org_dat!$D$5,$H121,0)</f>
        <v>33.176332325577647</v>
      </c>
      <c r="L121" s="34">
        <f ca="1">OFFSET(Org_dat!$E$5,$H121,0)</f>
        <v>1506324</v>
      </c>
      <c r="M121" s="34">
        <f ca="1">OFFSET(Org_dat!$F$5,$H121,0)</f>
        <v>519965.63</v>
      </c>
      <c r="N121" s="35">
        <f ca="1">OFFSET(Org_dat!$G$5,$H121,0)</f>
        <v>0.3451884388750362</v>
      </c>
      <c r="O121" s="35">
        <f ca="1">OFFSET(Org_dat!$H$5,$H121,0)</f>
        <v>0.2737</v>
      </c>
      <c r="P121" s="34">
        <f ca="1">OFFSET(Org_dat!$I$5,$H121,0)</f>
        <v>109370.63</v>
      </c>
      <c r="Q121" s="35">
        <f ca="1">OFFSET(Org_dat!$J$5,$H121,0)</f>
        <v>7.2607639525095538E-2</v>
      </c>
      <c r="R121" s="35">
        <f ca="1">OFFSET(Org_dat!$K$5,$H121,0)</f>
        <v>0.26528183969709729</v>
      </c>
      <c r="S121" s="34">
        <f ca="1">OFFSET(Org_dat!$L$5,$H121,0)</f>
        <v>50061.770000000004</v>
      </c>
      <c r="T121" s="35">
        <f ca="1">OFFSET(Org_dat!$M$5,$H121,0)</f>
        <v>0.31399997741989705</v>
      </c>
    </row>
    <row r="122" spans="2:20" x14ac:dyDescent="0.2">
      <c r="B122" s="342">
        <f>Org_dat!K118+(C122/100000)</f>
        <v>0.24867177260339857</v>
      </c>
      <c r="C122" s="31">
        <f>Org_dat!B118</f>
        <v>113</v>
      </c>
      <c r="D122" s="32" t="str">
        <f>Org_dat!C118</f>
        <v>ÚMOb Polanka n/O</v>
      </c>
      <c r="E122" s="33">
        <f ca="1">OFFSET(Org_dat!$C118,0,OrgSortCriteria)</f>
        <v>48.492698773107207</v>
      </c>
      <c r="F122" s="33">
        <f t="shared" ca="1" si="13"/>
        <v>48.492698773355876</v>
      </c>
      <c r="G122" s="33">
        <f t="shared" ca="1" si="14"/>
        <v>32.62936722598505</v>
      </c>
      <c r="H122" s="31">
        <f t="shared" ca="1" si="15"/>
        <v>168</v>
      </c>
      <c r="J122" s="32" t="str">
        <f ca="1">OFFSET(Org_dat!$C$5,$H122,0)</f>
        <v>ZŠ Ostrava, Gebauerova</v>
      </c>
      <c r="K122" s="158">
        <f ca="1">OFFSET(Org_dat!$D$5,$H122,0)</f>
        <v>32.629367225439545</v>
      </c>
      <c r="L122" s="34">
        <f ca="1">OFFSET(Org_dat!$E$5,$H122,0)</f>
        <v>1436658.665</v>
      </c>
      <c r="M122" s="34">
        <f ca="1">OFFSET(Org_dat!$F$5,$H122,0)</f>
        <v>0</v>
      </c>
      <c r="N122" s="35">
        <f ca="1">OFFSET(Org_dat!$G$5,$H122,0)</f>
        <v>0</v>
      </c>
      <c r="O122" s="35">
        <f ca="1">OFFSET(Org_dat!$H$5,$H122,0)</f>
        <v>6.8400000000000002E-2</v>
      </c>
      <c r="P122" s="34">
        <f ca="1">OFFSET(Org_dat!$I$5,$H122,0)</f>
        <v>53440.08</v>
      </c>
      <c r="Q122" s="35">
        <f ca="1">OFFSET(Org_dat!$J$5,$H122,0)</f>
        <v>3.7197478637001083E-2</v>
      </c>
      <c r="R122" s="35">
        <f ca="1">OFFSET(Org_dat!$K$5,$H122,0)</f>
        <v>0.54382278709065912</v>
      </c>
      <c r="S122" s="34">
        <f ca="1">OFFSET(Org_dat!$L$5,$H122,0)</f>
        <v>49967.7</v>
      </c>
      <c r="T122" s="35">
        <f ca="1">OFFSET(Org_dat!$M$5,$H122,0)</f>
        <v>0.48321025748739599</v>
      </c>
    </row>
    <row r="123" spans="2:20" x14ac:dyDescent="0.2">
      <c r="B123" s="342">
        <f>Org_dat!K119+(C123/100000)</f>
        <v>2.2979899818496858</v>
      </c>
      <c r="C123" s="31">
        <f>Org_dat!B119</f>
        <v>114</v>
      </c>
      <c r="D123" s="32" t="str">
        <f>Org_dat!C119</f>
        <v>ÚMOb Poruba</v>
      </c>
      <c r="E123" s="33">
        <f ca="1">OFFSET(Org_dat!$C119,0,OrgSortCriteria)</f>
        <v>76.019159312141326</v>
      </c>
      <c r="F123" s="33">
        <f t="shared" ca="1" si="13"/>
        <v>76.019159314439321</v>
      </c>
      <c r="G123" s="33">
        <f t="shared" ca="1" si="14"/>
        <v>32.480244473182772</v>
      </c>
      <c r="H123" s="31">
        <f t="shared" ca="1" si="15"/>
        <v>38</v>
      </c>
      <c r="J123" s="32" t="str">
        <f ca="1">OFFSET(Org_dat!$C$5,$H123,0)</f>
        <v>Kulturní zařízení Ostrava-Jih</v>
      </c>
      <c r="K123" s="158">
        <f ca="1">OFFSET(Org_dat!$D$5,$H123,0)</f>
        <v>32.480244472643577</v>
      </c>
      <c r="L123" s="34">
        <f ca="1">OFFSET(Org_dat!$E$5,$H123,0)</f>
        <v>5233500</v>
      </c>
      <c r="M123" s="34">
        <f ca="1">OFFSET(Org_dat!$F$5,$H123,0)</f>
        <v>15854.84</v>
      </c>
      <c r="N123" s="35">
        <f ca="1">OFFSET(Org_dat!$G$5,$H123,0)</f>
        <v>3.0294907805483904E-3</v>
      </c>
      <c r="O123" s="35">
        <f ca="1">OFFSET(Org_dat!$H$5,$H123,0)</f>
        <v>5.5250729854665399E-2</v>
      </c>
      <c r="P123" s="34">
        <f ca="1">OFFSET(Org_dat!$I$5,$H123,0)</f>
        <v>155800.26</v>
      </c>
      <c r="Q123" s="35">
        <f ca="1">OFFSET(Org_dat!$J$5,$H123,0)</f>
        <v>2.9769802235597595E-2</v>
      </c>
      <c r="R123" s="35">
        <f ca="1">OFFSET(Org_dat!$K$5,$H123,0)</f>
        <v>0.53881283222693599</v>
      </c>
      <c r="S123" s="34">
        <f ca="1">OFFSET(Org_dat!$L$5,$H123,0)</f>
        <v>126053.43000000001</v>
      </c>
      <c r="T123" s="35">
        <f ca="1">OFFSET(Org_dat!$M$5,$H123,0)</f>
        <v>0.44723001497691944</v>
      </c>
    </row>
    <row r="124" spans="2:20" x14ac:dyDescent="0.2">
      <c r="B124" s="342">
        <f>Org_dat!K120+(C124/100000)</f>
        <v>0.2617301790075881</v>
      </c>
      <c r="C124" s="31">
        <f>Org_dat!B120</f>
        <v>115</v>
      </c>
      <c r="D124" s="32" t="str">
        <f>Org_dat!C120</f>
        <v>ÚMOb Proskovice</v>
      </c>
      <c r="E124" s="33">
        <f ca="1">OFFSET(Org_dat!$C120,0,OrgSortCriteria)</f>
        <v>42.249407869081125</v>
      </c>
      <c r="F124" s="33">
        <f t="shared" ca="1" si="13"/>
        <v>42.249407869342853</v>
      </c>
      <c r="G124" s="33">
        <f t="shared" ca="1" si="14"/>
        <v>31.794298831731329</v>
      </c>
      <c r="H124" s="31">
        <f t="shared" ca="1" si="15"/>
        <v>59</v>
      </c>
      <c r="J124" s="32" t="str">
        <f ca="1">OFFSET(Org_dat!$C$5,$H124,0)</f>
        <v>MŠ O-Hrabůvka, Adamusova</v>
      </c>
      <c r="K124" s="158">
        <f ca="1">OFFSET(Org_dat!$D$5,$H124,0)</f>
        <v>31.794298831548872</v>
      </c>
      <c r="L124" s="34">
        <f ca="1">OFFSET(Org_dat!$E$5,$H124,0)</f>
        <v>1915674</v>
      </c>
      <c r="M124" s="34">
        <f ca="1">OFFSET(Org_dat!$F$5,$H124,0)</f>
        <v>800071.44000000006</v>
      </c>
      <c r="N124" s="35">
        <f ca="1">OFFSET(Org_dat!$G$5,$H124,0)</f>
        <v>0.41764488112277981</v>
      </c>
      <c r="O124" s="35">
        <f ca="1">OFFSET(Org_dat!$H$5,$H124,0)</f>
        <v>0.26829999999999998</v>
      </c>
      <c r="P124" s="34">
        <f ca="1">OFFSET(Org_dat!$I$5,$H124,0)</f>
        <v>93475.450000000012</v>
      </c>
      <c r="Q124" s="35">
        <f ca="1">OFFSET(Org_dat!$J$5,$H124,0)</f>
        <v>4.8795071604041194E-2</v>
      </c>
      <c r="R124" s="35">
        <f ca="1">OFFSET(Org_dat!$K$5,$H124,0)</f>
        <v>0.18186757959016472</v>
      </c>
      <c r="S124" s="34">
        <f ca="1">OFFSET(Org_dat!$L$5,$H124,0)</f>
        <v>56947.72</v>
      </c>
      <c r="T124" s="35">
        <f ca="1">OFFSET(Org_dat!$M$5,$H124,0)</f>
        <v>0.37858343232628322</v>
      </c>
    </row>
    <row r="125" spans="2:20" x14ac:dyDescent="0.2">
      <c r="B125" s="342">
        <f>Org_dat!K121+(C125/100000)</f>
        <v>1.658523859833174</v>
      </c>
      <c r="C125" s="31">
        <f>Org_dat!B121</f>
        <v>116</v>
      </c>
      <c r="D125" s="32" t="str">
        <f>Org_dat!C121</f>
        <v>ÚMOb Pustkovec</v>
      </c>
      <c r="E125" s="33">
        <f ca="1">OFFSET(Org_dat!$C121,0,OrgSortCriteria)</f>
        <v>60.199768551945446</v>
      </c>
      <c r="F125" s="33">
        <f t="shared" ca="1" si="13"/>
        <v>60.199768553603967</v>
      </c>
      <c r="G125" s="33">
        <f t="shared" ca="1" si="14"/>
        <v>31.451694673675707</v>
      </c>
      <c r="H125" s="31">
        <f t="shared" ca="1" si="15"/>
        <v>130</v>
      </c>
      <c r="J125" s="32" t="str">
        <f ca="1">OFFSET(Org_dat!$C$5,$H125,0)</f>
        <v>ZŠ a MŠ O-Lhotka</v>
      </c>
      <c r="K125" s="158">
        <f ca="1">OFFSET(Org_dat!$D$5,$H125,0)</f>
        <v>31.451694673150211</v>
      </c>
      <c r="L125" s="34">
        <f ca="1">OFFSET(Org_dat!$E$5,$H125,0)</f>
        <v>658500</v>
      </c>
      <c r="M125" s="34">
        <f ca="1">OFFSET(Org_dat!$F$5,$H125,0)</f>
        <v>0</v>
      </c>
      <c r="N125" s="35">
        <f ca="1">OFFSET(Org_dat!$G$5,$H125,0)</f>
        <v>0</v>
      </c>
      <c r="O125" s="35">
        <f ca="1">OFFSET(Org_dat!$H$5,$H125,0)</f>
        <v>0.1507</v>
      </c>
      <c r="P125" s="34">
        <f ca="1">OFFSET(Org_dat!$I$5,$H125,0)</f>
        <v>52018.98</v>
      </c>
      <c r="Q125" s="35">
        <f ca="1">OFFSET(Org_dat!$J$5,$H125,0)</f>
        <v>7.899617312072893E-2</v>
      </c>
      <c r="R125" s="35">
        <f ca="1">OFFSET(Org_dat!$K$5,$H125,0)</f>
        <v>0.52419491121917017</v>
      </c>
      <c r="S125" s="34">
        <f ca="1">OFFSET(Org_dat!$L$5,$H125,0)</f>
        <v>53282.82</v>
      </c>
      <c r="T125" s="35">
        <f ca="1">OFFSET(Org_dat!$M$5,$H125,0)</f>
        <v>0.50600103701931021</v>
      </c>
    </row>
    <row r="126" spans="2:20" x14ac:dyDescent="0.2">
      <c r="B126" s="342">
        <f>Org_dat!K122+(C126/100000)</f>
        <v>0.25281186571701647</v>
      </c>
      <c r="C126" s="31">
        <f>Org_dat!B122</f>
        <v>117</v>
      </c>
      <c r="D126" s="32" t="str">
        <f>Org_dat!C122</f>
        <v>ÚMOb Radvanice a Bartovice</v>
      </c>
      <c r="E126" s="33">
        <f ca="1">OFFSET(Org_dat!$C122,0,OrgSortCriteria)</f>
        <v>15.109289660900592</v>
      </c>
      <c r="F126" s="33">
        <f t="shared" ca="1" si="13"/>
        <v>15.109289661153403</v>
      </c>
      <c r="G126" s="33">
        <f t="shared" ca="1" si="14"/>
        <v>31.046866349791415</v>
      </c>
      <c r="H126" s="31">
        <f t="shared" ca="1" si="15"/>
        <v>111</v>
      </c>
      <c r="J126" s="32" t="str">
        <f ca="1">OFFSET(Org_dat!$C$5,$H126,0)</f>
        <v>ÚMOb Petřkovice</v>
      </c>
      <c r="K126" s="158">
        <f ca="1">OFFSET(Org_dat!$D$5,$H126,0)</f>
        <v>31.046866349276904</v>
      </c>
      <c r="L126" s="34">
        <f ca="1">OFFSET(Org_dat!$E$5,$H126,0)</f>
        <v>1871000</v>
      </c>
      <c r="M126" s="34">
        <f ca="1">OFFSET(Org_dat!$F$5,$H126,0)</f>
        <v>9083.93</v>
      </c>
      <c r="N126" s="35">
        <f ca="1">OFFSET(Org_dat!$G$5,$H126,0)</f>
        <v>4.8551202565473009E-3</v>
      </c>
      <c r="O126" s="35">
        <f ca="1">OFFSET(Org_dat!$H$5,$H126,0)</f>
        <v>0.24720811950192934</v>
      </c>
      <c r="P126" s="34">
        <f ca="1">OFFSET(Org_dat!$I$5,$H126,0)</f>
        <v>237461.90000000002</v>
      </c>
      <c r="Q126" s="35">
        <f ca="1">OFFSET(Org_dat!$J$5,$H126,0)</f>
        <v>0.12691710315339391</v>
      </c>
      <c r="R126" s="35">
        <f ca="1">OFFSET(Org_dat!$K$5,$H126,0)</f>
        <v>0.51340183894082569</v>
      </c>
      <c r="S126" s="34">
        <f ca="1">OFFSET(Org_dat!$L$5,$H126,0)</f>
        <v>185001.4</v>
      </c>
      <c r="T126" s="35">
        <f ca="1">OFFSET(Org_dat!$M$5,$H126,0)</f>
        <v>0.43791117476950064</v>
      </c>
    </row>
    <row r="127" spans="2:20" x14ac:dyDescent="0.2">
      <c r="B127" s="342">
        <f>Org_dat!K123+(C127/100000)</f>
        <v>0.51269275747315901</v>
      </c>
      <c r="C127" s="31">
        <f>Org_dat!B123</f>
        <v>118</v>
      </c>
      <c r="D127" s="32" t="str">
        <f>Org_dat!C123</f>
        <v>ÚMOb Slezská Ostrava</v>
      </c>
      <c r="E127" s="33">
        <f ca="1">OFFSET(Org_dat!$C123,0,OrgSortCriteria)</f>
        <v>58.689203280302799</v>
      </c>
      <c r="F127" s="33">
        <f t="shared" ca="1" si="13"/>
        <v>58.689203280815491</v>
      </c>
      <c r="G127" s="33">
        <f t="shared" ca="1" si="14"/>
        <v>29.795377352332434</v>
      </c>
      <c r="H127" s="31">
        <f t="shared" ca="1" si="15"/>
        <v>147</v>
      </c>
      <c r="J127" s="32" t="str">
        <f ca="1">OFFSET(Org_dat!$C$5,$H127,0)</f>
        <v>ZŠ O-Michálkovice</v>
      </c>
      <c r="K127" s="158">
        <f ca="1">OFFSET(Org_dat!$D$5,$H127,0)</f>
        <v>29.795377351834375</v>
      </c>
      <c r="L127" s="34">
        <f ca="1">OFFSET(Org_dat!$E$5,$H127,0)</f>
        <v>1764250</v>
      </c>
      <c r="M127" s="34">
        <f ca="1">OFFSET(Org_dat!$F$5,$H127,0)</f>
        <v>0</v>
      </c>
      <c r="N127" s="35">
        <f ca="1">OFFSET(Org_dat!$G$5,$H127,0)</f>
        <v>0</v>
      </c>
      <c r="O127" s="35">
        <f ca="1">OFFSET(Org_dat!$H$5,$H127,0)</f>
        <v>0.26329999999999998</v>
      </c>
      <c r="P127" s="34">
        <f ca="1">OFFSET(Org_dat!$I$5,$H127,0)</f>
        <v>230679.3</v>
      </c>
      <c r="Q127" s="35">
        <f ca="1">OFFSET(Org_dat!$J$5,$H127,0)</f>
        <v>0.13075204761229983</v>
      </c>
      <c r="R127" s="35">
        <f ca="1">OFFSET(Org_dat!$K$5,$H127,0)</f>
        <v>0.49658962253057293</v>
      </c>
      <c r="S127" s="34">
        <f ca="1">OFFSET(Org_dat!$L$5,$H127,0)</f>
        <v>168809.7</v>
      </c>
      <c r="T127" s="35">
        <f ca="1">OFFSET(Org_dat!$M$5,$H127,0)</f>
        <v>0.42256407560658743</v>
      </c>
    </row>
    <row r="128" spans="2:20" x14ac:dyDescent="0.2">
      <c r="B128" s="342">
        <f>Org_dat!K124+(C128/100000)</f>
        <v>0.11656483233405412</v>
      </c>
      <c r="C128" s="31">
        <f>Org_dat!B124</f>
        <v>119</v>
      </c>
      <c r="D128" s="32" t="str">
        <f>Org_dat!C124</f>
        <v>ÚMOb Stará Bělá</v>
      </c>
      <c r="E128" s="33">
        <f ca="1">OFFSET(Org_dat!$C124,0,OrgSortCriteria)</f>
        <v>8.1813114180393729</v>
      </c>
      <c r="F128" s="33">
        <f t="shared" ca="1" si="13"/>
        <v>8.1813114181559374</v>
      </c>
      <c r="G128" s="33">
        <f t="shared" ca="1" si="14"/>
        <v>28.90324771722371</v>
      </c>
      <c r="H128" s="31">
        <f t="shared" ca="1" si="15"/>
        <v>42</v>
      </c>
      <c r="J128" s="32" t="str">
        <f ca="1">OFFSET(Org_dat!$C$5,$H128,0)</f>
        <v>MŠ Bohumínská</v>
      </c>
      <c r="K128" s="158">
        <f ca="1">OFFSET(Org_dat!$D$5,$H128,0)</f>
        <v>28.903247716741568</v>
      </c>
      <c r="L128" s="34">
        <f ca="1">OFFSET(Org_dat!$E$5,$H128,0)</f>
        <v>959750</v>
      </c>
      <c r="M128" s="34">
        <f ca="1">OFFSET(Org_dat!$F$5,$H128,0)</f>
        <v>0</v>
      </c>
      <c r="N128" s="35">
        <f ca="1">OFFSET(Org_dat!$G$5,$H128,0)</f>
        <v>0</v>
      </c>
      <c r="O128" s="35">
        <f ca="1">OFFSET(Org_dat!$H$5,$H128,0)</f>
        <v>0.1037</v>
      </c>
      <c r="P128" s="34">
        <f ca="1">OFFSET(Org_dat!$I$5,$H128,0)</f>
        <v>47943.78</v>
      </c>
      <c r="Q128" s="35">
        <f ca="1">OFFSET(Org_dat!$J$5,$H128,0)</f>
        <v>4.995444647043501E-2</v>
      </c>
      <c r="R128" s="35">
        <f ca="1">OFFSET(Org_dat!$K$5,$H128,0)</f>
        <v>0.48172079527902611</v>
      </c>
      <c r="S128" s="34">
        <f ca="1">OFFSET(Org_dat!$L$5,$H128,0)</f>
        <v>38532</v>
      </c>
      <c r="T128" s="35">
        <f ca="1">OFFSET(Org_dat!$M$5,$H128,0)</f>
        <v>0.44558141019369818</v>
      </c>
    </row>
    <row r="129" spans="2:20" x14ac:dyDescent="0.2">
      <c r="B129" s="342">
        <f>Org_dat!K125+(C129/100000)</f>
        <v>0.48370491234940632</v>
      </c>
      <c r="C129" s="31">
        <f>Org_dat!B125</f>
        <v>120</v>
      </c>
      <c r="D129" s="32" t="str">
        <f>Org_dat!C125</f>
        <v>ÚMOb Svinov</v>
      </c>
      <c r="E129" s="33">
        <f ca="1">OFFSET(Org_dat!$C125,0,OrgSortCriteria)</f>
        <v>61.575880176277643</v>
      </c>
      <c r="F129" s="33">
        <f t="shared" ca="1" si="13"/>
        <v>61.575880176761345</v>
      </c>
      <c r="G129" s="33">
        <f t="shared" ca="1" si="14"/>
        <v>28.896671164128222</v>
      </c>
      <c r="H129" s="31">
        <f t="shared" ca="1" si="15"/>
        <v>99</v>
      </c>
      <c r="J129" s="32" t="str">
        <f ca="1">OFFSET(Org_dat!$C$5,$H129,0)</f>
        <v>Technický dvůr O-Svinov</v>
      </c>
      <c r="K129" s="158">
        <f ca="1">OFFSET(Org_dat!$D$5,$H129,0)</f>
        <v>28.896671163787424</v>
      </c>
      <c r="L129" s="34">
        <f ca="1">OFFSET(Org_dat!$E$5,$H129,0)</f>
        <v>2022030</v>
      </c>
      <c r="M129" s="34">
        <f ca="1">OFFSET(Org_dat!$F$5,$H129,0)</f>
        <v>344077.04000000004</v>
      </c>
      <c r="N129" s="35">
        <f ca="1">OFFSET(Org_dat!$G$5,$H129,0)</f>
        <v>0.17016416175823307</v>
      </c>
      <c r="O129" s="35">
        <f ca="1">OFFSET(Org_dat!$H$5,$H129,0)</f>
        <v>0.11452894727439659</v>
      </c>
      <c r="P129" s="34">
        <f ca="1">OFFSET(Org_dat!$I$5,$H129,0)</f>
        <v>78693</v>
      </c>
      <c r="Q129" s="35">
        <f ca="1">OFFSET(Org_dat!$J$5,$H129,0)</f>
        <v>3.8917820210382634E-2</v>
      </c>
      <c r="R129" s="35">
        <f ca="1">OFFSET(Org_dat!$K$5,$H129,0)</f>
        <v>0.33980771793126285</v>
      </c>
      <c r="S129" s="34">
        <f ca="1">OFFSET(Org_dat!$L$5,$H129,0)</f>
        <v>65394.54</v>
      </c>
      <c r="T129" s="35">
        <f ca="1">OFFSET(Org_dat!$M$5,$H129,0)</f>
        <v>0.4538528452911334</v>
      </c>
    </row>
    <row r="130" spans="2:20" x14ac:dyDescent="0.2">
      <c r="B130" s="342">
        <f>Org_dat!K126+(C130/100000)</f>
        <v>0.21213658710636202</v>
      </c>
      <c r="C130" s="31">
        <f>Org_dat!B126</f>
        <v>121</v>
      </c>
      <c r="D130" s="32" t="str">
        <f>Org_dat!C126</f>
        <v>ÚMOb Třebovice</v>
      </c>
      <c r="E130" s="33">
        <f ca="1">OFFSET(Org_dat!$C126,0,OrgSortCriteria)</f>
        <v>36.294231429211912</v>
      </c>
      <c r="F130" s="33">
        <f t="shared" ca="1" si="13"/>
        <v>36.294231429424052</v>
      </c>
      <c r="G130" s="33">
        <f t="shared" ca="1" si="14"/>
        <v>28.590570102947389</v>
      </c>
      <c r="H130" s="31">
        <f t="shared" ca="1" si="15"/>
        <v>58</v>
      </c>
      <c r="J130" s="32" t="str">
        <f ca="1">OFFSET(Org_dat!$C$5,$H130,0)</f>
        <v>MŠ O-Dubina, F.Formana</v>
      </c>
      <c r="K130" s="158">
        <f ca="1">OFFSET(Org_dat!$D$5,$H130,0)</f>
        <v>28.590570102540905</v>
      </c>
      <c r="L130" s="34">
        <f ca="1">OFFSET(Org_dat!$E$5,$H130,0)</f>
        <v>1159100</v>
      </c>
      <c r="M130" s="34">
        <f ca="1">OFFSET(Org_dat!$F$5,$H130,0)</f>
        <v>98207.12</v>
      </c>
      <c r="N130" s="35">
        <f ca="1">OFFSET(Org_dat!$G$5,$H130,0)</f>
        <v>8.4727046846691398E-2</v>
      </c>
      <c r="O130" s="35">
        <f ca="1">OFFSET(Org_dat!$H$5,$H130,0)</f>
        <v>0.2596</v>
      </c>
      <c r="P130" s="34">
        <f ca="1">OFFSET(Org_dat!$I$5,$H130,0)</f>
        <v>122137.36</v>
      </c>
      <c r="Q130" s="35">
        <f ca="1">OFFSET(Org_dat!$J$5,$H130,0)</f>
        <v>0.10537258217582607</v>
      </c>
      <c r="R130" s="35">
        <f ca="1">OFFSET(Org_dat!$K$5,$H130,0)</f>
        <v>0.40590362933677226</v>
      </c>
      <c r="S130" s="34">
        <f ca="1">OFFSET(Org_dat!$L$5,$H130,0)</f>
        <v>35325.89</v>
      </c>
      <c r="T130" s="35">
        <f ca="1">OFFSET(Org_dat!$M$5,$H130,0)</f>
        <v>0.22434371194548569</v>
      </c>
    </row>
    <row r="131" spans="2:20" x14ac:dyDescent="0.2">
      <c r="B131" s="342">
        <f>Org_dat!K127+(C131/100000)</f>
        <v>0.65045902430855851</v>
      </c>
      <c r="C131" s="31">
        <f>Org_dat!B127</f>
        <v>122</v>
      </c>
      <c r="D131" s="32" t="str">
        <f>Org_dat!C127</f>
        <v>ÚMOb Vítkovice</v>
      </c>
      <c r="E131" s="33">
        <f ca="1">OFFSET(Org_dat!$C127,0,OrgSortCriteria)</f>
        <v>72.236118808137576</v>
      </c>
      <c r="F131" s="33">
        <f t="shared" ca="1" si="13"/>
        <v>72.236118808788035</v>
      </c>
      <c r="G131" s="33">
        <f t="shared" ca="1" si="14"/>
        <v>27.658645552133144</v>
      </c>
      <c r="H131" s="31">
        <f t="shared" ca="1" si="15"/>
        <v>146</v>
      </c>
      <c r="J131" s="32" t="str">
        <f ca="1">OFFSET(Org_dat!$C$5,$H131,0)</f>
        <v>ZŠ O-Mar.Hory, Gen.Janka</v>
      </c>
      <c r="K131" s="158">
        <f ca="1">OFFSET(Org_dat!$D$5,$H131,0)</f>
        <v>27.65864555176266</v>
      </c>
      <c r="L131" s="34">
        <f ca="1">OFFSET(Org_dat!$E$5,$H131,0)</f>
        <v>2438670.9500000002</v>
      </c>
      <c r="M131" s="34">
        <f ca="1">OFFSET(Org_dat!$F$5,$H131,0)</f>
        <v>269089.71000000002</v>
      </c>
      <c r="N131" s="35">
        <f ca="1">OFFSET(Org_dat!$G$5,$H131,0)</f>
        <v>0.11034277092610628</v>
      </c>
      <c r="O131" s="35">
        <f ca="1">OFFSET(Org_dat!$H$5,$H131,0)</f>
        <v>0.19589999999999999</v>
      </c>
      <c r="P131" s="34">
        <f ca="1">OFFSET(Org_dat!$I$5,$H131,0)</f>
        <v>176296.45</v>
      </c>
      <c r="Q131" s="35">
        <f ca="1">OFFSET(Org_dat!$J$5,$H131,0)</f>
        <v>7.2292020372818233E-2</v>
      </c>
      <c r="R131" s="35">
        <f ca="1">OFFSET(Org_dat!$K$5,$H131,0)</f>
        <v>0.36902511675762245</v>
      </c>
      <c r="S131" s="34">
        <f ca="1">OFFSET(Org_dat!$L$5,$H131,0)</f>
        <v>52036.51</v>
      </c>
      <c r="T131" s="35">
        <f ca="1">OFFSET(Org_dat!$M$5,$H131,0)</f>
        <v>0.22789749670831577</v>
      </c>
    </row>
    <row r="132" spans="2:20" x14ac:dyDescent="0.2">
      <c r="B132" s="342">
        <f>Org_dat!K128+(C132/100000)</f>
        <v>5.3545768758826662E-2</v>
      </c>
      <c r="C132" s="31">
        <f>Org_dat!B128</f>
        <v>123</v>
      </c>
      <c r="D132" s="32" t="str">
        <f>Org_dat!C128</f>
        <v>Waldorfská ZŠ a MŠ MO a Přívoz</v>
      </c>
      <c r="E132" s="33">
        <f ca="1">OFFSET(Org_dat!$C128,0,OrgSortCriteria)</f>
        <v>14.890895527052994</v>
      </c>
      <c r="F132" s="33">
        <f t="shared" ca="1" si="13"/>
        <v>14.89089552710654</v>
      </c>
      <c r="G132" s="33">
        <f t="shared" ca="1" si="14"/>
        <v>27.198264846781505</v>
      </c>
      <c r="H132" s="31">
        <f t="shared" ca="1" si="15"/>
        <v>105</v>
      </c>
      <c r="J132" s="32" t="str">
        <f ca="1">OFFSET(Org_dat!$C$5,$H132,0)</f>
        <v>ÚMOb Martinov</v>
      </c>
      <c r="K132" s="158">
        <f ca="1">OFFSET(Org_dat!$D$5,$H132,0)</f>
        <v>27.198264846341896</v>
      </c>
      <c r="L132" s="34">
        <f ca="1">OFFSET(Org_dat!$E$5,$H132,0)</f>
        <v>1411500</v>
      </c>
      <c r="M132" s="34">
        <f ca="1">OFFSET(Org_dat!$F$5,$H132,0)</f>
        <v>24975.68</v>
      </c>
      <c r="N132" s="35">
        <f ca="1">OFFSET(Org_dat!$G$5,$H132,0)</f>
        <v>1.7694424371236275E-2</v>
      </c>
      <c r="O132" s="35">
        <f ca="1">OFFSET(Org_dat!$H$5,$H132,0)</f>
        <v>0.19170750206831685</v>
      </c>
      <c r="P132" s="34">
        <f ca="1">OFFSET(Org_dat!$I$5,$H132,0)</f>
        <v>118671.95</v>
      </c>
      <c r="Q132" s="35">
        <f ca="1">OFFSET(Org_dat!$J$5,$H132,0)</f>
        <v>8.4075061990789943E-2</v>
      </c>
      <c r="R132" s="35">
        <f ca="1">OFFSET(Org_dat!$K$5,$H132,0)</f>
        <v>0.43855906046300136</v>
      </c>
      <c r="S132" s="34">
        <f ca="1">OFFSET(Org_dat!$L$5,$H132,0)</f>
        <v>80807.159999999989</v>
      </c>
      <c r="T132" s="35">
        <f ca="1">OFFSET(Org_dat!$M$5,$H132,0)</f>
        <v>0.4050908388352043</v>
      </c>
    </row>
    <row r="133" spans="2:20" x14ac:dyDescent="0.2">
      <c r="B133" s="342">
        <f>Org_dat!K129+(C133/100000)</f>
        <v>0.2000997927356846</v>
      </c>
      <c r="C133" s="31">
        <f>Org_dat!B129</f>
        <v>124</v>
      </c>
      <c r="D133" s="32" t="str">
        <f>Org_dat!C129</f>
        <v>ZŠ a MŠ O-Dubina, V.Košaře</v>
      </c>
      <c r="E133" s="33">
        <f ca="1">OFFSET(Org_dat!$C129,0,OrgSortCriteria)</f>
        <v>35.187589053819735</v>
      </c>
      <c r="F133" s="33">
        <f t="shared" ca="1" si="13"/>
        <v>35.187589054019838</v>
      </c>
      <c r="G133" s="33">
        <f t="shared" ca="1" si="14"/>
        <v>25.16914347680687</v>
      </c>
      <c r="H133" s="31">
        <f t="shared" ca="1" si="15"/>
        <v>53</v>
      </c>
      <c r="J133" s="32" t="str">
        <f ca="1">OFFSET(Org_dat!$C$5,$H133,0)</f>
        <v>MŠ Lechowiczova</v>
      </c>
      <c r="K133" s="158">
        <f ca="1">OFFSET(Org_dat!$D$5,$H133,0)</f>
        <v>25.169143476472538</v>
      </c>
      <c r="L133" s="34">
        <f ca="1">OFFSET(Org_dat!$E$5,$H133,0)</f>
        <v>825500</v>
      </c>
      <c r="M133" s="34">
        <f ca="1">OFFSET(Org_dat!$F$5,$H133,0)</f>
        <v>84879.98</v>
      </c>
      <c r="N133" s="35">
        <f ca="1">OFFSET(Org_dat!$G$5,$H133,0)</f>
        <v>0.10282250757116898</v>
      </c>
      <c r="O133" s="35">
        <f ca="1">OFFSET(Org_dat!$H$5,$H133,0)</f>
        <v>0.2094</v>
      </c>
      <c r="P133" s="34">
        <f ca="1">OFFSET(Org_dat!$I$5,$H133,0)</f>
        <v>57700.62</v>
      </c>
      <c r="Q133" s="35">
        <f ca="1">OFFSET(Org_dat!$J$5,$H133,0)</f>
        <v>6.989778316172017E-2</v>
      </c>
      <c r="R133" s="35">
        <f ca="1">OFFSET(Org_dat!$K$5,$H133,0)</f>
        <v>0.3338003016319015</v>
      </c>
      <c r="S133" s="34">
        <f ca="1">OFFSET(Org_dat!$L$5,$H133,0)</f>
        <v>29317.03</v>
      </c>
      <c r="T133" s="35">
        <f ca="1">OFFSET(Org_dat!$M$5,$H133,0)</f>
        <v>0.33690900639123211</v>
      </c>
    </row>
    <row r="134" spans="2:20" x14ac:dyDescent="0.2">
      <c r="B134" s="342">
        <f>Org_dat!K130+(C134/100000)</f>
        <v>9.6303072104101134E-2</v>
      </c>
      <c r="C134" s="31">
        <f>Org_dat!B130</f>
        <v>125</v>
      </c>
      <c r="D134" s="32" t="str">
        <f>Org_dat!C130</f>
        <v>ZŠ a MŠ O-Hošťálkovice</v>
      </c>
      <c r="E134" s="33">
        <f ca="1">OFFSET(Org_dat!$C130,0,OrgSortCriteria)</f>
        <v>5.7031843262460677</v>
      </c>
      <c r="F134" s="33">
        <f t="shared" ca="1" si="13"/>
        <v>5.7031843263423712</v>
      </c>
      <c r="G134" s="33">
        <f t="shared" ca="1" si="14"/>
        <v>25.053746314351429</v>
      </c>
      <c r="H134" s="31">
        <f t="shared" ca="1" si="15"/>
        <v>106</v>
      </c>
      <c r="J134" s="32" t="str">
        <f ca="1">OFFSET(Org_dat!$C$5,$H134,0)</f>
        <v>ÚMOb Michálkovice</v>
      </c>
      <c r="K134" s="158">
        <f ca="1">OFFSET(Org_dat!$D$5,$H134,0)</f>
        <v>25.05374631394351</v>
      </c>
      <c r="L134" s="34">
        <f ca="1">OFFSET(Org_dat!$E$5,$H134,0)</f>
        <v>2853000</v>
      </c>
      <c r="M134" s="34">
        <f ca="1">OFFSET(Org_dat!$F$5,$H134,0)</f>
        <v>36644.980000000003</v>
      </c>
      <c r="N134" s="35">
        <f ca="1">OFFSET(Org_dat!$G$5,$H134,0)</f>
        <v>1.2844367332632318E-2</v>
      </c>
      <c r="O134" s="35">
        <f ca="1">OFFSET(Org_dat!$H$5,$H134,0)</f>
        <v>0.25526070732199285</v>
      </c>
      <c r="P134" s="34">
        <f ca="1">OFFSET(Org_dat!$I$5,$H134,0)</f>
        <v>296298.5</v>
      </c>
      <c r="Q134" s="35">
        <f ca="1">OFFSET(Org_dat!$J$5,$H134,0)</f>
        <v>0.10385506484402383</v>
      </c>
      <c r="R134" s="35">
        <f ca="1">OFFSET(Org_dat!$K$5,$H134,0)</f>
        <v>0.4068587991218649</v>
      </c>
      <c r="S134" s="34">
        <f ca="1">OFFSET(Org_dat!$L$5,$H134,0)</f>
        <v>235511.13999999998</v>
      </c>
      <c r="T134" s="35">
        <f ca="1">OFFSET(Org_dat!$M$5,$H134,0)</f>
        <v>0.44284857265844219</v>
      </c>
    </row>
    <row r="135" spans="2:20" x14ac:dyDescent="0.2">
      <c r="B135" s="342">
        <f>Org_dat!K131+(C135/100000)</f>
        <v>0.20200750065813647</v>
      </c>
      <c r="C135" s="31">
        <f>Org_dat!B131</f>
        <v>126</v>
      </c>
      <c r="D135" s="32" t="str">
        <f>Org_dat!C131</f>
        <v>ZŠ a MŠ O-Hrabůvka, Klegova 29</v>
      </c>
      <c r="E135" s="33">
        <f ca="1">OFFSET(Org_dat!$C131,0,OrgSortCriteria)</f>
        <v>14.104812628237504</v>
      </c>
      <c r="F135" s="33">
        <f t="shared" ca="1" si="13"/>
        <v>14.104812628439511</v>
      </c>
      <c r="G135" s="33">
        <f t="shared" ca="1" si="14"/>
        <v>24.528685317770041</v>
      </c>
      <c r="H135" s="31">
        <f t="shared" ca="1" si="15"/>
        <v>48</v>
      </c>
      <c r="J135" s="32" t="str">
        <f ca="1">OFFSET(Org_dat!$C$5,$H135,0)</f>
        <v>MŠ Heřmanice</v>
      </c>
      <c r="K135" s="158">
        <f ca="1">OFFSET(Org_dat!$D$5,$H135,0)</f>
        <v>24.52868531736075</v>
      </c>
      <c r="L135" s="34">
        <f ca="1">OFFSET(Org_dat!$E$5,$H135,0)</f>
        <v>425700</v>
      </c>
      <c r="M135" s="34">
        <f ca="1">OFFSET(Org_dat!$F$5,$H135,0)</f>
        <v>0</v>
      </c>
      <c r="N135" s="35">
        <f ca="1">OFFSET(Org_dat!$G$5,$H135,0)</f>
        <v>0</v>
      </c>
      <c r="O135" s="35">
        <f ca="1">OFFSET(Org_dat!$H$5,$H135,0)</f>
        <v>8.5099999999999995E-2</v>
      </c>
      <c r="P135" s="34">
        <f ca="1">OFFSET(Org_dat!$I$5,$H135,0)</f>
        <v>14810.04</v>
      </c>
      <c r="Q135" s="35">
        <f ca="1">OFFSET(Org_dat!$J$5,$H135,0)</f>
        <v>3.4789852008456662E-2</v>
      </c>
      <c r="R135" s="35">
        <f ca="1">OFFSET(Org_dat!$K$5,$H135,0)</f>
        <v>0.4088114219560125</v>
      </c>
      <c r="S135" s="34">
        <f ca="1">OFFSET(Org_dat!$L$5,$H135,0)</f>
        <v>14838</v>
      </c>
      <c r="T135" s="35">
        <f ca="1">OFFSET(Org_dat!$M$5,$H135,0)</f>
        <v>0.5004715320135833</v>
      </c>
    </row>
    <row r="136" spans="2:20" x14ac:dyDescent="0.2">
      <c r="B136" s="342">
        <f>Org_dat!K132+(C136/100000)</f>
        <v>1.4712838506449295</v>
      </c>
      <c r="C136" s="31">
        <f>Org_dat!B132</f>
        <v>127</v>
      </c>
      <c r="D136" s="32" t="str">
        <f>Org_dat!C132</f>
        <v>ZŠ a MŠ O-Hrabůvka, Krestova</v>
      </c>
      <c r="E136" s="33">
        <f ca="1">OFFSET(Org_dat!$C132,0,OrgSortCriteria)</f>
        <v>90.246264576919486</v>
      </c>
      <c r="F136" s="33">
        <f t="shared" ca="1" si="13"/>
        <v>90.246264578390765</v>
      </c>
      <c r="G136" s="33">
        <f t="shared" ca="1" si="14"/>
        <v>23.698987179184918</v>
      </c>
      <c r="H136" s="31">
        <f t="shared" ca="1" si="15"/>
        <v>63</v>
      </c>
      <c r="J136" s="32" t="str">
        <f ca="1">OFFSET(Org_dat!$C$5,$H136,0)</f>
        <v>MŠ O-Plesná</v>
      </c>
      <c r="K136" s="158">
        <f ca="1">OFFSET(Org_dat!$D$5,$H136,0)</f>
        <v>23.698987178796024</v>
      </c>
      <c r="L136" s="34">
        <f ca="1">OFFSET(Org_dat!$E$5,$H136,0)</f>
        <v>327500</v>
      </c>
      <c r="M136" s="34">
        <f ca="1">OFFSET(Org_dat!$F$5,$H136,0)</f>
        <v>2641.18</v>
      </c>
      <c r="N136" s="35">
        <f ca="1">OFFSET(Org_dat!$G$5,$H136,0)</f>
        <v>8.0646717557251897E-3</v>
      </c>
      <c r="O136" s="35">
        <f ca="1">OFFSET(Org_dat!$H$5,$H136,0)</f>
        <v>0.2747</v>
      </c>
      <c r="P136" s="34">
        <f ca="1">OFFSET(Org_dat!$I$5,$H136,0)</f>
        <v>34929.75</v>
      </c>
      <c r="Q136" s="35">
        <f ca="1">OFFSET(Org_dat!$J$5,$H136,0)</f>
        <v>0.1066557251908397</v>
      </c>
      <c r="R136" s="35">
        <f ca="1">OFFSET(Org_dat!$K$5,$H136,0)</f>
        <v>0.38826255985016273</v>
      </c>
      <c r="S136" s="34">
        <f ca="1">OFFSET(Org_dat!$L$5,$H136,0)</f>
        <v>27715.51</v>
      </c>
      <c r="T136" s="35">
        <f ca="1">OFFSET(Org_dat!$M$5,$H136,0)</f>
        <v>0.44241990535277531</v>
      </c>
    </row>
    <row r="137" spans="2:20" x14ac:dyDescent="0.2">
      <c r="B137" s="342">
        <f>Org_dat!K133+(C137/100000)</f>
        <v>0.53831015489183709</v>
      </c>
      <c r="C137" s="31">
        <f>Org_dat!B133</f>
        <v>128</v>
      </c>
      <c r="D137" s="32" t="str">
        <f>Org_dat!C133</f>
        <v>ZŠ a MŠ O-Hrabůvka, Mitušova 16</v>
      </c>
      <c r="E137" s="33">
        <f ca="1">OFFSET(Org_dat!$C133,0,OrgSortCriteria)</f>
        <v>38.446619611267238</v>
      </c>
      <c r="F137" s="33">
        <f t="shared" ca="1" si="13"/>
        <v>38.446619611805545</v>
      </c>
      <c r="G137" s="33">
        <f t="shared" ca="1" si="14"/>
        <v>23.696121681538102</v>
      </c>
      <c r="H137" s="31">
        <f t="shared" ca="1" si="15"/>
        <v>149</v>
      </c>
      <c r="J137" s="32" t="str">
        <f ca="1">OFFSET(Org_dat!$C$5,$H137,0)</f>
        <v>ZŠ O-Nová Bělá</v>
      </c>
      <c r="K137" s="158">
        <f ca="1">OFFSET(Org_dat!$D$5,$H137,0)</f>
        <v>23.696121681271755</v>
      </c>
      <c r="L137" s="34">
        <f ca="1">OFFSET(Org_dat!$E$5,$H137,0)</f>
        <v>889622.84</v>
      </c>
      <c r="M137" s="34">
        <f ca="1">OFFSET(Org_dat!$F$5,$H137,0)</f>
        <v>138863.66</v>
      </c>
      <c r="N137" s="35">
        <f ca="1">OFFSET(Org_dat!$G$5,$H137,0)</f>
        <v>0.15609273251122915</v>
      </c>
      <c r="O137" s="35">
        <f ca="1">OFFSET(Org_dat!$H$5,$H137,0)</f>
        <v>0.33989999999999998</v>
      </c>
      <c r="P137" s="34">
        <f ca="1">OFFSET(Org_dat!$I$5,$H137,0)</f>
        <v>80088.53</v>
      </c>
      <c r="Q137" s="35">
        <f ca="1">OFFSET(Org_dat!$J$5,$H137,0)</f>
        <v>9.0025262840598835E-2</v>
      </c>
      <c r="R137" s="35">
        <f ca="1">OFFSET(Org_dat!$K$5,$H137,0)</f>
        <v>0.26485808426183832</v>
      </c>
      <c r="S137" s="34">
        <f ca="1">OFFSET(Org_dat!$L$5,$H137,0)</f>
        <v>54568.12</v>
      </c>
      <c r="T137" s="35">
        <f ca="1">OFFSET(Org_dat!$M$5,$H137,0)</f>
        <v>0.40523895403606136</v>
      </c>
    </row>
    <row r="138" spans="2:20" x14ac:dyDescent="0.2">
      <c r="B138" s="342">
        <f>Org_dat!K134+(C138/100000)</f>
        <v>1.0824576803143353</v>
      </c>
      <c r="C138" s="31">
        <f>Org_dat!B134</f>
        <v>129</v>
      </c>
      <c r="D138" s="32" t="str">
        <f>Org_dat!C134</f>
        <v>ZŠ a MŠ O-Krásné Pole</v>
      </c>
      <c r="E138" s="33">
        <f ca="1">OFFSET(Org_dat!$C134,0,OrgSortCriteria)</f>
        <v>76.787773628048782</v>
      </c>
      <c r="F138" s="33">
        <f t="shared" ca="1" si="13"/>
        <v>76.787773629131237</v>
      </c>
      <c r="G138" s="33">
        <f t="shared" ref="G138:G169" ca="1" si="16">IF(ISERROR(LARGE($F$10:$F$185,C138)),0,LARGE($F$10:$F$185,C138))</f>
        <v>23.609571228204008</v>
      </c>
      <c r="H138" s="31">
        <f t="shared" ref="H138:H169" ca="1" si="17">MATCH(G138,$F$10:$F$185,0)</f>
        <v>153</v>
      </c>
      <c r="J138" s="32" t="str">
        <f ca="1">OFFSET(Org_dat!$C$5,$H138,0)</f>
        <v>ZŠ O-Poruba, Bulharská</v>
      </c>
      <c r="K138" s="158">
        <f ca="1">OFFSET(Org_dat!$D$5,$H138,0)</f>
        <v>23.609571228046836</v>
      </c>
      <c r="L138" s="34">
        <f ca="1">OFFSET(Org_dat!$E$5,$H138,0)</f>
        <v>2652510</v>
      </c>
      <c r="M138" s="34">
        <f ca="1">OFFSET(Org_dat!$F$5,$H138,0)</f>
        <v>757081.73</v>
      </c>
      <c r="N138" s="35">
        <f ca="1">OFFSET(Org_dat!$G$5,$H138,0)</f>
        <v>0.28542087682987055</v>
      </c>
      <c r="O138" s="35">
        <f ca="1">OFFSET(Org_dat!$H$5,$H138,0)</f>
        <v>0.2535</v>
      </c>
      <c r="P138" s="34">
        <f ca="1">OFFSET(Org_dat!$I$5,$H138,0)</f>
        <v>104655.52</v>
      </c>
      <c r="Q138" s="35">
        <f ca="1">OFFSET(Org_dat!$J$5,$H138,0)</f>
        <v>3.945527820818772E-2</v>
      </c>
      <c r="R138" s="35">
        <f ca="1">OFFSET(Org_dat!$K$5,$H138,0)</f>
        <v>0.15564212310922176</v>
      </c>
      <c r="S138" s="34">
        <f ca="1">OFFSET(Org_dat!$L$5,$H138,0)</f>
        <v>47106.399999999994</v>
      </c>
      <c r="T138" s="35">
        <f ca="1">OFFSET(Org_dat!$M$5,$H138,0)</f>
        <v>0.31039670557673493</v>
      </c>
    </row>
    <row r="139" spans="2:20" x14ac:dyDescent="0.2">
      <c r="B139" s="342">
        <f>Org_dat!K135+(C139/100000)</f>
        <v>0.52549491121917014</v>
      </c>
      <c r="C139" s="31">
        <f>Org_dat!B135</f>
        <v>130</v>
      </c>
      <c r="D139" s="32" t="str">
        <f>Org_dat!C135</f>
        <v>ZŠ a MŠ O-Lhotka</v>
      </c>
      <c r="E139" s="33">
        <f ca="1">OFFSET(Org_dat!$C135,0,OrgSortCriteria)</f>
        <v>31.451694673150211</v>
      </c>
      <c r="F139" s="33">
        <f t="shared" ref="F139:F185" ca="1" si="18">IF(ISERROR(IF(D139&lt;&gt;"",E139+$B139/1000000000,0)),0,IF(D139&lt;&gt;"",E139+$B139/1000000000,-999999999))</f>
        <v>31.451694673675707</v>
      </c>
      <c r="G139" s="33">
        <f t="shared" ca="1" si="16"/>
        <v>22.499759384390295</v>
      </c>
      <c r="H139" s="31">
        <f t="shared" ca="1" si="17"/>
        <v>72</v>
      </c>
      <c r="J139" s="32" t="str">
        <f ca="1">OFFSET(Org_dat!$C$5,$H139,0)</f>
        <v>MŠ O-Radvanice</v>
      </c>
      <c r="K139" s="158">
        <f ca="1">OFFSET(Org_dat!$D$5,$H139,0)</f>
        <v>22.499759384028543</v>
      </c>
      <c r="L139" s="34">
        <f ca="1">OFFSET(Org_dat!$E$5,$H139,0)</f>
        <v>942850</v>
      </c>
      <c r="M139" s="34">
        <f ca="1">OFFSET(Org_dat!$F$5,$H139,0)</f>
        <v>15799.92</v>
      </c>
      <c r="N139" s="35">
        <f ca="1">OFFSET(Org_dat!$G$5,$H139,0)</f>
        <v>1.6757617860741369E-2</v>
      </c>
      <c r="O139" s="35">
        <f ca="1">OFFSET(Org_dat!$H$5,$H139,0)</f>
        <v>0.3372</v>
      </c>
      <c r="P139" s="34">
        <f ca="1">OFFSET(Org_dat!$I$5,$H139,0)</f>
        <v>114782.33</v>
      </c>
      <c r="Q139" s="35">
        <f ca="1">OFFSET(Org_dat!$J$5,$H139,0)</f>
        <v>0.12173975711937211</v>
      </c>
      <c r="R139" s="35">
        <f ca="1">OFFSET(Org_dat!$K$5,$H139,0)</f>
        <v>0.36103130818319129</v>
      </c>
      <c r="S139" s="34">
        <f ca="1">OFFSET(Org_dat!$L$5,$H139,0)</f>
        <v>80178.100000000006</v>
      </c>
      <c r="T139" s="35">
        <f ca="1">OFFSET(Org_dat!$M$5,$H139,0)</f>
        <v>0.41125319635374219</v>
      </c>
    </row>
    <row r="140" spans="2:20" x14ac:dyDescent="0.2">
      <c r="B140" s="342">
        <f>Org_dat!K136+(C140/100000)</f>
        <v>0.341335845296519</v>
      </c>
      <c r="C140" s="31">
        <f>Org_dat!B136</f>
        <v>131</v>
      </c>
      <c r="D140" s="32" t="str">
        <f>Org_dat!C136</f>
        <v>ZŠ a MŠ O-Proskovice</v>
      </c>
      <c r="E140" s="33">
        <f ca="1">OFFSET(Org_dat!$C136,0,OrgSortCriteria)</f>
        <v>20.793111365756374</v>
      </c>
      <c r="F140" s="33">
        <f t="shared" ca="1" si="18"/>
        <v>20.793111366097708</v>
      </c>
      <c r="G140" s="33">
        <f t="shared" ca="1" si="16"/>
        <v>21.241691015612076</v>
      </c>
      <c r="H140" s="31">
        <f t="shared" ca="1" si="17"/>
        <v>158</v>
      </c>
      <c r="J140" s="32" t="str">
        <f ca="1">OFFSET(Org_dat!$C$5,$H140,0)</f>
        <v>ZŠ O-Poruba, K.Pokorného</v>
      </c>
      <c r="K140" s="158">
        <f ca="1">OFFSET(Org_dat!$D$5,$H140,0)</f>
        <v>21.24169101552156</v>
      </c>
      <c r="L140" s="34">
        <f ca="1">OFFSET(Org_dat!$E$5,$H140,0)</f>
        <v>2767500</v>
      </c>
      <c r="M140" s="34">
        <f ca="1">OFFSET(Org_dat!$F$5,$H140,0)</f>
        <v>880368.08000000007</v>
      </c>
      <c r="N140" s="35">
        <f ca="1">OFFSET(Org_dat!$G$5,$H140,0)</f>
        <v>0.3181095140018067</v>
      </c>
      <c r="O140" s="35">
        <f ca="1">OFFSET(Org_dat!$H$5,$H140,0)</f>
        <v>0.26540000000000002</v>
      </c>
      <c r="P140" s="34">
        <f ca="1">OFFSET(Org_dat!$I$5,$H140,0)</f>
        <v>65323.68</v>
      </c>
      <c r="Q140" s="35">
        <f ca="1">OFFSET(Org_dat!$J$5,$H140,0)</f>
        <v>2.3603859078590785E-2</v>
      </c>
      <c r="R140" s="35">
        <f ca="1">OFFSET(Org_dat!$K$5,$H140,0)</f>
        <v>8.8936921923853746E-2</v>
      </c>
      <c r="S140" s="34">
        <f ca="1">OFFSET(Org_dat!$L$5,$H140,0)</f>
        <v>50384.700000000004</v>
      </c>
      <c r="T140" s="35">
        <f ca="1">OFFSET(Org_dat!$M$5,$H140,0)</f>
        <v>0.43544555718436301</v>
      </c>
    </row>
    <row r="141" spans="2:20" x14ac:dyDescent="0.2">
      <c r="B141" s="342">
        <f>Org_dat!K137+(C141/100000)</f>
        <v>0.8306809238540187</v>
      </c>
      <c r="C141" s="31">
        <f>Org_dat!B137</f>
        <v>132</v>
      </c>
      <c r="D141" s="32" t="str">
        <f>Org_dat!C137</f>
        <v>ZŠ a MŠ O-Svinov</v>
      </c>
      <c r="E141" s="33">
        <f ca="1">OFFSET(Org_dat!$C137,0,OrgSortCriteria)</f>
        <v>68.681486973411495</v>
      </c>
      <c r="F141" s="33">
        <f t="shared" ca="1" si="18"/>
        <v>68.681486974242176</v>
      </c>
      <c r="G141" s="33">
        <f t="shared" ca="1" si="16"/>
        <v>21.161740099021461</v>
      </c>
      <c r="H141" s="31">
        <f t="shared" ca="1" si="17"/>
        <v>57</v>
      </c>
      <c r="J141" s="32" t="str">
        <f ca="1">OFFSET(Org_dat!$C$5,$H141,0)</f>
        <v>MŠ O-Dubina, A.Gavlase</v>
      </c>
      <c r="K141" s="158">
        <f ca="1">OFFSET(Org_dat!$D$5,$H141,0)</f>
        <v>21.161740098707639</v>
      </c>
      <c r="L141" s="34">
        <f ca="1">OFFSET(Org_dat!$E$5,$H141,0)</f>
        <v>1694270</v>
      </c>
      <c r="M141" s="34">
        <f ca="1">OFFSET(Org_dat!$F$5,$H141,0)</f>
        <v>80196.67</v>
      </c>
      <c r="N141" s="35">
        <f ca="1">OFFSET(Org_dat!$G$5,$H141,0)</f>
        <v>4.7334055374881216E-2</v>
      </c>
      <c r="O141" s="35">
        <f ca="1">OFFSET(Org_dat!$H$5,$H141,0)</f>
        <v>0.2059</v>
      </c>
      <c r="P141" s="34">
        <f ca="1">OFFSET(Org_dat!$I$5,$H141,0)</f>
        <v>109277.54</v>
      </c>
      <c r="Q141" s="35">
        <f ca="1">OFFSET(Org_dat!$J$5,$H141,0)</f>
        <v>6.4498303103991683E-2</v>
      </c>
      <c r="R141" s="35">
        <f ca="1">OFFSET(Org_dat!$K$5,$H141,0)</f>
        <v>0.31325062216605964</v>
      </c>
      <c r="S141" s="34">
        <f ca="1">OFFSET(Org_dat!$L$5,$H141,0)</f>
        <v>76291.39</v>
      </c>
      <c r="T141" s="35">
        <f ca="1">OFFSET(Org_dat!$M$5,$H141,0)</f>
        <v>0.41112157083623863</v>
      </c>
    </row>
    <row r="142" spans="2:20" x14ac:dyDescent="0.2">
      <c r="B142" s="342">
        <f>Org_dat!K138+(C142/100000)</f>
        <v>7.9297915534532207E-2</v>
      </c>
      <c r="C142" s="31">
        <f>Org_dat!B138</f>
        <v>133</v>
      </c>
      <c r="D142" s="32" t="str">
        <f>Org_dat!C138</f>
        <v>ZŠ a MŠ O-Výškovice, Šeříková</v>
      </c>
      <c r="E142" s="33">
        <f ca="1">OFFSET(Org_dat!$C138,0,OrgSortCriteria)</f>
        <v>4.6780749320719321</v>
      </c>
      <c r="F142" s="33">
        <f t="shared" ca="1" si="18"/>
        <v>4.6780749321512305</v>
      </c>
      <c r="G142" s="33">
        <f t="shared" ca="1" si="16"/>
        <v>21.009179588828047</v>
      </c>
      <c r="H142" s="31">
        <f t="shared" ca="1" si="17"/>
        <v>144</v>
      </c>
      <c r="J142" s="32" t="str">
        <f ca="1">OFFSET(Org_dat!$C$5,$H142,0)</f>
        <v>ZŠ O-Hrabůvka, Klegova 27</v>
      </c>
      <c r="K142" s="158">
        <f ca="1">OFFSET(Org_dat!$D$5,$H142,0)</f>
        <v>21.00917958848175</v>
      </c>
      <c r="L142" s="34">
        <f ca="1">OFFSET(Org_dat!$E$5,$H142,0)</f>
        <v>1414918.5</v>
      </c>
      <c r="M142" s="34">
        <f ca="1">OFFSET(Org_dat!$F$5,$H142,0)</f>
        <v>8992.32</v>
      </c>
      <c r="N142" s="35">
        <f ca="1">OFFSET(Org_dat!$G$5,$H142,0)</f>
        <v>6.3553625173464051E-3</v>
      </c>
      <c r="O142" s="35">
        <f ca="1">OFFSET(Org_dat!$H$5,$H142,0)</f>
        <v>6.9000000000000006E-2</v>
      </c>
      <c r="P142" s="34">
        <f ca="1">OFFSET(Org_dat!$I$5,$H142,0)</f>
        <v>33668.160000000003</v>
      </c>
      <c r="Q142" s="35">
        <f ca="1">OFFSET(Org_dat!$J$5,$H142,0)</f>
        <v>2.3795123182006599E-2</v>
      </c>
      <c r="R142" s="35">
        <f ca="1">OFFSET(Org_dat!$K$5,$H142,0)</f>
        <v>0.34485685771024049</v>
      </c>
      <c r="S142" s="34">
        <f ca="1">OFFSET(Org_dat!$L$5,$H142,0)</f>
        <v>53880.520000000004</v>
      </c>
      <c r="T142" s="35">
        <f ca="1">OFFSET(Org_dat!$M$5,$H142,0)</f>
        <v>0.61543497857420582</v>
      </c>
    </row>
    <row r="143" spans="2:20" x14ac:dyDescent="0.2">
      <c r="B143" s="342">
        <f>Org_dat!K139+(C143/100000)</f>
        <v>0.18558759714632447</v>
      </c>
      <c r="C143" s="31">
        <f>Org_dat!B139</f>
        <v>134</v>
      </c>
      <c r="D143" s="32" t="str">
        <f>Org_dat!C139</f>
        <v>ZŠ a MŠ O-Zábřeh, Březinova</v>
      </c>
      <c r="E143" s="33">
        <f ca="1">OFFSET(Org_dat!$C139,0,OrgSortCriteria)</f>
        <v>11.422842272471811</v>
      </c>
      <c r="F143" s="33">
        <f t="shared" ca="1" si="18"/>
        <v>11.4228422726574</v>
      </c>
      <c r="G143" s="33">
        <f t="shared" ca="1" si="16"/>
        <v>20.793111366097708</v>
      </c>
      <c r="H143" s="31">
        <f t="shared" ca="1" si="17"/>
        <v>131</v>
      </c>
      <c r="J143" s="32" t="str">
        <f ca="1">OFFSET(Org_dat!$C$5,$H143,0)</f>
        <v>ZŠ a MŠ O-Proskovice</v>
      </c>
      <c r="K143" s="158">
        <f ca="1">OFFSET(Org_dat!$D$5,$H143,0)</f>
        <v>20.793111365756374</v>
      </c>
      <c r="L143" s="34">
        <f ca="1">OFFSET(Org_dat!$E$5,$H143,0)</f>
        <v>1138950</v>
      </c>
      <c r="M143" s="34">
        <f ca="1">OFFSET(Org_dat!$F$5,$H143,0)</f>
        <v>8919.36</v>
      </c>
      <c r="N143" s="35">
        <f ca="1">OFFSET(Org_dat!$G$5,$H143,0)</f>
        <v>7.8312129593046224E-3</v>
      </c>
      <c r="O143" s="35">
        <f ca="1">OFFSET(Org_dat!$H$5,$H143,0)</f>
        <v>0.31890000000000002</v>
      </c>
      <c r="P143" s="34">
        <f ca="1">OFFSET(Org_dat!$I$5,$H143,0)</f>
        <v>123501.18000000001</v>
      </c>
      <c r="Q143" s="35">
        <f ca="1">OFFSET(Org_dat!$J$5,$H143,0)</f>
        <v>0.10843424206505993</v>
      </c>
      <c r="R143" s="35">
        <f ca="1">OFFSET(Org_dat!$K$5,$H143,0)</f>
        <v>0.34002584529651902</v>
      </c>
      <c r="S143" s="34">
        <f ca="1">OFFSET(Org_dat!$L$5,$H143,0)</f>
        <v>92016.81</v>
      </c>
      <c r="T143" s="35">
        <f ca="1">OFFSET(Org_dat!$M$5,$H143,0)</f>
        <v>0.42695651532384837</v>
      </c>
    </row>
    <row r="144" spans="2:20" x14ac:dyDescent="0.2">
      <c r="B144" s="342">
        <f>Org_dat!K140+(C144/100000)</f>
        <v>0.5492301775990982</v>
      </c>
      <c r="C144" s="31">
        <f>Org_dat!B140</f>
        <v>135</v>
      </c>
      <c r="D144" s="32" t="str">
        <f>Org_dat!C140</f>
        <v>ZŠ a MŠ O-Zábřeh, Horymírova</v>
      </c>
      <c r="E144" s="33">
        <f ca="1">OFFSET(Org_dat!$C140,0,OrgSortCriteria)</f>
        <v>53.269643004611595</v>
      </c>
      <c r="F144" s="33">
        <f t="shared" ca="1" si="18"/>
        <v>53.269643005160823</v>
      </c>
      <c r="G144" s="33">
        <f t="shared" ca="1" si="16"/>
        <v>20.540460610051579</v>
      </c>
      <c r="H144" s="31">
        <f t="shared" ca="1" si="17"/>
        <v>173</v>
      </c>
      <c r="J144" s="32" t="str">
        <f ca="1">OFFSET(Org_dat!$C$5,$H144,0)</f>
        <v>ZŠ Slezská Ostrava, Chrustova</v>
      </c>
      <c r="K144" s="158">
        <f ca="1">OFFSET(Org_dat!$D$5,$H144,0)</f>
        <v>20.540460609718831</v>
      </c>
      <c r="L144" s="34">
        <f ca="1">OFFSET(Org_dat!$E$5,$H144,0)</f>
        <v>2523000</v>
      </c>
      <c r="M144" s="34">
        <f ca="1">OFFSET(Org_dat!$F$5,$H144,0)</f>
        <v>34280.65</v>
      </c>
      <c r="N144" s="35">
        <f ca="1">OFFSET(Org_dat!$G$5,$H144,0)</f>
        <v>1.358725723345224E-2</v>
      </c>
      <c r="O144" s="35">
        <f ca="1">OFFSET(Org_dat!$H$5,$H144,0)</f>
        <v>0.34060000000000001</v>
      </c>
      <c r="P144" s="34">
        <f ca="1">OFFSET(Org_dat!$I$5,$H144,0)</f>
        <v>284455.21000000002</v>
      </c>
      <c r="Q144" s="35">
        <f ca="1">OFFSET(Org_dat!$J$5,$H144,0)</f>
        <v>0.11274483154974238</v>
      </c>
      <c r="R144" s="35">
        <f ca="1">OFFSET(Org_dat!$K$5,$H144,0)</f>
        <v>0.3310182958007703</v>
      </c>
      <c r="S144" s="34">
        <f ca="1">OFFSET(Org_dat!$L$5,$H144,0)</f>
        <v>185907.11000000002</v>
      </c>
      <c r="T144" s="35">
        <f ca="1">OFFSET(Org_dat!$M$5,$H144,0)</f>
        <v>0.39524235274628289</v>
      </c>
    </row>
    <row r="145" spans="2:20" x14ac:dyDescent="0.2">
      <c r="B145" s="342">
        <f>Org_dat!K141+(C145/100000)</f>
        <v>0.8195118449594917</v>
      </c>
      <c r="C145" s="31">
        <f>Org_dat!B141</f>
        <v>136</v>
      </c>
      <c r="D145" s="32" t="str">
        <f>Org_dat!C141</f>
        <v>ZŠ a MŠ O-Zábřeh, Kosmonautů 13</v>
      </c>
      <c r="E145" s="33">
        <f ca="1">OFFSET(Org_dat!$C141,0,OrgSortCriteria)</f>
        <v>79.231954407037733</v>
      </c>
      <c r="F145" s="33">
        <f t="shared" ca="1" si="18"/>
        <v>79.231954407857245</v>
      </c>
      <c r="G145" s="33">
        <f t="shared" ca="1" si="16"/>
        <v>20.484382067299755</v>
      </c>
      <c r="H145" s="31">
        <f t="shared" ca="1" si="17"/>
        <v>109</v>
      </c>
      <c r="J145" s="32" t="str">
        <f ca="1">OFFSET(Org_dat!$C$5,$H145,0)</f>
        <v>ÚMOb Nová Ves</v>
      </c>
      <c r="K145" s="158">
        <f ca="1">OFFSET(Org_dat!$D$5,$H145,0)</f>
        <v>20.484382066958307</v>
      </c>
      <c r="L145" s="34">
        <f ca="1">OFFSET(Org_dat!$E$5,$H145,0)</f>
        <v>1432000</v>
      </c>
      <c r="M145" s="34">
        <f ca="1">OFFSET(Org_dat!$F$5,$H145,0)</f>
        <v>1804.59</v>
      </c>
      <c r="N145" s="35">
        <f ca="1">OFFSET(Org_dat!$G$5,$H145,0)</f>
        <v>1.2601885474860335E-3</v>
      </c>
      <c r="O145" s="35">
        <f ca="1">OFFSET(Org_dat!$H$5,$H145,0)</f>
        <v>0.24458492601616141</v>
      </c>
      <c r="P145" s="34">
        <f ca="1">OFFSET(Org_dat!$I$5,$H145,0)</f>
        <v>119208.26999999999</v>
      </c>
      <c r="Q145" s="35">
        <f ca="1">OFFSET(Org_dat!$J$5,$H145,0)</f>
        <v>8.3245998603351953E-2</v>
      </c>
      <c r="R145" s="35">
        <f ca="1">OFFSET(Org_dat!$K$5,$H145,0)</f>
        <v>0.34035621065973343</v>
      </c>
      <c r="S145" s="34">
        <f ca="1">OFFSET(Org_dat!$L$5,$H145,0)</f>
        <v>105438.81</v>
      </c>
      <c r="T145" s="35">
        <f ca="1">OFFSET(Org_dat!$M$5,$H145,0)</f>
        <v>0.4693531293618417</v>
      </c>
    </row>
    <row r="146" spans="2:20" x14ac:dyDescent="0.2">
      <c r="B146" s="342">
        <f>Org_dat!K142+(C146/100000)</f>
        <v>1.421885368855766</v>
      </c>
      <c r="C146" s="31">
        <f>Org_dat!B142</f>
        <v>137</v>
      </c>
      <c r="D146" s="32" t="str">
        <f>Org_dat!C142</f>
        <v>ZŠ a MŠ O-Zábřeh, Kosmonautů 15</v>
      </c>
      <c r="E146" s="33">
        <f ca="1">OFFSET(Org_dat!$C142,0,OrgSortCriteria)</f>
        <v>100</v>
      </c>
      <c r="F146" s="33">
        <f t="shared" ca="1" si="18"/>
        <v>100.00000000142188</v>
      </c>
      <c r="G146" s="33">
        <f t="shared" ca="1" si="16"/>
        <v>18.231050513260357</v>
      </c>
      <c r="H146" s="31">
        <f t="shared" ca="1" si="17"/>
        <v>166</v>
      </c>
      <c r="J146" s="32" t="str">
        <f ca="1">OFFSET(Org_dat!$C$5,$H146,0)</f>
        <v>ZŠ O-Zábřeh, Chrjukinova</v>
      </c>
      <c r="K146" s="158">
        <f ca="1">OFFSET(Org_dat!$D$5,$H146,0)</f>
        <v>18.231050512954845</v>
      </c>
      <c r="L146" s="34">
        <f ca="1">OFFSET(Org_dat!$E$5,$H146,0)</f>
        <v>2020000</v>
      </c>
      <c r="M146" s="34">
        <f ca="1">OFFSET(Org_dat!$F$5,$H146,0)</f>
        <v>0</v>
      </c>
      <c r="N146" s="35">
        <f ca="1">OFFSET(Org_dat!$G$5,$H146,0)</f>
        <v>0</v>
      </c>
      <c r="O146" s="35">
        <f ca="1">OFFSET(Org_dat!$H$5,$H146,0)</f>
        <v>0.14929999999999999</v>
      </c>
      <c r="P146" s="34">
        <f ca="1">OFFSET(Org_dat!$I$5,$H146,0)</f>
        <v>91637.16</v>
      </c>
      <c r="Q146" s="35">
        <f ca="1">OFFSET(Org_dat!$J$5,$H146,0)</f>
        <v>4.5364930693069308E-2</v>
      </c>
      <c r="R146" s="35">
        <f ca="1">OFFSET(Org_dat!$K$5,$H146,0)</f>
        <v>0.30385084188258077</v>
      </c>
      <c r="S146" s="34">
        <f ca="1">OFFSET(Org_dat!$L$5,$H146,0)</f>
        <v>71253.42</v>
      </c>
      <c r="T146" s="35">
        <f ca="1">OFFSET(Org_dat!$M$5,$H146,0)</f>
        <v>0.4374311884701988</v>
      </c>
    </row>
    <row r="147" spans="2:20" x14ac:dyDescent="0.2">
      <c r="B147" s="342">
        <f>Org_dat!K143+(C147/100000)</f>
        <v>7.1743043307852181E-2</v>
      </c>
      <c r="C147" s="31">
        <f>Org_dat!B143</f>
        <v>138</v>
      </c>
      <c r="D147" s="32" t="str">
        <f>Org_dat!C143</f>
        <v>ZŠ a MŠ O-Zábřeh, Volgogradská</v>
      </c>
      <c r="E147" s="33">
        <f ca="1">OFFSET(Org_dat!$C143,0,OrgSortCriteria)</f>
        <v>4.3252762670508886</v>
      </c>
      <c r="F147" s="33">
        <f t="shared" ca="1" si="18"/>
        <v>4.3252762671226312</v>
      </c>
      <c r="G147" s="33">
        <f t="shared" ca="1" si="16"/>
        <v>17.210415786356815</v>
      </c>
      <c r="H147" s="31">
        <f t="shared" ca="1" si="17"/>
        <v>21</v>
      </c>
      <c r="J147" s="32" t="str">
        <f ca="1">OFFSET(Org_dat!$C$5,$H147,0)</f>
        <v>ZŠ a MŠ O-Bělský Les</v>
      </c>
      <c r="K147" s="158">
        <f ca="1">OFFSET(Org_dat!$D$5,$H147,0)</f>
        <v>17.210415786264669</v>
      </c>
      <c r="L147" s="34">
        <f ca="1">OFFSET(Org_dat!$E$5,$H147,0)</f>
        <v>5530550</v>
      </c>
      <c r="M147" s="34">
        <f ca="1">OFFSET(Org_dat!$F$5,$H147,0)</f>
        <v>1293497.06</v>
      </c>
      <c r="N147" s="35">
        <f ca="1">OFFSET(Org_dat!$G$5,$H147,0)</f>
        <v>0.23388217446727722</v>
      </c>
      <c r="O147" s="35">
        <f ca="1">OFFSET(Org_dat!$H$5,$H147,0)</f>
        <v>0.22450000000000001</v>
      </c>
      <c r="P147" s="34">
        <f ca="1">OFFSET(Org_dat!$I$5,$H147,0)</f>
        <v>114151.56</v>
      </c>
      <c r="Q147" s="35">
        <f ca="1">OFFSET(Org_dat!$J$5,$H147,0)</f>
        <v>2.0640182260353853E-2</v>
      </c>
      <c r="R147" s="35">
        <f ca="1">OFFSET(Org_dat!$K$5,$H147,0)</f>
        <v>9.1938451048346775E-2</v>
      </c>
      <c r="S147" s="34">
        <f ca="1">OFFSET(Org_dat!$L$5,$H147,0)</f>
        <v>87343.2</v>
      </c>
      <c r="T147" s="35">
        <f ca="1">OFFSET(Org_dat!$M$5,$H147,0)</f>
        <v>0.4334762849416034</v>
      </c>
    </row>
    <row r="148" spans="2:20" x14ac:dyDescent="0.2">
      <c r="B148" s="342">
        <f>Org_dat!K144+(C148/100000)</f>
        <v>0.28378902721265431</v>
      </c>
      <c r="C148" s="31">
        <f>Org_dat!B144</f>
        <v>139</v>
      </c>
      <c r="D148" s="32" t="str">
        <f>Org_dat!C144</f>
        <v>ZŠ a waldorfská ZŠ O-Poruba</v>
      </c>
      <c r="E148" s="33">
        <f ca="1">OFFSET(Org_dat!$C144,0,OrgSortCriteria)</f>
        <v>35.19986289380099</v>
      </c>
      <c r="F148" s="33">
        <f t="shared" ca="1" si="18"/>
        <v>35.199862894084781</v>
      </c>
      <c r="G148" s="33">
        <f t="shared" ca="1" si="16"/>
        <v>16.426413594481332</v>
      </c>
      <c r="H148" s="31">
        <f t="shared" ca="1" si="17"/>
        <v>171</v>
      </c>
      <c r="J148" s="32" t="str">
        <f ca="1">OFFSET(Org_dat!$C$5,$H148,0)</f>
        <v>ZŠ Ostrava, Zelená</v>
      </c>
      <c r="K148" s="158">
        <f ca="1">OFFSET(Org_dat!$D$5,$H148,0)</f>
        <v>16.426413594232748</v>
      </c>
      <c r="L148" s="34">
        <f ca="1">OFFSET(Org_dat!$E$5,$H148,0)</f>
        <v>2427500</v>
      </c>
      <c r="M148" s="34">
        <f ca="1">OFFSET(Org_dat!$F$5,$H148,0)</f>
        <v>78362.38</v>
      </c>
      <c r="N148" s="35">
        <f ca="1">OFFSET(Org_dat!$G$5,$H148,0)</f>
        <v>3.2281104016477859E-2</v>
      </c>
      <c r="O148" s="35">
        <f ca="1">OFFSET(Org_dat!$H$5,$H148,0)</f>
        <v>0.21659999999999999</v>
      </c>
      <c r="P148" s="34">
        <f ca="1">OFFSET(Org_dat!$I$5,$H148,0)</f>
        <v>129804.77</v>
      </c>
      <c r="Q148" s="35">
        <f ca="1">OFFSET(Org_dat!$J$5,$H148,0)</f>
        <v>5.3472613800205973E-2</v>
      </c>
      <c r="R148" s="35">
        <f ca="1">OFFSET(Org_dat!$K$5,$H148,0)</f>
        <v>0.24687263989014763</v>
      </c>
      <c r="S148" s="34">
        <f ca="1">OFFSET(Org_dat!$L$5,$H148,0)</f>
        <v>51183.79</v>
      </c>
      <c r="T148" s="35">
        <f ca="1">OFFSET(Org_dat!$M$5,$H148,0)</f>
        <v>0.28280124445434562</v>
      </c>
    </row>
    <row r="149" spans="2:20" x14ac:dyDescent="0.2">
      <c r="B149" s="342">
        <f>Org_dat!K145+(C149/100000)</f>
        <v>0.59843295501547256</v>
      </c>
      <c r="C149" s="31">
        <f>Org_dat!B145</f>
        <v>140</v>
      </c>
      <c r="D149" s="32" t="str">
        <f>Org_dat!C145</f>
        <v>ZŠ gen.Z.Škarvady, O-Poruba</v>
      </c>
      <c r="E149" s="33">
        <f ca="1">OFFSET(Org_dat!$C145,0,OrgSortCriteria)</f>
        <v>46.306903103419145</v>
      </c>
      <c r="F149" s="33">
        <f t="shared" ca="1" si="18"/>
        <v>46.306903104017579</v>
      </c>
      <c r="G149" s="33">
        <f t="shared" ca="1" si="16"/>
        <v>16.257602019024421</v>
      </c>
      <c r="H149" s="31">
        <f t="shared" ca="1" si="17"/>
        <v>55</v>
      </c>
      <c r="J149" s="32" t="str">
        <f ca="1">OFFSET(Org_dat!$C$5,$H149,0)</f>
        <v>MŠ Na Jízdárně</v>
      </c>
      <c r="K149" s="158">
        <f ca="1">OFFSET(Org_dat!$D$5,$H149,0)</f>
        <v>16.257602018775984</v>
      </c>
      <c r="L149" s="34">
        <f ca="1">OFFSET(Org_dat!$E$5,$H149,0)</f>
        <v>547000</v>
      </c>
      <c r="M149" s="34">
        <f ca="1">OFFSET(Org_dat!$F$5,$H149,0)</f>
        <v>15145.07</v>
      </c>
      <c r="N149" s="35">
        <f ca="1">OFFSET(Org_dat!$G$5,$H149,0)</f>
        <v>2.7687513711151735E-2</v>
      </c>
      <c r="O149" s="35">
        <f ca="1">OFFSET(Org_dat!$H$5,$H149,0)</f>
        <v>0.1686</v>
      </c>
      <c r="P149" s="34">
        <f ca="1">OFFSET(Org_dat!$I$5,$H149,0)</f>
        <v>22861.19</v>
      </c>
      <c r="Q149" s="35">
        <f ca="1">OFFSET(Org_dat!$J$5,$H149,0)</f>
        <v>4.1793765996343692E-2</v>
      </c>
      <c r="R149" s="35">
        <f ca="1">OFFSET(Org_dat!$K$5,$H149,0)</f>
        <v>0.24788710555363994</v>
      </c>
      <c r="S149" s="34">
        <f ca="1">OFFSET(Org_dat!$L$5,$H149,0)</f>
        <v>10283.700000000001</v>
      </c>
      <c r="T149" s="35">
        <f ca="1">OFFSET(Org_dat!$M$5,$H149,0)</f>
        <v>0.31026502124460215</v>
      </c>
    </row>
    <row r="150" spans="2:20" x14ac:dyDescent="0.2">
      <c r="B150" s="342">
        <f>Org_dat!K146+(C150/100000)</f>
        <v>1.2944175351838421</v>
      </c>
      <c r="C150" s="31">
        <f>Org_dat!B146</f>
        <v>141</v>
      </c>
      <c r="D150" s="32" t="str">
        <f>Org_dat!C146</f>
        <v>ZŠ MO a Přívoz, Gajdošova</v>
      </c>
      <c r="E150" s="33">
        <f ca="1">OFFSET(Org_dat!$C146,0,OrgSortCriteria)</f>
        <v>62.426086956521736</v>
      </c>
      <c r="F150" s="33">
        <f t="shared" ca="1" si="18"/>
        <v>62.426086957816153</v>
      </c>
      <c r="G150" s="33">
        <f t="shared" ca="1" si="16"/>
        <v>15.109289661153403</v>
      </c>
      <c r="H150" s="31">
        <f t="shared" ca="1" si="17"/>
        <v>117</v>
      </c>
      <c r="J150" s="32" t="str">
        <f ca="1">OFFSET(Org_dat!$C$5,$H150,0)</f>
        <v>ÚMOb Radvanice a Bartovice</v>
      </c>
      <c r="K150" s="158">
        <f ca="1">OFFSET(Org_dat!$D$5,$H150,0)</f>
        <v>15.109289660900592</v>
      </c>
      <c r="L150" s="34">
        <f ca="1">OFFSET(Org_dat!$E$5,$H150,0)</f>
        <v>5565000</v>
      </c>
      <c r="M150" s="34">
        <f ca="1">OFFSET(Org_dat!$F$5,$H150,0)</f>
        <v>1199.56</v>
      </c>
      <c r="N150" s="35">
        <f ca="1">OFFSET(Org_dat!$G$5,$H150,0)</f>
        <v>2.1555435759209343E-4</v>
      </c>
      <c r="O150" s="35">
        <f ca="1">OFFSET(Org_dat!$H$5,$H150,0)</f>
        <v>0.22950220472405164</v>
      </c>
      <c r="P150" s="34">
        <f ca="1">OFFSET(Org_dat!$I$5,$H150,0)</f>
        <v>321391.90000000002</v>
      </c>
      <c r="Q150" s="35">
        <f ca="1">OFFSET(Org_dat!$J$5,$H150,0)</f>
        <v>5.7752362982929024E-2</v>
      </c>
      <c r="R150" s="35">
        <f ca="1">OFFSET(Org_dat!$K$5,$H150,0)</f>
        <v>0.25164186571701647</v>
      </c>
      <c r="S150" s="34">
        <f ca="1">OFFSET(Org_dat!$L$5,$H150,0)</f>
        <v>300442.15000000002</v>
      </c>
      <c r="T150" s="35">
        <f ca="1">OFFSET(Org_dat!$M$5,$H150,0)</f>
        <v>0.48315487066042784</v>
      </c>
    </row>
    <row r="151" spans="2:20" x14ac:dyDescent="0.2">
      <c r="B151" s="342">
        <f>Org_dat!K147+(C151/100000)</f>
        <v>2.2241160953150434</v>
      </c>
      <c r="C151" s="31">
        <f>Org_dat!B147</f>
        <v>142</v>
      </c>
      <c r="D151" s="32" t="str">
        <f>Org_dat!C147</f>
        <v>ZŠ O-Dubina, F.Formana</v>
      </c>
      <c r="E151" s="33">
        <f ca="1">OFFSET(Org_dat!$C147,0,OrgSortCriteria)</f>
        <v>64.313400083612038</v>
      </c>
      <c r="F151" s="33">
        <f t="shared" ca="1" si="18"/>
        <v>64.31340008583615</v>
      </c>
      <c r="G151" s="33">
        <f t="shared" ca="1" si="16"/>
        <v>14.89089552710654</v>
      </c>
      <c r="H151" s="31">
        <f t="shared" ca="1" si="17"/>
        <v>123</v>
      </c>
      <c r="J151" s="32" t="str">
        <f ca="1">OFFSET(Org_dat!$C$5,$H151,0)</f>
        <v>Waldorfská ZŠ a MŠ MO a Přívoz</v>
      </c>
      <c r="K151" s="158">
        <f ca="1">OFFSET(Org_dat!$D$5,$H151,0)</f>
        <v>14.890895527052994</v>
      </c>
      <c r="L151" s="34">
        <f ca="1">OFFSET(Org_dat!$E$5,$H151,0)</f>
        <v>919000</v>
      </c>
      <c r="M151" s="34">
        <f ca="1">OFFSET(Org_dat!$F$5,$H151,0)</f>
        <v>216000.83</v>
      </c>
      <c r="N151" s="35">
        <f ca="1">OFFSET(Org_dat!$G$5,$H151,0)</f>
        <v>0.23503898803046788</v>
      </c>
      <c r="O151" s="35">
        <f ca="1">OFFSET(Org_dat!$H$5,$H151,0)</f>
        <v>3.7600000000000001E-2</v>
      </c>
      <c r="P151" s="34">
        <f ca="1">OFFSET(Org_dat!$I$5,$H151,0)</f>
        <v>1807.74</v>
      </c>
      <c r="Q151" s="35">
        <f ca="1">OFFSET(Org_dat!$J$5,$H151,0)</f>
        <v>1.9670729053318826E-3</v>
      </c>
      <c r="R151" s="35">
        <f ca="1">OFFSET(Org_dat!$K$5,$H151,0)</f>
        <v>5.231576875882666E-2</v>
      </c>
      <c r="S151" s="34">
        <f ca="1">OFFSET(Org_dat!$L$5,$H151,0)</f>
        <v>12778.86</v>
      </c>
      <c r="T151" s="35">
        <f ca="1">OFFSET(Org_dat!$M$5,$H151,0)</f>
        <v>0.87606844638229608</v>
      </c>
    </row>
    <row r="152" spans="2:20" x14ac:dyDescent="0.2">
      <c r="B152" s="342">
        <f>Org_dat!K148+(C152/100000)</f>
        <v>0.14151527745280207</v>
      </c>
      <c r="C152" s="31">
        <f>Org_dat!B148</f>
        <v>143</v>
      </c>
      <c r="D152" s="32" t="str">
        <f>Org_dat!C148</f>
        <v>ZŠ O-Hrabová, Paskovská</v>
      </c>
      <c r="E152" s="33">
        <f ca="1">OFFSET(Org_dat!$C148,0,OrgSortCriteria)</f>
        <v>8.4051166471681249</v>
      </c>
      <c r="F152" s="33">
        <f t="shared" ca="1" si="18"/>
        <v>8.4051166473096401</v>
      </c>
      <c r="G152" s="33">
        <f t="shared" ca="1" si="16"/>
        <v>14.763552006589205</v>
      </c>
      <c r="H152" s="31">
        <f t="shared" ca="1" si="17"/>
        <v>7</v>
      </c>
      <c r="J152" s="32" t="str">
        <f ca="1">OFFSET(Org_dat!$C$5,$H152,0)</f>
        <v>Centrum kultury a vzdělávání Moravská Ostrava</v>
      </c>
      <c r="K152" s="158">
        <f ca="1">OFFSET(Org_dat!$D$5,$H152,0)</f>
        <v>14.763552006345311</v>
      </c>
      <c r="L152" s="34">
        <f ca="1">OFFSET(Org_dat!$E$5,$H152,0)</f>
        <v>5097500</v>
      </c>
      <c r="M152" s="34">
        <f ca="1">OFFSET(Org_dat!$F$5,$H152,0)</f>
        <v>13668.88</v>
      </c>
      <c r="N152" s="35">
        <f ca="1">OFFSET(Org_dat!$G$5,$H152,0)</f>
        <v>2.6814870034330552E-3</v>
      </c>
      <c r="O152" s="35">
        <f ca="1">OFFSET(Org_dat!$H$5,$H152,0)</f>
        <v>7.3318441064654863E-2</v>
      </c>
      <c r="P152" s="34">
        <f ca="1">OFFSET(Org_dat!$I$5,$H152,0)</f>
        <v>91127.200000000012</v>
      </c>
      <c r="Q152" s="35">
        <f ca="1">OFFSET(Org_dat!$J$5,$H152,0)</f>
        <v>1.7876841589014224E-2</v>
      </c>
      <c r="R152" s="35">
        <f ca="1">OFFSET(Org_dat!$K$5,$H152,0)</f>
        <v>0.24382462760289428</v>
      </c>
      <c r="S152" s="34">
        <f ca="1">OFFSET(Org_dat!$L$5,$H152,0)</f>
        <v>76381.959999999992</v>
      </c>
      <c r="T152" s="35">
        <f ca="1">OFFSET(Org_dat!$M$5,$H152,0)</f>
        <v>0.45598676514167935</v>
      </c>
    </row>
    <row r="153" spans="2:20" x14ac:dyDescent="0.2">
      <c r="B153" s="342">
        <f>Org_dat!K149+(C153/100000)</f>
        <v>0.34629685771024049</v>
      </c>
      <c r="C153" s="31">
        <f>Org_dat!B149</f>
        <v>144</v>
      </c>
      <c r="D153" s="32" t="str">
        <f>Org_dat!C149</f>
        <v>ZŠ O-Hrabůvka, Klegova 27</v>
      </c>
      <c r="E153" s="33">
        <f ca="1">OFFSET(Org_dat!$C149,0,OrgSortCriteria)</f>
        <v>21.00917958848175</v>
      </c>
      <c r="F153" s="33">
        <f t="shared" ca="1" si="18"/>
        <v>21.009179588828047</v>
      </c>
      <c r="G153" s="33">
        <f t="shared" ca="1" si="16"/>
        <v>14.496014912553145</v>
      </c>
      <c r="H153" s="31">
        <f t="shared" ca="1" si="17"/>
        <v>82</v>
      </c>
      <c r="J153" s="32" t="str">
        <f ca="1">OFFSET(Org_dat!$C$5,$H153,0)</f>
        <v>MŠ U Dvoru</v>
      </c>
      <c r="K153" s="158">
        <f ca="1">OFFSET(Org_dat!$D$5,$H153,0)</f>
        <v>14.496014912310725</v>
      </c>
      <c r="L153" s="34">
        <f ca="1">OFFSET(Org_dat!$E$5,$H153,0)</f>
        <v>299786.82500000001</v>
      </c>
      <c r="M153" s="34">
        <f ca="1">OFFSET(Org_dat!$F$5,$H153,0)</f>
        <v>0</v>
      </c>
      <c r="N153" s="35">
        <f ca="1">OFFSET(Org_dat!$G$5,$H153,0)</f>
        <v>0</v>
      </c>
      <c r="O153" s="35">
        <f ca="1">OFFSET(Org_dat!$H$5,$H153,0)</f>
        <v>5.67E-2</v>
      </c>
      <c r="P153" s="34">
        <f ca="1">OFFSET(Org_dat!$I$5,$H153,0)</f>
        <v>4106.7</v>
      </c>
      <c r="Q153" s="35">
        <f ca="1">OFFSET(Org_dat!$J$5,$H153,0)</f>
        <v>1.3698734092133635E-2</v>
      </c>
      <c r="R153" s="35">
        <f ca="1">OFFSET(Org_dat!$K$5,$H153,0)</f>
        <v>0.24160024853851209</v>
      </c>
      <c r="S153" s="34">
        <f ca="1">OFFSET(Org_dat!$L$5,$H153,0)</f>
        <v>733.32</v>
      </c>
      <c r="T153" s="35">
        <f ca="1">OFFSET(Org_dat!$M$5,$H153,0)</f>
        <v>0.15151177061251817</v>
      </c>
    </row>
    <row r="154" spans="2:20" x14ac:dyDescent="0.2">
      <c r="B154" s="342">
        <f>Org_dat!K150+(C154/100000)</f>
        <v>0.67510593416810005</v>
      </c>
      <c r="C154" s="31">
        <f>Org_dat!B150</f>
        <v>145</v>
      </c>
      <c r="D154" s="32" t="str">
        <f>Org_dat!C150</f>
        <v>ZŠ O-Hrabůvka, Provaznická</v>
      </c>
      <c r="E154" s="33">
        <f ca="1">OFFSET(Org_dat!$C150,0,OrgSortCriteria)</f>
        <v>54.589368805867572</v>
      </c>
      <c r="F154" s="33">
        <f t="shared" ca="1" si="18"/>
        <v>54.58936880654268</v>
      </c>
      <c r="G154" s="33">
        <f t="shared" ca="1" si="16"/>
        <v>14.104812628439511</v>
      </c>
      <c r="H154" s="31">
        <f t="shared" ca="1" si="17"/>
        <v>126</v>
      </c>
      <c r="J154" s="32" t="str">
        <f ca="1">OFFSET(Org_dat!$C$5,$H154,0)</f>
        <v>ZŠ a MŠ O-Hrabůvka, Klegova 29</v>
      </c>
      <c r="K154" s="158">
        <f ca="1">OFFSET(Org_dat!$D$5,$H154,0)</f>
        <v>14.104812628237504</v>
      </c>
      <c r="L154" s="34">
        <f ca="1">OFFSET(Org_dat!$E$5,$H154,0)</f>
        <v>3662000</v>
      </c>
      <c r="M154" s="34">
        <f ca="1">OFFSET(Org_dat!$F$5,$H154,0)</f>
        <v>150871.66</v>
      </c>
      <c r="N154" s="35">
        <f ca="1">OFFSET(Org_dat!$G$5,$H154,0)</f>
        <v>4.1199251774986345E-2</v>
      </c>
      <c r="O154" s="35">
        <f ca="1">OFFSET(Org_dat!$H$5,$H154,0)</f>
        <v>0.30309999999999998</v>
      </c>
      <c r="P154" s="34">
        <f ca="1">OFFSET(Org_dat!$I$5,$H154,0)</f>
        <v>222820.13</v>
      </c>
      <c r="Q154" s="35">
        <f ca="1">OFFSET(Org_dat!$J$5,$H154,0)</f>
        <v>6.0846567449481158E-2</v>
      </c>
      <c r="R154" s="35">
        <f ca="1">OFFSET(Org_dat!$K$5,$H154,0)</f>
        <v>0.20074750065813646</v>
      </c>
      <c r="S154" s="34">
        <f ca="1">OFFSET(Org_dat!$L$5,$H154,0)</f>
        <v>94885.4</v>
      </c>
      <c r="T154" s="35">
        <f ca="1">OFFSET(Org_dat!$M$5,$H154,0)</f>
        <v>0.29865832048941671</v>
      </c>
    </row>
    <row r="155" spans="2:20" x14ac:dyDescent="0.2">
      <c r="B155" s="342">
        <f>Org_dat!K151+(C155/100000)</f>
        <v>0.37048511675762247</v>
      </c>
      <c r="C155" s="31">
        <f>Org_dat!B151</f>
        <v>146</v>
      </c>
      <c r="D155" s="32" t="str">
        <f>Org_dat!C151</f>
        <v>ZŠ O-Mar.Hory, Gen.Janka</v>
      </c>
      <c r="E155" s="33">
        <f ca="1">OFFSET(Org_dat!$C151,0,OrgSortCriteria)</f>
        <v>27.65864555176266</v>
      </c>
      <c r="F155" s="33">
        <f t="shared" ca="1" si="18"/>
        <v>27.658645552133144</v>
      </c>
      <c r="G155" s="33">
        <f t="shared" ca="1" si="16"/>
        <v>13.828835508893098</v>
      </c>
      <c r="H155" s="31">
        <f t="shared" ca="1" si="17"/>
        <v>61</v>
      </c>
      <c r="J155" s="32" t="str">
        <f ca="1">OFFSET(Org_dat!$C$5,$H155,0)</f>
        <v>MŠ O-Nová Bělá</v>
      </c>
      <c r="K155" s="158">
        <f ca="1">OFFSET(Org_dat!$D$5,$H155,0)</f>
        <v>13.828835508662008</v>
      </c>
      <c r="L155" s="34">
        <f ca="1">OFFSET(Org_dat!$E$5,$H155,0)</f>
        <v>501950</v>
      </c>
      <c r="M155" s="34">
        <f ca="1">OFFSET(Org_dat!$F$5,$H155,0)</f>
        <v>0</v>
      </c>
      <c r="N155" s="35">
        <f ca="1">OFFSET(Org_dat!$G$5,$H155,0)</f>
        <v>0</v>
      </c>
      <c r="O155" s="35">
        <f ca="1">OFFSET(Org_dat!$H$5,$H155,0)</f>
        <v>0.1948</v>
      </c>
      <c r="P155" s="34">
        <f ca="1">OFFSET(Org_dat!$I$5,$H155,0)</f>
        <v>22536.36</v>
      </c>
      <c r="Q155" s="35">
        <f ca="1">OFFSET(Org_dat!$J$5,$H155,0)</f>
        <v>4.4897619284789324E-2</v>
      </c>
      <c r="R155" s="35">
        <f ca="1">OFFSET(Org_dat!$K$5,$H155,0)</f>
        <v>0.23048059181103348</v>
      </c>
      <c r="S155" s="34">
        <f ca="1">OFFSET(Org_dat!$L$5,$H155,0)</f>
        <v>6564.6</v>
      </c>
      <c r="T155" s="35">
        <f ca="1">OFFSET(Org_dat!$M$5,$H155,0)</f>
        <v>0.22558018704537583</v>
      </c>
    </row>
    <row r="156" spans="2:20" x14ac:dyDescent="0.2">
      <c r="B156" s="342">
        <f>Org_dat!K152+(C156/100000)</f>
        <v>0.49805962253057295</v>
      </c>
      <c r="C156" s="31">
        <f>Org_dat!B152</f>
        <v>147</v>
      </c>
      <c r="D156" s="32" t="str">
        <f>Org_dat!C152</f>
        <v>ZŠ O-Michálkovice</v>
      </c>
      <c r="E156" s="33">
        <f ca="1">OFFSET(Org_dat!$C152,0,OrgSortCriteria)</f>
        <v>29.795377351834375</v>
      </c>
      <c r="F156" s="33">
        <f t="shared" ca="1" si="18"/>
        <v>29.795377352332434</v>
      </c>
      <c r="G156" s="33">
        <f t="shared" ca="1" si="16"/>
        <v>12.848694284585967</v>
      </c>
      <c r="H156" s="31">
        <f t="shared" ca="1" si="17"/>
        <v>41</v>
      </c>
      <c r="J156" s="32" t="str">
        <f ca="1">OFFSET(Org_dat!$C$5,$H156,0)</f>
        <v>MŠ Blahoslavova</v>
      </c>
      <c r="K156" s="158">
        <f ca="1">OFFSET(Org_dat!$D$5,$H156,0)</f>
        <v>12.848694284371412</v>
      </c>
      <c r="L156" s="34">
        <f ca="1">OFFSET(Org_dat!$E$5,$H156,0)</f>
        <v>704500</v>
      </c>
      <c r="M156" s="34">
        <f ca="1">OFFSET(Org_dat!$F$5,$H156,0)</f>
        <v>0</v>
      </c>
      <c r="N156" s="35">
        <f ca="1">OFFSET(Org_dat!$G$5,$H156,0)</f>
        <v>0</v>
      </c>
      <c r="O156" s="35">
        <f ca="1">OFFSET(Org_dat!$H$5,$H156,0)</f>
        <v>0.31619999999999998</v>
      </c>
      <c r="P156" s="34">
        <f ca="1">OFFSET(Org_dat!$I$5,$H156,0)</f>
        <v>47703.54</v>
      </c>
      <c r="Q156" s="35">
        <f ca="1">OFFSET(Org_dat!$J$5,$H156,0)</f>
        <v>6.7712618878637332E-2</v>
      </c>
      <c r="R156" s="35">
        <f ca="1">OFFSET(Org_dat!$K$5,$H156,0)</f>
        <v>0.21414490473952352</v>
      </c>
      <c r="S156" s="34">
        <f ca="1">OFFSET(Org_dat!$L$5,$H156,0)</f>
        <v>35091.599999999999</v>
      </c>
      <c r="T156" s="35">
        <f ca="1">OFFSET(Org_dat!$M$5,$H156,0)</f>
        <v>0.4238364715610119</v>
      </c>
    </row>
    <row r="157" spans="2:20" x14ac:dyDescent="0.2">
      <c r="B157" s="342">
        <f>Org_dat!K153+(C157/100000)</f>
        <v>1.0414655855855854</v>
      </c>
      <c r="C157" s="31">
        <f>Org_dat!B153</f>
        <v>148</v>
      </c>
      <c r="D157" s="32" t="str">
        <f>Org_dat!C153</f>
        <v>ZŠ O-Muglinov</v>
      </c>
      <c r="E157" s="33">
        <f ca="1">OFFSET(Org_dat!$C153,0,OrgSortCriteria)</f>
        <v>60.103522522522525</v>
      </c>
      <c r="F157" s="33">
        <f t="shared" ca="1" si="18"/>
        <v>60.103522523563988</v>
      </c>
      <c r="G157" s="33">
        <f t="shared" ca="1" si="16"/>
        <v>12.689538283020857</v>
      </c>
      <c r="H157" s="31">
        <f t="shared" ca="1" si="17"/>
        <v>76</v>
      </c>
      <c r="J157" s="32" t="str">
        <f ca="1">OFFSET(Org_dat!$C$5,$H157,0)</f>
        <v>MŠ Polanka</v>
      </c>
      <c r="K157" s="158">
        <f ca="1">OFFSET(Org_dat!$D$5,$H157,0)</f>
        <v>12.689538282822177</v>
      </c>
      <c r="L157" s="34">
        <f ca="1">OFFSET(Org_dat!$E$5,$H157,0)</f>
        <v>874415.5</v>
      </c>
      <c r="M157" s="34">
        <f ca="1">OFFSET(Org_dat!$F$5,$H157,0)</f>
        <v>14241.96</v>
      </c>
      <c r="N157" s="35">
        <f ca="1">OFFSET(Org_dat!$G$5,$H157,0)</f>
        <v>1.6287405701294177E-2</v>
      </c>
      <c r="O157" s="35">
        <f ca="1">OFFSET(Org_dat!$H$5,$H157,0)</f>
        <v>0.23899999999999999</v>
      </c>
      <c r="P157" s="34">
        <f ca="1">OFFSET(Org_dat!$I$5,$H157,0)</f>
        <v>41362.259999999995</v>
      </c>
      <c r="Q157" s="35">
        <f ca="1">OFFSET(Org_dat!$J$5,$H157,0)</f>
        <v>4.7302752524400582E-2</v>
      </c>
      <c r="R157" s="35">
        <f ca="1">OFFSET(Org_dat!$K$5,$H157,0)</f>
        <v>0.19791946662929114</v>
      </c>
      <c r="S157" s="34">
        <f ca="1">OFFSET(Org_dat!$L$5,$H157,0)</f>
        <v>26093.73</v>
      </c>
      <c r="T157" s="35">
        <f ca="1">OFFSET(Org_dat!$M$5,$H157,0)</f>
        <v>0.38682598832216386</v>
      </c>
    </row>
    <row r="158" spans="2:20" x14ac:dyDescent="0.2">
      <c r="B158" s="342">
        <f>Org_dat!K154+(C158/100000)</f>
        <v>0.26634808426183831</v>
      </c>
      <c r="C158" s="31">
        <f>Org_dat!B154</f>
        <v>149</v>
      </c>
      <c r="D158" s="32" t="str">
        <f>Org_dat!C154</f>
        <v>ZŠ O-Nová Bělá</v>
      </c>
      <c r="E158" s="33">
        <f ca="1">OFFSET(Org_dat!$C154,0,OrgSortCriteria)</f>
        <v>23.696121681271755</v>
      </c>
      <c r="F158" s="33">
        <f t="shared" ca="1" si="18"/>
        <v>23.696121681538102</v>
      </c>
      <c r="G158" s="33">
        <f t="shared" ca="1" si="16"/>
        <v>12.42676835329374</v>
      </c>
      <c r="H158" s="31">
        <f t="shared" ca="1" si="17"/>
        <v>50</v>
      </c>
      <c r="J158" s="32" t="str">
        <f ca="1">OFFSET(Org_dat!$C$5,$H158,0)</f>
        <v>MŠ Klubíčko, O-Hrabová</v>
      </c>
      <c r="K158" s="158">
        <f ca="1">OFFSET(Org_dat!$D$5,$H158,0)</f>
        <v>12.426768353086127</v>
      </c>
      <c r="L158" s="34">
        <f ca="1">OFFSET(Org_dat!$E$5,$H158,0)</f>
        <v>974773</v>
      </c>
      <c r="M158" s="34">
        <f ca="1">OFFSET(Org_dat!$F$5,$H158,0)</f>
        <v>0</v>
      </c>
      <c r="N158" s="35">
        <f ca="1">OFFSET(Org_dat!$G$5,$H158,0)</f>
        <v>0</v>
      </c>
      <c r="O158" s="35">
        <f ca="1">OFFSET(Org_dat!$H$5,$H158,0)</f>
        <v>0.24940000000000001</v>
      </c>
      <c r="P158" s="34">
        <f ca="1">OFFSET(Org_dat!$I$5,$H158,0)</f>
        <v>50350.86</v>
      </c>
      <c r="Q158" s="35">
        <f ca="1">OFFSET(Org_dat!$J$5,$H158,0)</f>
        <v>5.1653933787661331E-2</v>
      </c>
      <c r="R158" s="35">
        <f ca="1">OFFSET(Org_dat!$K$5,$H158,0)</f>
        <v>0.20711280588476877</v>
      </c>
      <c r="S158" s="34">
        <f ca="1">OFFSET(Org_dat!$L$5,$H158,0)</f>
        <v>39958.44</v>
      </c>
      <c r="T158" s="35">
        <f ca="1">OFFSET(Org_dat!$M$5,$H158,0)</f>
        <v>0.44246207201251697</v>
      </c>
    </row>
    <row r="159" spans="2:20" x14ac:dyDescent="0.2">
      <c r="B159" s="342">
        <f>Org_dat!K155+(C159/100000)</f>
        <v>0.93367745036946537</v>
      </c>
      <c r="C159" s="31">
        <f>Org_dat!B155</f>
        <v>150</v>
      </c>
      <c r="D159" s="32" t="str">
        <f>Org_dat!C155</f>
        <v>ZŠ O-Petřkovice</v>
      </c>
      <c r="E159" s="33">
        <f ca="1">OFFSET(Org_dat!$C155,0,OrgSortCriteria)</f>
        <v>64.149026332512747</v>
      </c>
      <c r="F159" s="33">
        <f t="shared" ca="1" si="18"/>
        <v>64.149026333446429</v>
      </c>
      <c r="G159" s="33">
        <f t="shared" ca="1" si="16"/>
        <v>11.4228422726574</v>
      </c>
      <c r="H159" s="31">
        <f t="shared" ca="1" si="17"/>
        <v>134</v>
      </c>
      <c r="J159" s="32" t="str">
        <f ca="1">OFFSET(Org_dat!$C$5,$H159,0)</f>
        <v>ZŠ a MŠ O-Zábřeh, Březinova</v>
      </c>
      <c r="K159" s="158">
        <f ca="1">OFFSET(Org_dat!$D$5,$H159,0)</f>
        <v>11.422842272471811</v>
      </c>
      <c r="L159" s="34">
        <f ca="1">OFFSET(Org_dat!$E$5,$H159,0)</f>
        <v>1947728</v>
      </c>
      <c r="M159" s="34">
        <f ca="1">OFFSET(Org_dat!$F$5,$H159,0)</f>
        <v>14334.75</v>
      </c>
      <c r="N159" s="35">
        <f ca="1">OFFSET(Org_dat!$G$5,$H159,0)</f>
        <v>7.3597288738468615E-3</v>
      </c>
      <c r="O159" s="35">
        <f ca="1">OFFSET(Org_dat!$H$5,$H159,0)</f>
        <v>0.17460000000000001</v>
      </c>
      <c r="P159" s="34">
        <f ca="1">OFFSET(Org_dat!$I$5,$H159,0)</f>
        <v>62657.69</v>
      </c>
      <c r="Q159" s="35">
        <f ca="1">OFFSET(Org_dat!$J$5,$H159,0)</f>
        <v>3.2169630461748255E-2</v>
      </c>
      <c r="R159" s="35">
        <f ca="1">OFFSET(Org_dat!$K$5,$H159,0)</f>
        <v>0.18424759714632447</v>
      </c>
      <c r="S159" s="34">
        <f ca="1">OFFSET(Org_dat!$L$5,$H159,0)</f>
        <v>39597.14</v>
      </c>
      <c r="T159" s="35">
        <f ca="1">OFFSET(Org_dat!$M$5,$H159,0)</f>
        <v>0.38723980079962972</v>
      </c>
    </row>
    <row r="160" spans="2:20" x14ac:dyDescent="0.2">
      <c r="B160" s="342">
        <f>Org_dat!K156+(C160/100000)</f>
        <v>6.1321265614504621E-2</v>
      </c>
      <c r="C160" s="31">
        <f>Org_dat!B156</f>
        <v>151</v>
      </c>
      <c r="D160" s="32" t="str">
        <f>Org_dat!C156</f>
        <v>ZŠ O-Polanka n/O</v>
      </c>
      <c r="E160" s="33">
        <f ca="1">OFFSET(Org_dat!$C156,0,OrgSortCriteria)</f>
        <v>3.6100195705262714</v>
      </c>
      <c r="F160" s="33">
        <f t="shared" ca="1" si="18"/>
        <v>3.6100195705875926</v>
      </c>
      <c r="G160" s="33">
        <f t="shared" ca="1" si="16"/>
        <v>10.90850117853936</v>
      </c>
      <c r="H160" s="31">
        <f t="shared" ca="1" si="17"/>
        <v>45</v>
      </c>
      <c r="J160" s="32" t="str">
        <f ca="1">OFFSET(Org_dat!$C$5,$H160,0)</f>
        <v>MŠ Dvořákova</v>
      </c>
      <c r="K160" s="158">
        <f ca="1">OFFSET(Org_dat!$D$5,$H160,0)</f>
        <v>10.908501178357103</v>
      </c>
      <c r="L160" s="34">
        <f ca="1">OFFSET(Org_dat!$E$5,$H160,0)</f>
        <v>316000</v>
      </c>
      <c r="M160" s="34">
        <f ca="1">OFFSET(Org_dat!$F$5,$H160,0)</f>
        <v>0</v>
      </c>
      <c r="N160" s="35">
        <f ca="1">OFFSET(Org_dat!$G$5,$H160,0)</f>
        <v>0</v>
      </c>
      <c r="O160" s="35">
        <f ca="1">OFFSET(Org_dat!$H$5,$H160,0)</f>
        <v>5.21E-2</v>
      </c>
      <c r="P160" s="34">
        <f ca="1">OFFSET(Org_dat!$I$5,$H160,0)</f>
        <v>2993.22</v>
      </c>
      <c r="Q160" s="35">
        <f ca="1">OFFSET(Org_dat!$J$5,$H160,0)</f>
        <v>9.4722151898734164E-3</v>
      </c>
      <c r="R160" s="35">
        <f ca="1">OFFSET(Org_dat!$K$5,$H160,0)</f>
        <v>0.18180835297261838</v>
      </c>
      <c r="S160" s="34">
        <f ca="1">OFFSET(Org_dat!$L$5,$H160,0)</f>
        <v>4027.2</v>
      </c>
      <c r="T160" s="35">
        <f ca="1">OFFSET(Org_dat!$M$5,$H160,0)</f>
        <v>0.57364089327988921</v>
      </c>
    </row>
    <row r="161" spans="2:21" x14ac:dyDescent="0.2">
      <c r="B161" s="342">
        <f>Org_dat!K157+(C161/100000)</f>
        <v>0.17596523450132459</v>
      </c>
      <c r="C161" s="31">
        <f>Org_dat!B157</f>
        <v>152</v>
      </c>
      <c r="D161" s="32" t="str">
        <f>Org_dat!C157</f>
        <v>ZŠ O-Poruba, A.Hrdličky</v>
      </c>
      <c r="E161" s="33">
        <f ca="1">OFFSET(Org_dat!$C157,0,OrgSortCriteria)</f>
        <v>35.549699668075718</v>
      </c>
      <c r="F161" s="33">
        <f t="shared" ca="1" si="18"/>
        <v>35.549699668251684</v>
      </c>
      <c r="G161" s="33">
        <f t="shared" ca="1" si="16"/>
        <v>10.563295548775201</v>
      </c>
      <c r="H161" s="31">
        <f t="shared" ca="1" si="17"/>
        <v>85</v>
      </c>
      <c r="J161" s="32" t="str">
        <f ca="1">OFFSET(Org_dat!$C$5,$H161,0)</f>
        <v>MŠ Za Školou</v>
      </c>
      <c r="K161" s="158">
        <f ca="1">OFFSET(Org_dat!$D$5,$H161,0)</f>
        <v>10.563295548609734</v>
      </c>
      <c r="L161" s="34">
        <f ca="1">OFFSET(Org_dat!$E$5,$H161,0)</f>
        <v>2190250</v>
      </c>
      <c r="M161" s="34">
        <f ca="1">OFFSET(Org_dat!$F$5,$H161,0)</f>
        <v>30060.23</v>
      </c>
      <c r="N161" s="35">
        <f ca="1">OFFSET(Org_dat!$G$5,$H161,0)</f>
        <v>1.3724565688848304E-2</v>
      </c>
      <c r="O161" s="35">
        <f ca="1">OFFSET(Org_dat!$H$5,$H161,0)</f>
        <v>0.29199999999999998</v>
      </c>
      <c r="P161" s="34">
        <f ca="1">OFFSET(Org_dat!$I$5,$H161,0)</f>
        <v>105281.8</v>
      </c>
      <c r="Q161" s="35">
        <f ca="1">OFFSET(Org_dat!$J$5,$H161,0)</f>
        <v>4.8068394018947608E-2</v>
      </c>
      <c r="R161" s="35">
        <f ca="1">OFFSET(Org_dat!$K$5,$H161,0)</f>
        <v>0.16461778773612196</v>
      </c>
      <c r="S161" s="34">
        <f ca="1">OFFSET(Org_dat!$L$5,$H161,0)</f>
        <v>67618.37</v>
      </c>
      <c r="T161" s="35">
        <f ca="1">OFFSET(Org_dat!$M$5,$H161,0)</f>
        <v>0.39108330547043418</v>
      </c>
    </row>
    <row r="162" spans="2:21" x14ac:dyDescent="0.2">
      <c r="B162" s="342">
        <f>Org_dat!K158+(C162/100000)</f>
        <v>0.15717212310922177</v>
      </c>
      <c r="C162" s="31">
        <f>Org_dat!B158</f>
        <v>153</v>
      </c>
      <c r="D162" s="32" t="str">
        <f>Org_dat!C158</f>
        <v>ZŠ O-Poruba, Bulharská</v>
      </c>
      <c r="E162" s="33">
        <f ca="1">OFFSET(Org_dat!$C158,0,OrgSortCriteria)</f>
        <v>23.609571228046836</v>
      </c>
      <c r="F162" s="33">
        <f t="shared" ca="1" si="18"/>
        <v>23.609571228204008</v>
      </c>
      <c r="G162" s="33">
        <f t="shared" ca="1" si="16"/>
        <v>9.514684764136776</v>
      </c>
      <c r="H162" s="31">
        <f t="shared" ca="1" si="17"/>
        <v>101</v>
      </c>
      <c r="J162" s="32" t="str">
        <f ca="1">OFFSET(Org_dat!$C$5,$H162,0)</f>
        <v>ÚMOb Hrabová</v>
      </c>
      <c r="K162" s="158">
        <f ca="1">OFFSET(Org_dat!$D$5,$H162,0)</f>
        <v>9.5146847639782077</v>
      </c>
      <c r="L162" s="34">
        <f ca="1">OFFSET(Org_dat!$E$5,$H162,0)</f>
        <v>6137500</v>
      </c>
      <c r="M162" s="34">
        <f ca="1">OFFSET(Org_dat!$F$5,$H162,0)</f>
        <v>7508.54</v>
      </c>
      <c r="N162" s="35">
        <f ca="1">OFFSET(Org_dat!$G$5,$H162,0)</f>
        <v>1.2233873727087576E-3</v>
      </c>
      <c r="O162" s="35">
        <f ca="1">OFFSET(Org_dat!$H$5,$H162,0)</f>
        <v>0.24360000000000001</v>
      </c>
      <c r="P162" s="34">
        <f ca="1">OFFSET(Org_dat!$I$5,$H162,0)</f>
        <v>235565.06</v>
      </c>
      <c r="Q162" s="35">
        <f ca="1">OFFSET(Org_dat!$J$5,$H162,0)</f>
        <v>3.838127250509165E-2</v>
      </c>
      <c r="R162" s="35">
        <f ca="1">OFFSET(Org_dat!$K$5,$H162,0)</f>
        <v>0.1575585899223795</v>
      </c>
      <c r="S162" s="34">
        <f ca="1">OFFSET(Org_dat!$L$5,$H162,0)</f>
        <v>190220.34000000003</v>
      </c>
      <c r="T162" s="35">
        <f ca="1">OFFSET(Org_dat!$M$5,$H162,0)</f>
        <v>0.44675167349561545</v>
      </c>
    </row>
    <row r="163" spans="2:21" x14ac:dyDescent="0.2">
      <c r="B163" s="342">
        <f>Org_dat!K159+(C163/100000)</f>
        <v>1.1270990169608863</v>
      </c>
      <c r="C163" s="31">
        <f>Org_dat!B159</f>
        <v>154</v>
      </c>
      <c r="D163" s="32" t="str">
        <f>Org_dat!C159</f>
        <v>ZŠ O-Poruba, Dětská</v>
      </c>
      <c r="E163" s="33">
        <f ca="1">OFFSET(Org_dat!$C159,0,OrgSortCriteria)</f>
        <v>87.996279132791329</v>
      </c>
      <c r="F163" s="33">
        <f t="shared" ca="1" si="18"/>
        <v>87.996279133918435</v>
      </c>
      <c r="G163" s="33">
        <f t="shared" ca="1" si="16"/>
        <v>9.3922840837413748</v>
      </c>
      <c r="H163" s="31">
        <f t="shared" ca="1" si="17"/>
        <v>84</v>
      </c>
      <c r="J163" s="32" t="str">
        <f ca="1">OFFSET(Org_dat!$C$5,$H163,0)</f>
        <v>MŠ Volgogradská</v>
      </c>
      <c r="K163" s="158">
        <f ca="1">OFFSET(Org_dat!$D$5,$H163,0)</f>
        <v>9.3922840835948751</v>
      </c>
      <c r="L163" s="34">
        <f ca="1">OFFSET(Org_dat!$E$5,$H163,0)</f>
        <v>1885500</v>
      </c>
      <c r="M163" s="34">
        <f ca="1">OFFSET(Org_dat!$F$5,$H163,0)</f>
        <v>24614.46</v>
      </c>
      <c r="N163" s="35">
        <f ca="1">OFFSET(Org_dat!$G$5,$H163,0)</f>
        <v>1.3054606205250596E-2</v>
      </c>
      <c r="O163" s="35">
        <f ca="1">OFFSET(Org_dat!$H$5,$H163,0)</f>
        <v>0.20949999999999999</v>
      </c>
      <c r="P163" s="34">
        <f ca="1">OFFSET(Org_dat!$I$5,$H163,0)</f>
        <v>57537.18</v>
      </c>
      <c r="Q163" s="35">
        <f ca="1">OFFSET(Org_dat!$J$5,$H163,0)</f>
        <v>3.0515608591885443E-2</v>
      </c>
      <c r="R163" s="35">
        <f ca="1">OFFSET(Org_dat!$K$5,$H163,0)</f>
        <v>0.14565922955553909</v>
      </c>
      <c r="S163" s="34">
        <f ca="1">OFFSET(Org_dat!$L$5,$H163,0)</f>
        <v>31686.75</v>
      </c>
      <c r="T163" s="35">
        <f ca="1">OFFSET(Org_dat!$M$5,$H163,0)</f>
        <v>0.355137349363562</v>
      </c>
    </row>
    <row r="164" spans="2:21" x14ac:dyDescent="0.2">
      <c r="B164" s="342">
        <f>Org_dat!K160+(C164/100000)</f>
        <v>0.73511120491416027</v>
      </c>
      <c r="C164" s="31">
        <f>Org_dat!B160</f>
        <v>155</v>
      </c>
      <c r="D164" s="32" t="str">
        <f>Org_dat!C160</f>
        <v>ZŠ O-Poruba, I.Sekaniny</v>
      </c>
      <c r="E164" s="33">
        <f ca="1">OFFSET(Org_dat!$C160,0,OrgSortCriteria)</f>
        <v>61.160588106753686</v>
      </c>
      <c r="F164" s="33">
        <f t="shared" ca="1" si="18"/>
        <v>61.160588107488799</v>
      </c>
      <c r="G164" s="33">
        <f t="shared" ca="1" si="16"/>
        <v>8.551994456008579</v>
      </c>
      <c r="H164" s="31">
        <f t="shared" ca="1" si="17"/>
        <v>73</v>
      </c>
      <c r="J164" s="32" t="str">
        <f ca="1">OFFSET(Org_dat!$C$5,$H164,0)</f>
        <v>MŠ O-Stará Bělá</v>
      </c>
      <c r="K164" s="158">
        <f ca="1">OFFSET(Org_dat!$D$5,$H164,0)</f>
        <v>8.5519944558676908</v>
      </c>
      <c r="L164" s="34">
        <f ca="1">OFFSET(Org_dat!$E$5,$H164,0)</f>
        <v>775500</v>
      </c>
      <c r="M164" s="34">
        <f ca="1">OFFSET(Org_dat!$F$5,$H164,0)</f>
        <v>2209.42</v>
      </c>
      <c r="N164" s="35">
        <f ca="1">OFFSET(Org_dat!$G$5,$H164,0)</f>
        <v>2.8490264345583495E-3</v>
      </c>
      <c r="O164" s="35">
        <f ca="1">OFFSET(Org_dat!$H$5,$H164,0)</f>
        <v>0.1142</v>
      </c>
      <c r="P164" s="34">
        <f ca="1">OFFSET(Org_dat!$I$5,$H164,0)</f>
        <v>12412.78</v>
      </c>
      <c r="Q164" s="35">
        <f ca="1">OFFSET(Org_dat!$J$5,$H164,0)</f>
        <v>1.6006163765312702E-2</v>
      </c>
      <c r="R164" s="35">
        <f ca="1">OFFSET(Org_dat!$K$5,$H164,0)</f>
        <v>0.14015905223566291</v>
      </c>
      <c r="S164" s="34">
        <f ca="1">OFFSET(Org_dat!$L$5,$H164,0)</f>
        <v>8682.74</v>
      </c>
      <c r="T164" s="35">
        <f ca="1">OFFSET(Org_dat!$M$5,$H164,0)</f>
        <v>0.41159165547945725</v>
      </c>
    </row>
    <row r="165" spans="2:21" x14ac:dyDescent="0.2">
      <c r="B165" s="342">
        <f>Org_dat!K161+(C165/100000)</f>
        <v>0.35331863814429237</v>
      </c>
      <c r="C165" s="31">
        <f>Org_dat!B161</f>
        <v>156</v>
      </c>
      <c r="D165" s="32" t="str">
        <f>Org_dat!C161</f>
        <v>ZŠ O-Poruba, J.Šoupala</v>
      </c>
      <c r="E165" s="33">
        <f ca="1">OFFSET(Org_dat!$C161,0,OrgSortCriteria)</f>
        <v>45.897499234317387</v>
      </c>
      <c r="F165" s="33">
        <f t="shared" ca="1" si="18"/>
        <v>45.897499234670704</v>
      </c>
      <c r="G165" s="33">
        <f t="shared" ca="1" si="16"/>
        <v>8.448012062503345</v>
      </c>
      <c r="H165" s="31">
        <f t="shared" ca="1" si="17"/>
        <v>77</v>
      </c>
      <c r="J165" s="32" t="str">
        <f ca="1">OFFSET(Org_dat!$C$5,$H165,0)</f>
        <v>MŠ Repinova</v>
      </c>
      <c r="K165" s="158">
        <f ca="1">OFFSET(Org_dat!$D$5,$H165,0)</f>
        <v>8.4480120623669031</v>
      </c>
      <c r="L165" s="34">
        <f ca="1">OFFSET(Org_dat!$E$5,$H165,0)</f>
        <v>724000</v>
      </c>
      <c r="M165" s="34">
        <f ca="1">OFFSET(Org_dat!$F$5,$H165,0)</f>
        <v>4455.84</v>
      </c>
      <c r="N165" s="35">
        <f ca="1">OFFSET(Org_dat!$G$5,$H165,0)</f>
        <v>6.1544751381215476E-3</v>
      </c>
      <c r="O165" s="35">
        <f ca="1">OFFSET(Org_dat!$H$5,$H165,0)</f>
        <v>0.1484</v>
      </c>
      <c r="P165" s="34">
        <f ca="1">OFFSET(Org_dat!$I$5,$H165,0)</f>
        <v>14576.76</v>
      </c>
      <c r="Q165" s="35">
        <f ca="1">OFFSET(Org_dat!$J$5,$H165,0)</f>
        <v>2.013364640883978E-2</v>
      </c>
      <c r="R165" s="35">
        <f ca="1">OFFSET(Org_dat!$K$5,$H165,0)</f>
        <v>0.13567147175768043</v>
      </c>
      <c r="S165" s="34">
        <f ca="1">OFFSET(Org_dat!$L$5,$H165,0)</f>
        <v>13252.470000000001</v>
      </c>
      <c r="T165" s="35">
        <f ca="1">OFFSET(Org_dat!$M$5,$H165,0)</f>
        <v>0.47620685157296838</v>
      </c>
    </row>
    <row r="166" spans="2:21" x14ac:dyDescent="0.2">
      <c r="B166" s="342">
        <f>Org_dat!K162+(C166/100000)</f>
        <v>0.51359751835447931</v>
      </c>
      <c r="C166" s="31">
        <f>Org_dat!B162</f>
        <v>157</v>
      </c>
      <c r="D166" s="32" t="str">
        <f>Org_dat!C162</f>
        <v>ZŠ O-Poruba, J.Valčíka</v>
      </c>
      <c r="E166" s="33">
        <f ca="1">OFFSET(Org_dat!$C162,0,OrgSortCriteria)</f>
        <v>35.779030477289076</v>
      </c>
      <c r="F166" s="33">
        <f t="shared" ca="1" si="18"/>
        <v>35.779030477802671</v>
      </c>
      <c r="G166" s="33">
        <f t="shared" ca="1" si="16"/>
        <v>8.4051166473096401</v>
      </c>
      <c r="H166" s="31">
        <f t="shared" ca="1" si="17"/>
        <v>143</v>
      </c>
      <c r="J166" s="32" t="str">
        <f ca="1">OFFSET(Org_dat!$C$5,$H166,0)</f>
        <v>ZŠ O-Hrabová, Paskovská</v>
      </c>
      <c r="K166" s="158">
        <f ca="1">OFFSET(Org_dat!$D$5,$H166,0)</f>
        <v>8.4051166471681249</v>
      </c>
      <c r="L166" s="34">
        <f ca="1">OFFSET(Org_dat!$E$5,$H166,0)</f>
        <v>2376000</v>
      </c>
      <c r="M166" s="34">
        <f ca="1">OFFSET(Org_dat!$F$5,$H166,0)</f>
        <v>0</v>
      </c>
      <c r="N166" s="35">
        <f ca="1">OFFSET(Org_dat!$G$5,$H166,0)</f>
        <v>0</v>
      </c>
      <c r="O166" s="35">
        <f ca="1">OFFSET(Org_dat!$H$5,$H166,0)</f>
        <v>0.26419999999999999</v>
      </c>
      <c r="P166" s="34">
        <f ca="1">OFFSET(Org_dat!$I$5,$H166,0)</f>
        <v>87937.02</v>
      </c>
      <c r="Q166" s="35">
        <f ca="1">OFFSET(Org_dat!$J$5,$H166,0)</f>
        <v>3.7010530303030302E-2</v>
      </c>
      <c r="R166" s="35">
        <f ca="1">OFFSET(Org_dat!$K$5,$H166,0)</f>
        <v>0.14008527745280208</v>
      </c>
      <c r="S166" s="34">
        <f ca="1">OFFSET(Org_dat!$L$5,$H166,0)</f>
        <v>64415.58</v>
      </c>
      <c r="T166" s="35">
        <f ca="1">OFFSET(Org_dat!$M$5,$H166,0)</f>
        <v>0.42280591207501544</v>
      </c>
    </row>
    <row r="167" spans="2:21" x14ac:dyDescent="0.2">
      <c r="B167" s="342">
        <f>Org_dat!K163+(C167/100000)</f>
        <v>9.0516921923853744E-2</v>
      </c>
      <c r="C167" s="31">
        <f>Org_dat!B163</f>
        <v>158</v>
      </c>
      <c r="D167" s="32" t="str">
        <f>Org_dat!C163</f>
        <v>ZŠ O-Poruba, K.Pokorného</v>
      </c>
      <c r="E167" s="33">
        <f ca="1">OFFSET(Org_dat!$C163,0,OrgSortCriteria)</f>
        <v>21.24169101552156</v>
      </c>
      <c r="F167" s="33">
        <f t="shared" ca="1" si="18"/>
        <v>21.241691015612076</v>
      </c>
      <c r="G167" s="33">
        <f t="shared" ca="1" si="16"/>
        <v>8.1813114181559374</v>
      </c>
      <c r="H167" s="31">
        <f t="shared" ca="1" si="17"/>
        <v>119</v>
      </c>
      <c r="J167" s="32" t="str">
        <f ca="1">OFFSET(Org_dat!$C$5,$H167,0)</f>
        <v>ÚMOb Stará Bělá</v>
      </c>
      <c r="K167" s="158">
        <f ca="1">OFFSET(Org_dat!$D$5,$H167,0)</f>
        <v>8.1813114180393729</v>
      </c>
      <c r="L167" s="34">
        <f ca="1">OFFSET(Org_dat!$E$5,$H167,0)</f>
        <v>1806500</v>
      </c>
      <c r="M167" s="34">
        <f ca="1">OFFSET(Org_dat!$F$5,$H167,0)</f>
        <v>45481.22</v>
      </c>
      <c r="N167" s="35">
        <f ca="1">OFFSET(Org_dat!$G$5,$H167,0)</f>
        <v>2.5176429559922504E-2</v>
      </c>
      <c r="O167" s="35">
        <f ca="1">OFFSET(Org_dat!$H$5,$H167,0)</f>
        <v>0.25922545144779635</v>
      </c>
      <c r="P167" s="34">
        <f ca="1">OFFSET(Org_dat!$I$5,$H167,0)</f>
        <v>54028.97</v>
      </c>
      <c r="Q167" s="35">
        <f ca="1">OFFSET(Org_dat!$J$5,$H167,0)</f>
        <v>2.9908092997508996E-2</v>
      </c>
      <c r="R167" s="35">
        <f ca="1">OFFSET(Org_dat!$K$5,$H167,0)</f>
        <v>0.11537483233405413</v>
      </c>
      <c r="S167" s="34">
        <f ca="1">OFFSET(Org_dat!$L$5,$H167,0)</f>
        <v>51044.31</v>
      </c>
      <c r="T167" s="35">
        <f ca="1">OFFSET(Org_dat!$M$5,$H167,0)</f>
        <v>0.4857972455033287</v>
      </c>
    </row>
    <row r="168" spans="2:21" x14ac:dyDescent="0.2">
      <c r="B168" s="342">
        <f>Org_dat!K164+(C168/100000)</f>
        <v>0.73018737344457008</v>
      </c>
      <c r="C168" s="31">
        <f>Org_dat!B164</f>
        <v>159</v>
      </c>
      <c r="D168" s="32" t="str">
        <f>Org_dat!C164</f>
        <v>ZŠ O-Poruba, Komenského</v>
      </c>
      <c r="E168" s="33">
        <f ca="1">OFFSET(Org_dat!$C164,0,OrgSortCriteria)</f>
        <v>83.715842406674199</v>
      </c>
      <c r="F168" s="33">
        <f t="shared" ca="1" si="18"/>
        <v>83.715842407404381</v>
      </c>
      <c r="G168" s="33">
        <f t="shared" ca="1" si="16"/>
        <v>6.9579310453878529</v>
      </c>
      <c r="H168" s="31">
        <f t="shared" ca="1" si="17"/>
        <v>167</v>
      </c>
      <c r="J168" s="32" t="str">
        <f ca="1">OFFSET(Org_dat!$C$5,$H168,0)</f>
        <v>ZŠ O-Zábřeh, Jugoslávská</v>
      </c>
      <c r="K168" s="158">
        <f ca="1">OFFSET(Org_dat!$D$5,$H168,0)</f>
        <v>6.9579310452741376</v>
      </c>
      <c r="L168" s="34">
        <f ca="1">OFFSET(Org_dat!$E$5,$H168,0)</f>
        <v>2230750</v>
      </c>
      <c r="M168" s="34">
        <f ca="1">OFFSET(Org_dat!$F$5,$H168,0)</f>
        <v>10494.32</v>
      </c>
      <c r="N168" s="35">
        <f ca="1">OFFSET(Org_dat!$G$5,$H168,0)</f>
        <v>4.7043908999215506E-3</v>
      </c>
      <c r="O168" s="35">
        <f ca="1">OFFSET(Org_dat!$H$5,$H168,0)</f>
        <v>0.1696</v>
      </c>
      <c r="P168" s="34">
        <f ca="1">OFFSET(Org_dat!$I$5,$H168,0)</f>
        <v>42390.64</v>
      </c>
      <c r="Q168" s="35">
        <f ca="1">OFFSET(Org_dat!$J$5,$H168,0)</f>
        <v>1.9002864507452651E-2</v>
      </c>
      <c r="R168" s="35">
        <f ca="1">OFFSET(Org_dat!$K$5,$H168,0)</f>
        <v>0.112045191671301</v>
      </c>
      <c r="S168" s="34">
        <f ca="1">OFFSET(Org_dat!$L$5,$H168,0)</f>
        <v>40833.109999999993</v>
      </c>
      <c r="T168" s="35">
        <f ca="1">OFFSET(Org_dat!$M$5,$H168,0)</f>
        <v>0.49064251490710276</v>
      </c>
    </row>
    <row r="169" spans="2:21" x14ac:dyDescent="0.2">
      <c r="B169" s="342">
        <f>Org_dat!K165+(C169/100000)</f>
        <v>0.952645981885338</v>
      </c>
      <c r="C169" s="31">
        <f>Org_dat!B165</f>
        <v>160</v>
      </c>
      <c r="D169" s="32" t="str">
        <f>Org_dat!C165</f>
        <v>ZŠ O-Poruba, Porubská 832</v>
      </c>
      <c r="E169" s="33">
        <f ca="1">OFFSET(Org_dat!$C165,0,OrgSortCriteria)</f>
        <v>70.689667553627615</v>
      </c>
      <c r="F169" s="33">
        <f t="shared" ca="1" si="18"/>
        <v>70.689667554580268</v>
      </c>
      <c r="G169" s="33">
        <f t="shared" ca="1" si="16"/>
        <v>5.9421321118874335</v>
      </c>
      <c r="H169" s="31">
        <f t="shared" ca="1" si="17"/>
        <v>81</v>
      </c>
      <c r="J169" s="32" t="str">
        <f ca="1">OFFSET(Org_dat!$C$5,$H169,0)</f>
        <v>MŠ Špálova</v>
      </c>
      <c r="K169" s="158">
        <f ca="1">OFFSET(Org_dat!$D$5,$H169,0)</f>
        <v>5.942132111787588</v>
      </c>
      <c r="L169" s="34">
        <f ca="1">OFFSET(Org_dat!$E$5,$H169,0)</f>
        <v>535500</v>
      </c>
      <c r="M169" s="34">
        <f ca="1">OFFSET(Org_dat!$F$5,$H169,0)</f>
        <v>0</v>
      </c>
      <c r="N169" s="35">
        <f ca="1">OFFSET(Org_dat!$G$5,$H169,0)</f>
        <v>0</v>
      </c>
      <c r="O169" s="35">
        <f ca="1">OFFSET(Org_dat!$H$5,$H169,0)</f>
        <v>0.18729999999999999</v>
      </c>
      <c r="P169" s="34">
        <f ca="1">OFFSET(Org_dat!$I$5,$H169,0)</f>
        <v>9933.18</v>
      </c>
      <c r="Q169" s="35">
        <f ca="1">OFFSET(Org_dat!$J$5,$H169,0)</f>
        <v>1.8549355742296918E-2</v>
      </c>
      <c r="R169" s="35">
        <f ca="1">OFFSET(Org_dat!$K$5,$H169,0)</f>
        <v>9.9035535196459801E-2</v>
      </c>
      <c r="S169" s="34">
        <f ca="1">OFFSET(Org_dat!$L$5,$H169,0)</f>
        <v>8859.9</v>
      </c>
      <c r="T169" s="35">
        <f ca="1">OFFSET(Org_dat!$M$5,$H169,0)</f>
        <v>0.47144480840820124</v>
      </c>
    </row>
    <row r="170" spans="2:21" x14ac:dyDescent="0.2">
      <c r="B170" s="342">
        <f>Org_dat!K166+(C170/100000)</f>
        <v>0.96448071488613807</v>
      </c>
      <c r="C170" s="31">
        <f>Org_dat!B166</f>
        <v>161</v>
      </c>
      <c r="D170" s="32" t="str">
        <f>Org_dat!C166</f>
        <v>ZŠ O-Poruba, Ukrajinská</v>
      </c>
      <c r="E170" s="33">
        <f ca="1">OFFSET(Org_dat!$C166,0,OrgSortCriteria)</f>
        <v>62.626519276103579</v>
      </c>
      <c r="F170" s="33">
        <f t="shared" ca="1" si="18"/>
        <v>62.626519277068063</v>
      </c>
      <c r="G170" s="33">
        <f t="shared" ref="G170:G185" ca="1" si="19">IF(ISERROR(LARGE($F$10:$F$185,C170)),0,LARGE($F$10:$F$185,C170))</f>
        <v>5.7031843263423712</v>
      </c>
      <c r="H170" s="31">
        <f t="shared" ref="H170:H185" ca="1" si="20">MATCH(G170,$F$10:$F$185,0)</f>
        <v>125</v>
      </c>
      <c r="J170" s="32" t="str">
        <f ca="1">OFFSET(Org_dat!$C$5,$H170,0)</f>
        <v>ZŠ a MŠ O-Hošťálkovice</v>
      </c>
      <c r="K170" s="158">
        <f ca="1">OFFSET(Org_dat!$D$5,$H170,0)</f>
        <v>5.7031843262460677</v>
      </c>
      <c r="L170" s="34">
        <f ca="1">OFFSET(Org_dat!$E$5,$H170,0)</f>
        <v>1773500</v>
      </c>
      <c r="M170" s="34">
        <f ca="1">OFFSET(Org_dat!$F$5,$H170,0)</f>
        <v>0</v>
      </c>
      <c r="N170" s="35">
        <f ca="1">OFFSET(Org_dat!$G$5,$H170,0)</f>
        <v>0</v>
      </c>
      <c r="O170" s="35">
        <f ca="1">OFFSET(Org_dat!$H$5,$H170,0)</f>
        <v>0.24640000000000001</v>
      </c>
      <c r="P170" s="34">
        <f ca="1">OFFSET(Org_dat!$I$5,$H170,0)</f>
        <v>41537.279999999999</v>
      </c>
      <c r="Q170" s="35">
        <f ca="1">OFFSET(Org_dat!$J$5,$H170,0)</f>
        <v>2.3421076966450519E-2</v>
      </c>
      <c r="R170" s="35">
        <f ca="1">OFFSET(Org_dat!$K$5,$H170,0)</f>
        <v>9.5053072104101133E-2</v>
      </c>
      <c r="S170" s="34">
        <f ca="1">OFFSET(Org_dat!$L$5,$H170,0)</f>
        <v>25575.66</v>
      </c>
      <c r="T170" s="35">
        <f ca="1">OFFSET(Org_dat!$M$5,$H170,0)</f>
        <v>0.38108388635634199</v>
      </c>
    </row>
    <row r="171" spans="2:21" x14ac:dyDescent="0.2">
      <c r="B171" s="342">
        <f>Org_dat!K167+(C171/100000)</f>
        <v>1.3831794745017272</v>
      </c>
      <c r="C171" s="31">
        <f>Org_dat!B167</f>
        <v>162</v>
      </c>
      <c r="D171" s="32" t="str">
        <f>Org_dat!C167</f>
        <v>ZŠ O-Radvanice, Vrchlického</v>
      </c>
      <c r="E171" s="33">
        <f ca="1">OFFSET(Org_dat!$C167,0,OrgSortCriteria)</f>
        <v>69.524546646921934</v>
      </c>
      <c r="F171" s="33">
        <f t="shared" ca="1" si="18"/>
        <v>69.524546648305119</v>
      </c>
      <c r="G171" s="33">
        <f t="shared" ca="1" si="19"/>
        <v>5.6568092922087603</v>
      </c>
      <c r="H171" s="31">
        <f t="shared" ca="1" si="20"/>
        <v>165</v>
      </c>
      <c r="J171" s="32" t="str">
        <f ca="1">OFFSET(Org_dat!$C$5,$H171,0)</f>
        <v>ZŠ O-Výškovice, Srbská</v>
      </c>
      <c r="K171" s="158">
        <f ca="1">OFFSET(Org_dat!$D$5,$H171,0)</f>
        <v>5.6568092921128299</v>
      </c>
      <c r="L171" s="34">
        <f ca="1">OFFSET(Org_dat!$E$5,$H171,0)</f>
        <v>2110500</v>
      </c>
      <c r="M171" s="34">
        <f ca="1">OFFSET(Org_dat!$F$5,$H171,0)</f>
        <v>0</v>
      </c>
      <c r="N171" s="35">
        <f ca="1">OFFSET(Org_dat!$G$5,$H171,0)</f>
        <v>0</v>
      </c>
      <c r="O171" s="35">
        <f ca="1">OFFSET(Org_dat!$H$5,$H171,0)</f>
        <v>0.21809999999999999</v>
      </c>
      <c r="P171" s="34">
        <f ca="1">OFFSET(Org_dat!$I$5,$H171,0)</f>
        <v>43397.16</v>
      </c>
      <c r="Q171" s="35">
        <f ca="1">OFFSET(Org_dat!$J$5,$H171,0)</f>
        <v>2.0562501776830135E-2</v>
      </c>
      <c r="R171" s="35">
        <f ca="1">OFFSET(Org_dat!$K$5,$H171,0)</f>
        <v>9.428015486854717E-2</v>
      </c>
      <c r="S171" s="34">
        <f ca="1">OFFSET(Org_dat!$L$5,$H171,0)</f>
        <v>31538.1</v>
      </c>
      <c r="T171" s="35">
        <f ca="1">OFFSET(Org_dat!$M$5,$H171,0)</f>
        <v>0.42087129610279589</v>
      </c>
      <c r="U171" s="19"/>
    </row>
    <row r="172" spans="2:21" x14ac:dyDescent="0.2">
      <c r="B172" s="342">
        <f>Org_dat!K168+(C172/100000)</f>
        <v>1.3263848192567274</v>
      </c>
      <c r="C172" s="31">
        <f>Org_dat!B168</f>
        <v>163</v>
      </c>
      <c r="D172" s="32" t="str">
        <f>Org_dat!C168</f>
        <v>ZŠ O-Stará Bělá</v>
      </c>
      <c r="E172" s="33">
        <f ca="1">OFFSET(Org_dat!$C168,0,OrgSortCriteria)</f>
        <v>100</v>
      </c>
      <c r="F172" s="33">
        <f t="shared" ca="1" si="18"/>
        <v>100.00000000132638</v>
      </c>
      <c r="G172" s="33">
        <f t="shared" ca="1" si="19"/>
        <v>4.8313155664044727</v>
      </c>
      <c r="H172" s="31">
        <f t="shared" ca="1" si="20"/>
        <v>51</v>
      </c>
      <c r="J172" s="32" t="str">
        <f ca="1">OFFSET(Org_dat!$C$5,$H172,0)</f>
        <v>MŠ Komerční</v>
      </c>
      <c r="K172" s="158">
        <f ca="1">OFFSET(Org_dat!$D$5,$H172,0)</f>
        <v>4.8313155663234406</v>
      </c>
      <c r="L172" s="34">
        <f ca="1">OFFSET(Org_dat!$E$5,$H172,0)</f>
        <v>1270000</v>
      </c>
      <c r="M172" s="34">
        <f ca="1">OFFSET(Org_dat!$F$5,$H172,0)</f>
        <v>0</v>
      </c>
      <c r="N172" s="35">
        <f ca="1">OFFSET(Org_dat!$G$5,$H172,0)</f>
        <v>0</v>
      </c>
      <c r="O172" s="35">
        <f ca="1">OFFSET(Org_dat!$H$5,$H172,0)</f>
        <v>0.26</v>
      </c>
      <c r="P172" s="34">
        <f ca="1">OFFSET(Org_dat!$I$5,$H172,0)</f>
        <v>26588.34</v>
      </c>
      <c r="Q172" s="35">
        <f ca="1">OFFSET(Org_dat!$J$5,$H172,0)</f>
        <v>2.0935700787401576E-2</v>
      </c>
      <c r="R172" s="35">
        <f ca="1">OFFSET(Org_dat!$K$5,$H172,0)</f>
        <v>8.0521926105390676E-2</v>
      </c>
      <c r="S172" s="34">
        <f ca="1">OFFSET(Org_dat!$L$5,$H172,0)</f>
        <v>16919.400000000001</v>
      </c>
      <c r="T172" s="35">
        <f ca="1">OFFSET(Org_dat!$M$5,$H172,0)</f>
        <v>0.38888252986709948</v>
      </c>
    </row>
    <row r="173" spans="2:21" x14ac:dyDescent="0.2">
      <c r="B173" s="342">
        <f>Org_dat!K169+(C173/100000)</f>
        <v>0.5497560229499876</v>
      </c>
      <c r="C173" s="31">
        <f>Org_dat!B169</f>
        <v>164</v>
      </c>
      <c r="D173" s="32" t="str">
        <f>Org_dat!C169</f>
        <v>ZŠ O-Vítkovice, Šalounova</v>
      </c>
      <c r="E173" s="33">
        <f ca="1">OFFSET(Org_dat!$C169,0,OrgSortCriteria)</f>
        <v>72.886961376999267</v>
      </c>
      <c r="F173" s="33">
        <f t="shared" ca="1" si="18"/>
        <v>72.886961377549028</v>
      </c>
      <c r="G173" s="33">
        <f t="shared" ca="1" si="19"/>
        <v>4.6780749321512305</v>
      </c>
      <c r="H173" s="31">
        <f t="shared" ca="1" si="20"/>
        <v>133</v>
      </c>
      <c r="J173" s="32" t="str">
        <f ca="1">OFFSET(Org_dat!$C$5,$H173,0)</f>
        <v>ZŠ a MŠ O-Výškovice, Šeříková</v>
      </c>
      <c r="K173" s="158">
        <f ca="1">OFFSET(Org_dat!$D$5,$H173,0)</f>
        <v>4.6780749320719321</v>
      </c>
      <c r="L173" s="34">
        <f ca="1">OFFSET(Org_dat!$E$5,$H173,0)</f>
        <v>3876100</v>
      </c>
      <c r="M173" s="34">
        <f ca="1">OFFSET(Org_dat!$F$5,$H173,0)</f>
        <v>0</v>
      </c>
      <c r="N173" s="35">
        <f ca="1">OFFSET(Org_dat!$G$5,$H173,0)</f>
        <v>0</v>
      </c>
      <c r="O173" s="35">
        <f ca="1">OFFSET(Org_dat!$H$5,$H173,0)</f>
        <v>0.19409999999999999</v>
      </c>
      <c r="P173" s="34">
        <f ca="1">OFFSET(Org_dat!$I$5,$H173,0)</f>
        <v>58659.24</v>
      </c>
      <c r="Q173" s="35">
        <f ca="1">OFFSET(Org_dat!$J$5,$H173,0)</f>
        <v>1.5133572405252703E-2</v>
      </c>
      <c r="R173" s="35">
        <f ca="1">OFFSET(Org_dat!$K$5,$H173,0)</f>
        <v>7.7967915534532209E-2</v>
      </c>
      <c r="S173" s="34">
        <f ca="1">OFFSET(Org_dat!$L$5,$H173,0)</f>
        <v>47129.7</v>
      </c>
      <c r="T173" s="35">
        <f ca="1">OFFSET(Org_dat!$M$5,$H173,0)</f>
        <v>0.44550687434811237</v>
      </c>
    </row>
    <row r="174" spans="2:21" x14ac:dyDescent="0.2">
      <c r="B174" s="342">
        <f>Org_dat!K170+(C174/100000)</f>
        <v>9.5930154868547168E-2</v>
      </c>
      <c r="C174" s="31">
        <f>Org_dat!B170</f>
        <v>165</v>
      </c>
      <c r="D174" s="32" t="str">
        <f>Org_dat!C170</f>
        <v>ZŠ O-Výškovice, Srbská</v>
      </c>
      <c r="E174" s="33">
        <f ca="1">OFFSET(Org_dat!$C170,0,OrgSortCriteria)</f>
        <v>5.6568092921128299</v>
      </c>
      <c r="F174" s="33">
        <f t="shared" ca="1" si="18"/>
        <v>5.6568092922087603</v>
      </c>
      <c r="G174" s="33">
        <f t="shared" ca="1" si="19"/>
        <v>4.3252762671226312</v>
      </c>
      <c r="H174" s="31">
        <f t="shared" ca="1" si="20"/>
        <v>138</v>
      </c>
      <c r="J174" s="32" t="str">
        <f ca="1">OFFSET(Org_dat!$C$5,$H174,0)</f>
        <v>ZŠ a MŠ O-Zábřeh, Volgogradská</v>
      </c>
      <c r="K174" s="158">
        <f ca="1">OFFSET(Org_dat!$D$5,$H174,0)</f>
        <v>4.3252762670508886</v>
      </c>
      <c r="L174" s="34">
        <f ca="1">OFFSET(Org_dat!$E$5,$H174,0)</f>
        <v>3293100</v>
      </c>
      <c r="M174" s="34">
        <f ca="1">OFFSET(Org_dat!$F$5,$H174,0)</f>
        <v>6816.3</v>
      </c>
      <c r="N174" s="35">
        <f ca="1">OFFSET(Org_dat!$G$5,$H174,0)</f>
        <v>2.0698733715951534E-3</v>
      </c>
      <c r="O174" s="35">
        <f ca="1">OFFSET(Org_dat!$H$5,$H174,0)</f>
        <v>0.1978</v>
      </c>
      <c r="P174" s="34">
        <f ca="1">OFFSET(Org_dat!$I$5,$H174,0)</f>
        <v>45832.740000000005</v>
      </c>
      <c r="Q174" s="35">
        <f ca="1">OFFSET(Org_dat!$J$5,$H174,0)</f>
        <v>1.391780996629316E-2</v>
      </c>
      <c r="R174" s="35">
        <f ca="1">OFFSET(Org_dat!$K$5,$H174,0)</f>
        <v>7.0363043307852174E-2</v>
      </c>
      <c r="S174" s="34">
        <f ca="1">OFFSET(Org_dat!$L$5,$H174,0)</f>
        <v>30983.190000000002</v>
      </c>
      <c r="T174" s="35">
        <f ca="1">OFFSET(Org_dat!$M$5,$H174,0)</f>
        <v>0.40334329090333215</v>
      </c>
    </row>
    <row r="175" spans="2:21" x14ac:dyDescent="0.2">
      <c r="B175" s="342">
        <f>Org_dat!K171+(C175/100000)</f>
        <v>0.30551084188258076</v>
      </c>
      <c r="C175" s="31">
        <f>Org_dat!B171</f>
        <v>166</v>
      </c>
      <c r="D175" s="32" t="str">
        <f>Org_dat!C171</f>
        <v>ZŠ O-Zábřeh, Chrjukinova</v>
      </c>
      <c r="E175" s="33">
        <f ca="1">OFFSET(Org_dat!$C171,0,OrgSortCriteria)</f>
        <v>18.231050512954845</v>
      </c>
      <c r="F175" s="33">
        <f t="shared" ca="1" si="18"/>
        <v>18.231050513260357</v>
      </c>
      <c r="G175" s="33">
        <f t="shared" ca="1" si="19"/>
        <v>3.6100195705875926</v>
      </c>
      <c r="H175" s="31">
        <f t="shared" ca="1" si="20"/>
        <v>151</v>
      </c>
      <c r="J175" s="32" t="str">
        <f ca="1">OFFSET(Org_dat!$C$5,$H175,0)</f>
        <v>ZŠ O-Polanka n/O</v>
      </c>
      <c r="K175" s="158">
        <f ca="1">OFFSET(Org_dat!$D$5,$H175,0)</f>
        <v>3.6100195705262714</v>
      </c>
      <c r="L175" s="34">
        <f ca="1">OFFSET(Org_dat!$E$5,$H175,0)</f>
        <v>2686000</v>
      </c>
      <c r="M175" s="34">
        <f ca="1">OFFSET(Org_dat!$F$5,$H175,0)</f>
        <v>1146.58</v>
      </c>
      <c r="N175" s="35">
        <f ca="1">OFFSET(Org_dat!$G$5,$H175,0)</f>
        <v>4.2687267311988081E-4</v>
      </c>
      <c r="O175" s="35">
        <f ca="1">OFFSET(Org_dat!$H$5,$H175,0)</f>
        <v>0.2288</v>
      </c>
      <c r="P175" s="34">
        <f ca="1">OFFSET(Org_dat!$I$5,$H175,0)</f>
        <v>36757.42</v>
      </c>
      <c r="Q175" s="35">
        <f ca="1">OFFSET(Org_dat!$J$5,$H175,0)</f>
        <v>1.368481757259866E-2</v>
      </c>
      <c r="R175" s="35">
        <f ca="1">OFFSET(Org_dat!$K$5,$H175,0)</f>
        <v>5.9811265614504623E-2</v>
      </c>
      <c r="S175" s="34">
        <f ca="1">OFFSET(Org_dat!$L$5,$H175,0)</f>
        <v>26061.350000000002</v>
      </c>
      <c r="T175" s="35">
        <f ca="1">OFFSET(Org_dat!$M$5,$H175,0)</f>
        <v>0.4148656524156713</v>
      </c>
    </row>
    <row r="176" spans="2:21" x14ac:dyDescent="0.2">
      <c r="B176" s="342">
        <f>Org_dat!K172+(C176/100000)</f>
        <v>0.11371519167130101</v>
      </c>
      <c r="C176" s="31">
        <f>Org_dat!B172</f>
        <v>167</v>
      </c>
      <c r="D176" s="32" t="str">
        <f>Org_dat!C172</f>
        <v>ZŠ O-Zábřeh, Jugoslávská</v>
      </c>
      <c r="E176" s="33">
        <f ca="1">OFFSET(Org_dat!$C172,0,OrgSortCriteria)</f>
        <v>6.9579310452741376</v>
      </c>
      <c r="F176" s="33">
        <f t="shared" ca="1" si="18"/>
        <v>6.9579310453878529</v>
      </c>
      <c r="G176" s="33">
        <f t="shared" ca="1" si="19"/>
        <v>3.5512149168996237</v>
      </c>
      <c r="H176" s="31">
        <f t="shared" ca="1" si="20"/>
        <v>52</v>
      </c>
      <c r="J176" s="32" t="str">
        <f ca="1">OFFSET(Org_dat!$C$5,$H176,0)</f>
        <v>MŠ Křižíkova</v>
      </c>
      <c r="K176" s="158">
        <f ca="1">OFFSET(Org_dat!$D$5,$H176,0)</f>
        <v>3.5512149168399167</v>
      </c>
      <c r="L176" s="34">
        <f ca="1">OFFSET(Org_dat!$E$5,$H176,0)</f>
        <v>888000</v>
      </c>
      <c r="M176" s="34">
        <f ca="1">OFFSET(Org_dat!$F$5,$H176,0)</f>
        <v>0</v>
      </c>
      <c r="N176" s="35">
        <f ca="1">OFFSET(Org_dat!$G$5,$H176,0)</f>
        <v>0</v>
      </c>
      <c r="O176" s="35">
        <f ca="1">OFFSET(Org_dat!$H$5,$H176,0)</f>
        <v>0.20799999999999999</v>
      </c>
      <c r="P176" s="34">
        <f ca="1">OFFSET(Org_dat!$I$5,$H176,0)</f>
        <v>10932.06</v>
      </c>
      <c r="Q176" s="35">
        <f ca="1">OFFSET(Org_dat!$J$5,$H176,0)</f>
        <v>1.2310878378378378E-2</v>
      </c>
      <c r="R176" s="35">
        <f ca="1">OFFSET(Org_dat!$K$5,$H176,0)</f>
        <v>5.9186915280665275E-2</v>
      </c>
      <c r="S176" s="34">
        <f ca="1">OFFSET(Org_dat!$L$5,$H176,0)</f>
        <v>9969.66</v>
      </c>
      <c r="T176" s="35">
        <f ca="1">OFFSET(Org_dat!$M$5,$H176,0)</f>
        <v>0.47697797119088758</v>
      </c>
    </row>
    <row r="177" spans="2:20" x14ac:dyDescent="0.2">
      <c r="B177" s="342">
        <f>Org_dat!K173+(C177/100000)</f>
        <v>0.54550278709065914</v>
      </c>
      <c r="C177" s="31">
        <f>Org_dat!B173</f>
        <v>168</v>
      </c>
      <c r="D177" s="32" t="str">
        <f>Org_dat!C173</f>
        <v>ZŠ Ostrava, Gebauerova</v>
      </c>
      <c r="E177" s="33">
        <f ca="1">OFFSET(Org_dat!$C173,0,OrgSortCriteria)</f>
        <v>32.629367225439545</v>
      </c>
      <c r="F177" s="33">
        <f t="shared" ca="1" si="18"/>
        <v>32.62936722598505</v>
      </c>
      <c r="G177" s="33">
        <f t="shared" ca="1" si="19"/>
        <v>3.1908257815426273</v>
      </c>
      <c r="H177" s="31">
        <f t="shared" ca="1" si="20"/>
        <v>80</v>
      </c>
      <c r="J177" s="32" t="str">
        <f ca="1">OFFSET(Org_dat!$C$5,$H177,0)</f>
        <v>MŠ Šafaříkova</v>
      </c>
      <c r="K177" s="158">
        <f ca="1">OFFSET(Org_dat!$D$5,$H177,0)</f>
        <v>3.1908257814886469</v>
      </c>
      <c r="L177" s="34">
        <f ca="1">OFFSET(Org_dat!$E$5,$H177,0)</f>
        <v>560000</v>
      </c>
      <c r="M177" s="34">
        <f ca="1">OFFSET(Org_dat!$F$5,$H177,0)</f>
        <v>0</v>
      </c>
      <c r="N177" s="35">
        <f ca="1">OFFSET(Org_dat!$G$5,$H177,0)</f>
        <v>0</v>
      </c>
      <c r="O177" s="35">
        <f ca="1">OFFSET(Org_dat!$H$5,$H177,0)</f>
        <v>0.14030000000000001</v>
      </c>
      <c r="P177" s="34">
        <f ca="1">OFFSET(Org_dat!$I$5,$H177,0)</f>
        <v>4178.28</v>
      </c>
      <c r="Q177" s="35">
        <f ca="1">OFFSET(Org_dat!$J$5,$H177,0)</f>
        <v>7.4612142857142854E-3</v>
      </c>
      <c r="R177" s="35">
        <f ca="1">OFFSET(Org_dat!$K$5,$H177,0)</f>
        <v>5.3180429691477446E-2</v>
      </c>
      <c r="S177" s="34">
        <f ca="1">OFFSET(Org_dat!$L$5,$H177,0)</f>
        <v>6167.1</v>
      </c>
      <c r="T177" s="35">
        <f ca="1">OFFSET(Org_dat!$M$5,$H177,0)</f>
        <v>0.59612116712967522</v>
      </c>
    </row>
    <row r="178" spans="2:20" x14ac:dyDescent="0.2">
      <c r="B178" s="342">
        <f>Org_dat!K174+(C178/100000)</f>
        <v>0.81063508080589775</v>
      </c>
      <c r="C178" s="31">
        <f>Org_dat!B174</f>
        <v>169</v>
      </c>
      <c r="D178" s="32" t="str">
        <f>Org_dat!C174</f>
        <v>ZŠ Ostrava, Gen.Píky</v>
      </c>
      <c r="E178" s="33">
        <f ca="1">OFFSET(Org_dat!$C174,0,OrgSortCriteria)</f>
        <v>84.713534273467332</v>
      </c>
      <c r="F178" s="33">
        <f t="shared" ca="1" si="18"/>
        <v>84.713534274277961</v>
      </c>
      <c r="G178" s="33">
        <f t="shared" ca="1" si="19"/>
        <v>3.0820063170881138</v>
      </c>
      <c r="H178" s="31">
        <f t="shared" ca="1" si="20"/>
        <v>49</v>
      </c>
      <c r="J178" s="32" t="str">
        <f ca="1">OFFSET(Org_dat!$C$5,$H178,0)</f>
        <v>MŠ Hornická</v>
      </c>
      <c r="K178" s="158">
        <f ca="1">OFFSET(Org_dat!$D$5,$H178,0)</f>
        <v>3.082006317036257</v>
      </c>
      <c r="L178" s="34">
        <f ca="1">OFFSET(Org_dat!$E$5,$H178,0)</f>
        <v>1002000</v>
      </c>
      <c r="M178" s="34">
        <f ca="1">OFFSET(Org_dat!$F$5,$H178,0)</f>
        <v>0</v>
      </c>
      <c r="N178" s="35">
        <f ca="1">OFFSET(Org_dat!$G$5,$H178,0)</f>
        <v>0</v>
      </c>
      <c r="O178" s="35">
        <f ca="1">OFFSET(Org_dat!$H$5,$H178,0)</f>
        <v>0.21840000000000001</v>
      </c>
      <c r="P178" s="34">
        <f ca="1">OFFSET(Org_dat!$I$5,$H178,0)</f>
        <v>11240.94</v>
      </c>
      <c r="Q178" s="35">
        <f ca="1">OFFSET(Org_dat!$J$5,$H178,0)</f>
        <v>1.1218502994011977E-2</v>
      </c>
      <c r="R178" s="35">
        <f ca="1">OFFSET(Org_dat!$K$5,$H178,0)</f>
        <v>5.1366771950604281E-2</v>
      </c>
      <c r="S178" s="34">
        <f ca="1">OFFSET(Org_dat!$L$5,$H178,0)</f>
        <v>9454.44</v>
      </c>
      <c r="T178" s="35">
        <f ca="1">OFFSET(Org_dat!$M$5,$H178,0)</f>
        <v>0.45683819287203231</v>
      </c>
    </row>
    <row r="179" spans="2:20" x14ac:dyDescent="0.2">
      <c r="B179" s="342">
        <f>Org_dat!K175+(C179/100000)</f>
        <v>0.93606681190792385</v>
      </c>
      <c r="C179" s="31">
        <f>Org_dat!B175</f>
        <v>170</v>
      </c>
      <c r="D179" s="32" t="str">
        <f>Org_dat!C175</f>
        <v>ZŠ Ostrava, Nádražní</v>
      </c>
      <c r="E179" s="33">
        <f ca="1">OFFSET(Org_dat!$C175,0,OrgSortCriteria)</f>
        <v>56.126757878355022</v>
      </c>
      <c r="F179" s="33">
        <f t="shared" ca="1" si="18"/>
        <v>56.126757879291091</v>
      </c>
      <c r="G179" s="33">
        <f t="shared" ca="1" si="19"/>
        <v>1.7400000000000001E-12</v>
      </c>
      <c r="H179" s="31">
        <f t="shared" ca="1" si="20"/>
        <v>174</v>
      </c>
      <c r="J179" s="32" t="str">
        <f ca="1">OFFSET(Org_dat!$C$5,$H179,0)</f>
        <v>ZUŠ O-Svinov, Bílovecká</v>
      </c>
      <c r="K179" s="158">
        <f ca="1">OFFSET(Org_dat!$D$5,$H179,0)</f>
        <v>0</v>
      </c>
      <c r="L179" s="34">
        <f ca="1">OFFSET(Org_dat!$E$5,$H179,0)</f>
        <v>253000</v>
      </c>
      <c r="M179" s="34">
        <f ca="1">OFFSET(Org_dat!$F$5,$H179,0)</f>
        <v>0</v>
      </c>
      <c r="N179" s="35">
        <f ca="1">OFFSET(Org_dat!$G$5,$H179,0)</f>
        <v>0</v>
      </c>
      <c r="O179" s="35">
        <f ca="1">OFFSET(Org_dat!$H$5,$H179,0)</f>
        <v>4.4999999999999998E-2</v>
      </c>
      <c r="P179" s="34">
        <f ca="1">OFFSET(Org_dat!$I$5,$H179,0)</f>
        <v>0</v>
      </c>
      <c r="Q179" s="35">
        <f ca="1">OFFSET(Org_dat!$J$5,$H179,0)</f>
        <v>0</v>
      </c>
      <c r="R179" s="35">
        <f ca="1">OFFSET(Org_dat!$K$5,$H179,0)</f>
        <v>0</v>
      </c>
      <c r="S179" s="34">
        <f ca="1">OFFSET(Org_dat!$L$5,$H179,0)</f>
        <v>0</v>
      </c>
      <c r="T179" s="35">
        <f ca="1">OFFSET(Org_dat!$M$5,$H179,0)</f>
        <v>0</v>
      </c>
    </row>
    <row r="180" spans="2:20" x14ac:dyDescent="0.2">
      <c r="B180" s="342">
        <f>Org_dat!K176+(C180/100000)</f>
        <v>0.24858263989014762</v>
      </c>
      <c r="C180" s="31">
        <f>Org_dat!B176</f>
        <v>171</v>
      </c>
      <c r="D180" s="32" t="str">
        <f>Org_dat!C176</f>
        <v>ZŠ Ostrava, Zelená</v>
      </c>
      <c r="E180" s="33">
        <f ca="1">OFFSET(Org_dat!$C176,0,OrgSortCriteria)</f>
        <v>16.426413594232748</v>
      </c>
      <c r="F180" s="33">
        <f t="shared" ca="1" si="18"/>
        <v>16.426413594481332</v>
      </c>
      <c r="G180" s="33">
        <f t="shared" ca="1" si="19"/>
        <v>8.5999999999999997E-13</v>
      </c>
      <c r="H180" s="31">
        <f t="shared" ca="1" si="20"/>
        <v>86</v>
      </c>
      <c r="J180" s="32" t="str">
        <f ca="1">OFFSET(Org_dat!$C$5,$H180,0)</f>
        <v>MŠ Zámostní</v>
      </c>
      <c r="K180" s="158">
        <f ca="1">OFFSET(Org_dat!$D$5,$H180,0)</f>
        <v>0</v>
      </c>
      <c r="L180" s="34">
        <f ca="1">OFFSET(Org_dat!$E$5,$H180,0)</f>
        <v>720250</v>
      </c>
      <c r="M180" s="34">
        <f ca="1">OFFSET(Org_dat!$F$5,$H180,0)</f>
        <v>0</v>
      </c>
      <c r="N180" s="35">
        <f ca="1">OFFSET(Org_dat!$G$5,$H180,0)</f>
        <v>0</v>
      </c>
      <c r="O180" s="35">
        <f ca="1">OFFSET(Org_dat!$H$5,$H180,0)</f>
        <v>5.2900000000000003E-2</v>
      </c>
      <c r="P180" s="34">
        <f ca="1">OFFSET(Org_dat!$I$5,$H180,0)</f>
        <v>0</v>
      </c>
      <c r="Q180" s="35">
        <f ca="1">OFFSET(Org_dat!$J$5,$H180,0)</f>
        <v>0</v>
      </c>
      <c r="R180" s="35">
        <f ca="1">OFFSET(Org_dat!$K$5,$H180,0)</f>
        <v>0</v>
      </c>
      <c r="S180" s="34">
        <f ca="1">OFFSET(Org_dat!$L$5,$H180,0)</f>
        <v>0</v>
      </c>
      <c r="T180" s="35">
        <f ca="1">OFFSET(Org_dat!$M$5,$H180,0)</f>
        <v>0</v>
      </c>
    </row>
    <row r="181" spans="2:20" x14ac:dyDescent="0.2">
      <c r="B181" s="342">
        <f>Org_dat!K177+(C181/100000)</f>
        <v>0.13836731351678278</v>
      </c>
      <c r="C181" s="31">
        <f>Org_dat!B177</f>
        <v>172</v>
      </c>
      <c r="D181" s="32" t="str">
        <f>Org_dat!C177</f>
        <v>ZŠ Slezská Ostrava, Bohumínská</v>
      </c>
      <c r="E181" s="33">
        <f ca="1">OFFSET(Org_dat!$C177,0,OrgSortCriteria)</f>
        <v>37.499919321865526</v>
      </c>
      <c r="F181" s="33">
        <f t="shared" ca="1" si="18"/>
        <v>37.49991932200389</v>
      </c>
      <c r="G181" s="33">
        <f t="shared" ca="1" si="19"/>
        <v>5.4000000000000002E-13</v>
      </c>
      <c r="H181" s="31">
        <f t="shared" ca="1" si="20"/>
        <v>54</v>
      </c>
      <c r="J181" s="32" t="str">
        <f ca="1">OFFSET(Org_dat!$C$5,$H181,0)</f>
        <v>MŠ Martinovská</v>
      </c>
      <c r="K181" s="158">
        <f ca="1">OFFSET(Org_dat!$D$5,$H181,0)</f>
        <v>0</v>
      </c>
      <c r="L181" s="34">
        <f ca="1">OFFSET(Org_dat!$E$5,$H181,0)</f>
        <v>307055</v>
      </c>
      <c r="M181" s="34">
        <f ca="1">OFFSET(Org_dat!$F$5,$H181,0)</f>
        <v>0</v>
      </c>
      <c r="N181" s="35">
        <f ca="1">OFFSET(Org_dat!$G$5,$H181,0)</f>
        <v>0</v>
      </c>
      <c r="O181" s="35">
        <f ca="1">OFFSET(Org_dat!$H$5,$H181,0)</f>
        <v>4.1000000000000002E-2</v>
      </c>
      <c r="P181" s="34">
        <f ca="1">OFFSET(Org_dat!$I$5,$H181,0)</f>
        <v>0</v>
      </c>
      <c r="Q181" s="35">
        <f ca="1">OFFSET(Org_dat!$J$5,$H181,0)</f>
        <v>0</v>
      </c>
      <c r="R181" s="35">
        <f ca="1">OFFSET(Org_dat!$K$5,$H181,0)</f>
        <v>0</v>
      </c>
      <c r="S181" s="34">
        <f ca="1">OFFSET(Org_dat!$L$5,$H181,0)</f>
        <v>0</v>
      </c>
      <c r="T181" s="35">
        <f ca="1">OFFSET(Org_dat!$M$5,$H181,0)</f>
        <v>0</v>
      </c>
    </row>
    <row r="182" spans="2:20" x14ac:dyDescent="0.2">
      <c r="B182" s="342">
        <f>Org_dat!K178+(C182/100000)</f>
        <v>0.33274829580077031</v>
      </c>
      <c r="C182" s="31">
        <f>Org_dat!B178</f>
        <v>173</v>
      </c>
      <c r="D182" s="32" t="str">
        <f>Org_dat!C178</f>
        <v>ZŠ Slezská Ostrava, Chrustova</v>
      </c>
      <c r="E182" s="33">
        <f ca="1">OFFSET(Org_dat!$C178,0,OrgSortCriteria)</f>
        <v>20.540460609718831</v>
      </c>
      <c r="F182" s="33">
        <f t="shared" ca="1" si="18"/>
        <v>20.540460610051579</v>
      </c>
      <c r="G182" s="33">
        <f t="shared" ca="1" si="19"/>
        <v>3.3000000000000001E-13</v>
      </c>
      <c r="H182" s="31">
        <f t="shared" ca="1" si="20"/>
        <v>33</v>
      </c>
      <c r="J182" s="32" t="str">
        <f ca="1">OFFSET(Org_dat!$C$5,$H182,0)</f>
        <v>Firemní školka města Ostravy</v>
      </c>
      <c r="K182" s="158">
        <f ca="1">OFFSET(Org_dat!$D$5,$H182,0)</f>
        <v>0</v>
      </c>
      <c r="L182" s="34">
        <f ca="1">OFFSET(Org_dat!$E$5,$H182,0)</f>
        <v>335989</v>
      </c>
      <c r="M182" s="34">
        <f ca="1">OFFSET(Org_dat!$F$5,$H182,0)</f>
        <v>0</v>
      </c>
      <c r="N182" s="35">
        <f ca="1">OFFSET(Org_dat!$G$5,$H182,0)</f>
        <v>0</v>
      </c>
      <c r="O182" s="35">
        <f ca="1">OFFSET(Org_dat!$H$5,$H182,0)</f>
        <v>3.39E-2</v>
      </c>
      <c r="P182" s="34">
        <f ca="1">OFFSET(Org_dat!$I$5,$H182,0)</f>
        <v>0</v>
      </c>
      <c r="Q182" s="35">
        <f ca="1">OFFSET(Org_dat!$J$5,$H182,0)</f>
        <v>0</v>
      </c>
      <c r="R182" s="35">
        <f ca="1">OFFSET(Org_dat!$K$5,$H182,0)</f>
        <v>0</v>
      </c>
      <c r="S182" s="34">
        <f ca="1">OFFSET(Org_dat!$L$5,$H182,0)</f>
        <v>0</v>
      </c>
      <c r="T182" s="35">
        <f ca="1">OFFSET(Org_dat!$M$5,$H182,0)</f>
        <v>0</v>
      </c>
    </row>
    <row r="183" spans="2:20" x14ac:dyDescent="0.2">
      <c r="B183" s="342">
        <f>Org_dat!K179+(C183/100000)</f>
        <v>1.74E-3</v>
      </c>
      <c r="C183" s="31">
        <f>Org_dat!B179</f>
        <v>174</v>
      </c>
      <c r="D183" s="32" t="str">
        <f>Org_dat!C179</f>
        <v>ZUŠ O-Svinov, Bílovecká</v>
      </c>
      <c r="E183" s="33">
        <f ca="1">OFFSET(Org_dat!$C179,0,OrgSortCriteria)</f>
        <v>0</v>
      </c>
      <c r="F183" s="33">
        <f t="shared" ca="1" si="18"/>
        <v>1.7400000000000001E-12</v>
      </c>
      <c r="G183" s="33">
        <f t="shared" ca="1" si="19"/>
        <v>-999999999</v>
      </c>
      <c r="H183" s="31">
        <f t="shared" ca="1" si="20"/>
        <v>32</v>
      </c>
      <c r="J183" s="32" t="str">
        <f ca="1">OFFSET(Org_dat!$C$5,$H183,0)</f>
        <v/>
      </c>
      <c r="K183" s="158" t="str">
        <f ca="1">OFFSET(Org_dat!$D$5,$H183,0)</f>
        <v/>
      </c>
      <c r="L183" s="34" t="str">
        <f ca="1">OFFSET(Org_dat!$E$5,$H183,0)</f>
        <v/>
      </c>
      <c r="M183" s="34" t="str">
        <f ca="1">OFFSET(Org_dat!$F$5,$H183,0)</f>
        <v/>
      </c>
      <c r="N183" s="35">
        <f ca="1">OFFSET(Org_dat!$G$5,$H183,0)</f>
        <v>0</v>
      </c>
      <c r="O183" s="35" t="str">
        <f ca="1">OFFSET(Org_dat!$H$5,$H183,0)</f>
        <v/>
      </c>
      <c r="P183" s="34" t="str">
        <f ca="1">OFFSET(Org_dat!$I$5,$H183,0)</f>
        <v/>
      </c>
      <c r="Q183" s="35">
        <f ca="1">OFFSET(Org_dat!$J$5,$H183,0)</f>
        <v>0</v>
      </c>
      <c r="R183" s="35">
        <f ca="1">OFFSET(Org_dat!$K$5,$H183,0)</f>
        <v>0</v>
      </c>
      <c r="S183" s="34" t="str">
        <f ca="1">OFFSET(Org_dat!$L$5,$H183,0)</f>
        <v/>
      </c>
      <c r="T183" s="35">
        <f ca="1">OFFSET(Org_dat!$M$5,$H183,0)</f>
        <v>0</v>
      </c>
    </row>
    <row r="184" spans="2:20" x14ac:dyDescent="0.2">
      <c r="B184" s="342">
        <f>Org_dat!K180+(C184/100000)</f>
        <v>1.75E-3</v>
      </c>
      <c r="C184" s="31">
        <f>Org_dat!B180</f>
        <v>175</v>
      </c>
      <c r="D184" s="32" t="str">
        <f>Org_dat!C180</f>
        <v/>
      </c>
      <c r="E184" s="33" t="str">
        <f ca="1">OFFSET(Org_dat!$C180,0,OrgSortCriteria)</f>
        <v/>
      </c>
      <c r="F184" s="33">
        <f t="shared" si="18"/>
        <v>-999999999</v>
      </c>
      <c r="G184" s="33">
        <f t="shared" ca="1" si="19"/>
        <v>-999999999</v>
      </c>
      <c r="H184" s="31">
        <f t="shared" ca="1" si="20"/>
        <v>32</v>
      </c>
      <c r="J184" s="32" t="str">
        <f ca="1">OFFSET(Org_dat!$C$5,$H184,0)</f>
        <v/>
      </c>
      <c r="K184" s="158" t="str">
        <f ca="1">OFFSET(Org_dat!$D$5,$H184,0)</f>
        <v/>
      </c>
      <c r="L184" s="34" t="str">
        <f ca="1">OFFSET(Org_dat!$E$5,$H184,0)</f>
        <v/>
      </c>
      <c r="M184" s="34" t="str">
        <f ca="1">OFFSET(Org_dat!$F$5,$H184,0)</f>
        <v/>
      </c>
      <c r="N184" s="35">
        <f ca="1">OFFSET(Org_dat!$G$5,$H184,0)</f>
        <v>0</v>
      </c>
      <c r="O184" s="35" t="str">
        <f ca="1">OFFSET(Org_dat!$H$5,$H184,0)</f>
        <v/>
      </c>
      <c r="P184" s="34" t="str">
        <f ca="1">OFFSET(Org_dat!$I$5,$H184,0)</f>
        <v/>
      </c>
      <c r="Q184" s="35">
        <f ca="1">OFFSET(Org_dat!$J$5,$H184,0)</f>
        <v>0</v>
      </c>
      <c r="R184" s="35">
        <f ca="1">OFFSET(Org_dat!$K$5,$H184,0)</f>
        <v>0</v>
      </c>
      <c r="S184" s="34" t="str">
        <f ca="1">OFFSET(Org_dat!$L$5,$H184,0)</f>
        <v/>
      </c>
      <c r="T184" s="35">
        <f ca="1">OFFSET(Org_dat!$M$5,$H184,0)</f>
        <v>0</v>
      </c>
    </row>
    <row r="185" spans="2:20" x14ac:dyDescent="0.2">
      <c r="B185" s="342">
        <f>Org_dat!K181+(C185/100000)</f>
        <v>1.7600000000000001E-3</v>
      </c>
      <c r="C185" s="31">
        <f>Org_dat!B181</f>
        <v>176</v>
      </c>
      <c r="D185" s="32" t="str">
        <f>Org_dat!C181</f>
        <v/>
      </c>
      <c r="E185" s="33" t="str">
        <f ca="1">OFFSET(Org_dat!$C181,0,OrgSortCriteria)</f>
        <v/>
      </c>
      <c r="F185" s="33">
        <f t="shared" si="18"/>
        <v>-999999999</v>
      </c>
      <c r="G185" s="33">
        <f t="shared" ca="1" si="19"/>
        <v>-999999999</v>
      </c>
      <c r="H185" s="31">
        <f t="shared" ca="1" si="20"/>
        <v>32</v>
      </c>
      <c r="J185" s="32" t="str">
        <f ca="1">OFFSET(Org_dat!$C$5,$H185,0)</f>
        <v/>
      </c>
      <c r="K185" s="158" t="str">
        <f ca="1">OFFSET(Org_dat!$D$5,$H185,0)</f>
        <v/>
      </c>
      <c r="L185" s="34" t="str">
        <f ca="1">OFFSET(Org_dat!$E$5,$H185,0)</f>
        <v/>
      </c>
      <c r="M185" s="34" t="str">
        <f ca="1">OFFSET(Org_dat!$F$5,$H185,0)</f>
        <v/>
      </c>
      <c r="N185" s="35">
        <f ca="1">OFFSET(Org_dat!$G$5,$H185,0)</f>
        <v>0</v>
      </c>
      <c r="O185" s="35" t="str">
        <f ca="1">OFFSET(Org_dat!$H$5,$H185,0)</f>
        <v/>
      </c>
      <c r="P185" s="34" t="str">
        <f ca="1">OFFSET(Org_dat!$I$5,$H185,0)</f>
        <v/>
      </c>
      <c r="Q185" s="35">
        <f ca="1">OFFSET(Org_dat!$J$5,$H185,0)</f>
        <v>0</v>
      </c>
      <c r="R185" s="35">
        <f ca="1">OFFSET(Org_dat!$K$5,$H185,0)</f>
        <v>0</v>
      </c>
      <c r="S185" s="34" t="str">
        <f ca="1">OFFSET(Org_dat!$L$5,$H185,0)</f>
        <v/>
      </c>
      <c r="T185" s="35">
        <f ca="1">OFFSET(Org_dat!$M$5,$H185,0)</f>
        <v>0</v>
      </c>
    </row>
    <row r="186" spans="2:20" x14ac:dyDescent="0.2">
      <c r="C186" s="99"/>
      <c r="D186" s="100"/>
      <c r="E186" s="99"/>
      <c r="F186" s="99"/>
      <c r="G186" s="99"/>
      <c r="H186" s="99"/>
      <c r="J186" s="99"/>
      <c r="L186" s="99"/>
      <c r="M186" s="99"/>
      <c r="N186" s="99"/>
      <c r="O186" s="99"/>
      <c r="P186" s="99"/>
      <c r="Q186" s="99"/>
      <c r="R186" s="99"/>
      <c r="S186" s="99"/>
      <c r="T186" s="99"/>
    </row>
  </sheetData>
  <mergeCells count="3">
    <mergeCell ref="X8:Y8"/>
    <mergeCell ref="AC8:AD8"/>
    <mergeCell ref="AH8:AI8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30"/>
  </sheetPr>
  <dimension ref="B1:O184"/>
  <sheetViews>
    <sheetView workbookViewId="0">
      <selection activeCell="C6" sqref="C6"/>
    </sheetView>
  </sheetViews>
  <sheetFormatPr defaultRowHeight="11.25" x14ac:dyDescent="0.2"/>
  <cols>
    <col min="1" max="1" width="2" style="19" customWidth="1"/>
    <col min="2" max="2" width="4.33203125" style="19" customWidth="1"/>
    <col min="3" max="3" width="32.83203125" style="19" bestFit="1" customWidth="1"/>
    <col min="4" max="4" width="7.1640625" style="19" customWidth="1"/>
    <col min="5" max="6" width="12.83203125" style="19" customWidth="1"/>
    <col min="7" max="7" width="11.33203125" style="19" customWidth="1"/>
    <col min="8" max="8" width="9.6640625" style="19" customWidth="1"/>
    <col min="9" max="9" width="12.83203125" style="19" customWidth="1"/>
    <col min="10" max="10" width="9.83203125" style="19" customWidth="1"/>
    <col min="11" max="11" width="10.5" style="19" customWidth="1"/>
    <col min="12" max="13" width="12.83203125" style="19" customWidth="1"/>
    <col min="14" max="14" width="16" style="19" bestFit="1" customWidth="1"/>
    <col min="15" max="15" width="12.1640625" style="19" customWidth="1"/>
    <col min="16" max="16384" width="9.33203125" style="19"/>
  </cols>
  <sheetData>
    <row r="1" spans="2:15" x14ac:dyDescent="0.2">
      <c r="C1" s="214"/>
      <c r="F1" s="215"/>
      <c r="H1" s="298" t="s">
        <v>249</v>
      </c>
      <c r="O1" s="49"/>
    </row>
    <row r="2" spans="2:15" x14ac:dyDescent="0.2">
      <c r="D2" s="50">
        <v>35</v>
      </c>
      <c r="E2" s="50">
        <v>27</v>
      </c>
      <c r="F2" s="50">
        <v>28</v>
      </c>
      <c r="G2" s="50" t="s">
        <v>350</v>
      </c>
      <c r="H2" s="50">
        <v>29</v>
      </c>
      <c r="I2" s="50">
        <v>31</v>
      </c>
      <c r="J2" s="50" t="s">
        <v>351</v>
      </c>
      <c r="K2" s="50" t="s">
        <v>388</v>
      </c>
      <c r="L2" s="50">
        <v>32</v>
      </c>
      <c r="M2" s="50" t="s">
        <v>352</v>
      </c>
    </row>
    <row r="3" spans="2:15" x14ac:dyDescent="0.2">
      <c r="C3" s="51" t="s">
        <v>70</v>
      </c>
      <c r="D3" s="73"/>
      <c r="E3" s="42">
        <f t="shared" ref="E3:L3" si="0">AVERAGE(E6:E184)</f>
        <v>11035752.349541198</v>
      </c>
      <c r="F3" s="42">
        <f t="shared" si="0"/>
        <v>6150988.931040463</v>
      </c>
      <c r="G3" s="43">
        <f t="shared" si="0"/>
        <v>0.84148273106627325</v>
      </c>
      <c r="H3" s="324">
        <f>IF(ISERROR(AVERAGEIF(H6:H184,"&gt;0",H6:H184)),zarad,AVERAGEIF(H6:H184,"&gt;0",H6:H184))</f>
        <v>0.21311121584853954</v>
      </c>
      <c r="I3" s="42">
        <f t="shared" si="0"/>
        <v>1426170.4247398844</v>
      </c>
      <c r="J3" s="43">
        <f>IF(ISERROR(AVERAGEIF(J6:J184,"&gt;0",J6:J184)),zarad,AVERAGEIF(J6:J184,"&gt;0",J6:J184))</f>
        <v>0.13441712588956509</v>
      </c>
      <c r="K3" s="43">
        <f>IF(ISERROR(AVERAGEIF(K6:K184,"&gt;0",K6:K184)),zarad,AVERAGEIF(K6:K184,"&gt;0",K6:K184))</f>
        <v>0.60082831477594079</v>
      </c>
      <c r="L3" s="42">
        <f t="shared" si="0"/>
        <v>378274.4872254337</v>
      </c>
      <c r="M3" s="43">
        <f>AVERAGEIF(M6:M184,"&gt;0",M6:M184)</f>
        <v>0.34230149298221463</v>
      </c>
    </row>
    <row r="4" spans="2:15" x14ac:dyDescent="0.2">
      <c r="C4" s="51" t="s">
        <v>71</v>
      </c>
      <c r="E4" s="49">
        <f t="shared" ref="E4:L4" si="1">SUM(E6:E184)</f>
        <v>1909185156.4706273</v>
      </c>
      <c r="F4" s="49">
        <f t="shared" si="1"/>
        <v>1064121085.0700001</v>
      </c>
      <c r="G4" s="323">
        <f>F4/E4</f>
        <v>0.55736924282250544</v>
      </c>
      <c r="H4" s="299">
        <f>IF((F4/(E4*data!$O$6)*vahaE)&gt;vahaE,vahaE,F4/(E4*data!$O$6)*vahaE)+IF((I4/N4*vahaD)&gt;vahaD,vahaD,I4/N4*vahaD)</f>
        <v>69.6106128401577</v>
      </c>
      <c r="I4" s="49">
        <f t="shared" si="1"/>
        <v>246727483.48000002</v>
      </c>
      <c r="J4" s="323">
        <f>I4/E4</f>
        <v>0.12923182575759562</v>
      </c>
      <c r="K4" s="323">
        <f>I4/(E4*H3)</f>
        <v>0.60640555797608542</v>
      </c>
      <c r="L4" s="49">
        <f t="shared" si="1"/>
        <v>65441486.290000029</v>
      </c>
      <c r="M4" s="53">
        <f>L4/I4</f>
        <v>0.26523792715335981</v>
      </c>
      <c r="N4" s="49">
        <f>SUM(N6:N184)</f>
        <v>354645095.2069211</v>
      </c>
    </row>
    <row r="5" spans="2:15" ht="43.5" customHeight="1" x14ac:dyDescent="0.2">
      <c r="B5" s="73"/>
      <c r="C5" s="52" t="s">
        <v>28</v>
      </c>
      <c r="D5" s="251" t="s">
        <v>391</v>
      </c>
      <c r="E5" s="45" t="s">
        <v>73</v>
      </c>
      <c r="F5" s="45" t="s">
        <v>74</v>
      </c>
      <c r="G5" s="45" t="s">
        <v>72</v>
      </c>
      <c r="H5" s="74" t="s">
        <v>240</v>
      </c>
      <c r="I5" s="74" t="s">
        <v>75</v>
      </c>
      <c r="J5" s="74" t="s">
        <v>383</v>
      </c>
      <c r="K5" s="74" t="s">
        <v>384</v>
      </c>
      <c r="L5" s="44" t="s">
        <v>59</v>
      </c>
      <c r="M5" s="44" t="s">
        <v>72</v>
      </c>
      <c r="N5" s="74" t="s">
        <v>378</v>
      </c>
    </row>
    <row r="6" spans="2:15" x14ac:dyDescent="0.2">
      <c r="B6" s="19">
        <v>1</v>
      </c>
      <c r="C6" s="19" t="str">
        <f>IF(ISERROR(INDEX(data!$A$12:$AI$213,MATCH(HLOOKUP('II. Sledování projektu'!$L$5,vstupy!$N$2:$BY$180,$B6+1,0),data!$B$12:$B$213,0),3)),"",INDEX(data!$A$12:$AI$213,MATCH(HLOOKUP('II. Sledování projektu'!$L$5,vstupy!$N$2:$BY$180,$B6+1,0),data!$B$12:$B$213,0),3))</f>
        <v>Domov Slunečnice</v>
      </c>
      <c r="D6" s="156">
        <f>IF(ISERROR(INDEX(data!$A$12:$AI$213,MATCH(HLOOKUP('II. Sledování projektu'!$L$5,vstupy!$N$2:$BY$180,$B6+1,0),data!$B$12:$B$213,0),35)),"",INDEX(data!$A$12:$AI$213,MATCH(HLOOKUP('II. Sledování projektu'!$L$5,vstupy!$N$2:$BY$180,$B6+1,0),data!$B$12:$B$213,0),35))</f>
        <v>69.112856891051067</v>
      </c>
      <c r="E6" s="49">
        <f>IF(ISERROR(INDEX(data!$A$12:$AI$213,MATCH(HLOOKUP('II. Sledování projektu'!$L$5,vstupy!$N$2:$BY$180,$B6+1,0),data!$B$12:$B$213,0),27)),"",INDEX(data!$A$12:$AI$213,MATCH(HLOOKUP('II. Sledování projektu'!$L$5,vstupy!$N$2:$BY$180,$B6+1,0),data!$B$12:$B$213,0),27))</f>
        <v>18911000</v>
      </c>
      <c r="F6" s="54">
        <f>IF(ISERROR(INDEX(data!$A$12:$AI$213,MATCH(HLOOKUP('II. Sledování projektu'!$L$5,vstupy!$N$2:$BY$180,$B6+1,0),data!$B$12:$B$213,0),28)),"",INDEX(data!$A$12:$AI$213,MATCH(HLOOKUP('II. Sledování projektu'!$L$5,vstupy!$N$2:$BY$180,$B6+1,0),data!$B$12:$B$213,0),28))</f>
        <v>15578098.960000001</v>
      </c>
      <c r="G6" s="53">
        <f>IF(ISERROR(F6/E6),0,F6/E6)</f>
        <v>0.82375860398709755</v>
      </c>
      <c r="H6" s="53">
        <f>IF(ISERROR(INDEX(data!$A$12:$AI$213,MATCH(HLOOKUP('II. Sledování projektu'!$L$5,vstupy!$N$2:$BY$180,$B6+1,0),data!$B$12:$B$213,0),29)),"",INDEX(data!$A$12:$AI$213,MATCH(HLOOKUP('II. Sledování projektu'!$L$5,vstupy!$N$2:$BY$180,$B6+1,0),data!$B$12:$B$213,0),29))</f>
        <v>0.54</v>
      </c>
      <c r="I6" s="54">
        <f>IF(ISERROR(INDEX(data!$A$12:$AI$213,MATCH(HLOOKUP('II. Sledování projektu'!$L$5,vstupy!$N$2:$BY$180,$B6+1,0),data!$B$12:$B$213,0),31)),"",INDEX(data!$A$12:$AI$213,MATCH(HLOOKUP('II. Sledování projektu'!$L$5,vstupy!$N$2:$BY$180,$B6+1,0),data!$B$12:$B$213,0),31))</f>
        <v>4954979.13</v>
      </c>
      <c r="J6" s="53">
        <f>IF(ISERROR(I6/(E6)),0,I6/(E6))</f>
        <v>0.26201571201945956</v>
      </c>
      <c r="K6" s="53">
        <f>IF(ISERROR(I6/(N6)),0,I6/(N6))</f>
        <v>0.48521428151751772</v>
      </c>
      <c r="L6" s="54">
        <f>IF(ISERROR(INDEX(data!$A$12:$AI$213,MATCH(HLOOKUP('II. Sledování projektu'!$L$5,vstupy!$N$2:$BY$180,$B6+1,0),data!$B$12:$B$213,0),32)),"",INDEX(data!$A$12:$AI$213,MATCH(HLOOKUP('II. Sledování projektu'!$L$5,vstupy!$N$2:$BY$180,$B6+1,0),data!$B$12:$B$213,0),32))</f>
        <v>1307140.1200000001</v>
      </c>
      <c r="M6" s="53">
        <f t="shared" ref="M6:M37" si="2">IF(ISERROR(L6/I6),0,IF(uspora="A",L6/I6,L6/(I6+L6)))</f>
        <v>0.20873766017790224</v>
      </c>
      <c r="N6" s="54">
        <f>IF(ISERROR(VLOOKUP(C6,data!$C$12:$AD$213,28,0)),0,VLOOKUP(C6,data!$C$12:$AD$213,28,0))</f>
        <v>10211940</v>
      </c>
    </row>
    <row r="7" spans="2:15" x14ac:dyDescent="0.2">
      <c r="B7" s="19">
        <f>B6+1</f>
        <v>2</v>
      </c>
      <c r="C7" s="19" t="str">
        <f>IF(ISERROR(INDEX(data!$A$12:$AI$213,MATCH(HLOOKUP('II. Sledování projektu'!$L$5,vstupy!$N$2:$BY$180,$B7+1,0),data!$B$12:$B$213,0),3)),"",INDEX(data!$A$12:$AI$213,MATCH(HLOOKUP('II. Sledování projektu'!$L$5,vstupy!$N$2:$BY$180,$B7+1,0),data!$B$12:$B$213,0),3))</f>
        <v>Dopravní podnik Ostrava</v>
      </c>
      <c r="D7" s="156">
        <f>IF(ISERROR(INDEX(data!$A$12:$AI$213,MATCH(HLOOKUP('II. Sledování projektu'!$L$5,vstupy!$N$2:$BY$180,$B7+1,0),data!$B$12:$B$213,0),35)),"",INDEX(data!$A$12:$AI$213,MATCH(HLOOKUP('II. Sledování projektu'!$L$5,vstupy!$N$2:$BY$180,$B7+1,0),data!$B$12:$B$213,0),35))</f>
        <v>81.048815174502664</v>
      </c>
      <c r="E7" s="49">
        <f>IF(ISERROR(INDEX(data!$A$12:$AI$213,MATCH(HLOOKUP('II. Sledování projektu'!$L$5,vstupy!$N$2:$BY$180,$B7+1,0),data!$B$12:$B$213,0),27)),"",INDEX(data!$A$12:$AI$213,MATCH(HLOOKUP('II. Sledování projektu'!$L$5,vstupy!$N$2:$BY$180,$B7+1,0),data!$B$12:$B$213,0),27))</f>
        <v>207751423.84062749</v>
      </c>
      <c r="F7" s="54">
        <f>IF(ISERROR(INDEX(data!$A$12:$AI$213,MATCH(HLOOKUP('II. Sledování projektu'!$L$5,vstupy!$N$2:$BY$180,$B7+1,0),data!$B$12:$B$213,0),28)),"",INDEX(data!$A$12:$AI$213,MATCH(HLOOKUP('II. Sledování projektu'!$L$5,vstupy!$N$2:$BY$180,$B7+1,0),data!$B$12:$B$213,0),28))</f>
        <v>189507478.51999998</v>
      </c>
      <c r="G7" s="53">
        <f t="shared" ref="G7:G70" si="3">IF(ISERROR(F7/E7),0,F7/E7)</f>
        <v>0.91218377721144761</v>
      </c>
      <c r="H7" s="53">
        <f>IF(ISERROR(INDEX(data!$A$12:$AI$213,MATCH(HLOOKUP('II. Sledování projektu'!$L$5,vstupy!$N$2:$BY$180,$B7+1,0),data!$B$12:$B$213,0),29)),"",INDEX(data!$A$12:$AI$213,MATCH(HLOOKUP('II. Sledování projektu'!$L$5,vstupy!$N$2:$BY$180,$B7+1,0),data!$B$12:$B$213,0),29))</f>
        <v>0.38</v>
      </c>
      <c r="I7" s="54">
        <f>IF(ISERROR(INDEX(data!$A$12:$AI$213,MATCH(HLOOKUP('II. Sledování projektu'!$L$5,vstupy!$N$2:$BY$180,$B7+1,0),data!$B$12:$B$213,0),31)),"",INDEX(data!$A$12:$AI$213,MATCH(HLOOKUP('II. Sledování projektu'!$L$5,vstupy!$N$2:$BY$180,$B7+1,0),data!$B$12:$B$213,0),31))</f>
        <v>54010348.730000004</v>
      </c>
      <c r="J7" s="53">
        <f t="shared" ref="J7:J70" si="4">IF(ISERROR(I7/(E7)),0,I7/(E7))</f>
        <v>0.25997582943851688</v>
      </c>
      <c r="K7" s="53">
        <f>IF(ISERROR(I7/(N7)),0,I7/(N7))</f>
        <v>0.68414691957504437</v>
      </c>
      <c r="L7" s="54">
        <f>IF(ISERROR(INDEX(data!$A$12:$AI$213,MATCH(HLOOKUP('II. Sledování projektu'!$L$5,vstupy!$N$2:$BY$180,$B7+1,0),data!$B$12:$B$213,0),32)),"",INDEX(data!$A$12:$AI$213,MATCH(HLOOKUP('II. Sledování projektu'!$L$5,vstupy!$N$2:$BY$180,$B7+1,0),data!$B$12:$B$213,0),32))</f>
        <v>6115583.8499999996</v>
      </c>
      <c r="M7" s="53">
        <f t="shared" si="2"/>
        <v>0.1017129146706035</v>
      </c>
      <c r="N7" s="54">
        <f>IF(ISERROR(VLOOKUP(C7,data!$C$12:$AD$213,28,0)),0,VLOOKUP(C7,data!$C$12:$AD$213,28,0))</f>
        <v>78945541.059438452</v>
      </c>
    </row>
    <row r="8" spans="2:15" x14ac:dyDescent="0.2">
      <c r="B8" s="19">
        <f t="shared" ref="B8:B71" si="5">B7+1</f>
        <v>3</v>
      </c>
      <c r="C8" s="19" t="str">
        <f>IF(ISERROR(INDEX(data!$A$12:$AI$213,MATCH(HLOOKUP('II. Sledování projektu'!$L$5,vstupy!$N$2:$BY$180,$B8+1,0),data!$B$12:$B$213,0),3)),"",INDEX(data!$A$12:$AI$213,MATCH(HLOOKUP('II. Sledování projektu'!$L$5,vstupy!$N$2:$BY$180,$B8+1,0),data!$B$12:$B$213,0),3))</f>
        <v>Magistrát města Ostrava</v>
      </c>
      <c r="D8" s="156">
        <f>IF(ISERROR(INDEX(data!$A$12:$AI$213,MATCH(HLOOKUP('II. Sledování projektu'!$L$5,vstupy!$N$2:$BY$180,$B8+1,0),data!$B$12:$B$213,0),35)),"",INDEX(data!$A$12:$AI$213,MATCH(HLOOKUP('II. Sledování projektu'!$L$5,vstupy!$N$2:$BY$180,$B8+1,0),data!$B$12:$B$213,0),35))</f>
        <v>42.834538694524817</v>
      </c>
      <c r="E8" s="49">
        <f>IF(ISERROR(INDEX(data!$A$12:$AI$213,MATCH(HLOOKUP('II. Sledování projektu'!$L$5,vstupy!$N$2:$BY$180,$B8+1,0),data!$B$12:$B$213,0),27)),"",INDEX(data!$A$12:$AI$213,MATCH(HLOOKUP('II. Sledování projektu'!$L$5,vstupy!$N$2:$BY$180,$B8+1,0),data!$B$12:$B$213,0),27))</f>
        <v>347707000</v>
      </c>
      <c r="F8" s="54">
        <f>IF(ISERROR(INDEX(data!$A$12:$AI$213,MATCH(HLOOKUP('II. Sledování projektu'!$L$5,vstupy!$N$2:$BY$180,$B8+1,0),data!$B$12:$B$213,0),28)),"",INDEX(data!$A$12:$AI$213,MATCH(HLOOKUP('II. Sledování projektu'!$L$5,vstupy!$N$2:$BY$180,$B8+1,0),data!$B$12:$B$213,0),28))</f>
        <v>202975722.45999998</v>
      </c>
      <c r="G8" s="53">
        <f t="shared" si="3"/>
        <v>0.58375506521295217</v>
      </c>
      <c r="H8" s="53">
        <f>IF(ISERROR(INDEX(data!$A$12:$AI$213,MATCH(HLOOKUP('II. Sledování projektu'!$L$5,vstupy!$N$2:$BY$180,$B8+1,0),data!$B$12:$B$213,0),29)),"",INDEX(data!$A$12:$AI$213,MATCH(HLOOKUP('II. Sledování projektu'!$L$5,vstupy!$N$2:$BY$180,$B8+1,0),data!$B$12:$B$213,0),29))</f>
        <v>7.0000000000000007E-2</v>
      </c>
      <c r="I8" s="54">
        <f>IF(ISERROR(INDEX(data!$A$12:$AI$213,MATCH(HLOOKUP('II. Sledování projektu'!$L$5,vstupy!$N$2:$BY$180,$B8+1,0),data!$B$12:$B$213,0),31)),"",INDEX(data!$A$12:$AI$213,MATCH(HLOOKUP('II. Sledování projektu'!$L$5,vstupy!$N$2:$BY$180,$B8+1,0),data!$B$12:$B$213,0),31))</f>
        <v>5535929.96</v>
      </c>
      <c r="J8" s="53">
        <f t="shared" si="4"/>
        <v>1.5921249672856744E-2</v>
      </c>
      <c r="K8" s="53">
        <f t="shared" ref="K8:K71" si="6">IF(ISERROR(I8/(N8)),0,I8/(N8))</f>
        <v>0.22744642389795344</v>
      </c>
      <c r="L8" s="54">
        <f>IF(ISERROR(INDEX(data!$A$12:$AI$213,MATCH(HLOOKUP('II. Sledování projektu'!$L$5,vstupy!$N$2:$BY$180,$B8+1,0),data!$B$12:$B$213,0),32)),"",INDEX(data!$A$12:$AI$213,MATCH(HLOOKUP('II. Sledování projektu'!$L$5,vstupy!$N$2:$BY$180,$B8+1,0),data!$B$12:$B$213,0),32))</f>
        <v>3634966.6799999997</v>
      </c>
      <c r="M8" s="53">
        <f t="shared" si="2"/>
        <v>0.39635891916452781</v>
      </c>
      <c r="N8" s="54">
        <f>IF(ISERROR(VLOOKUP(C8,data!$C$12:$AD$213,28,0)),0,VLOOKUP(C8,data!$C$12:$AD$213,28,0))</f>
        <v>24339490.000000004</v>
      </c>
    </row>
    <row r="9" spans="2:15" x14ac:dyDescent="0.2">
      <c r="B9" s="19">
        <f t="shared" si="5"/>
        <v>4</v>
      </c>
      <c r="C9" s="19" t="str">
        <f>IF(ISERROR(INDEX(data!$A$12:$AI$213,MATCH(HLOOKUP('II. Sledování projektu'!$L$5,vstupy!$N$2:$BY$180,$B9+1,0),data!$B$12:$B$213,0),3)),"",INDEX(data!$A$12:$AI$213,MATCH(HLOOKUP('II. Sledování projektu'!$L$5,vstupy!$N$2:$BY$180,$B9+1,0),data!$B$12:$B$213,0),3))</f>
        <v>Městská nemocnice Ostrava</v>
      </c>
      <c r="D9" s="156">
        <f>IF(ISERROR(INDEX(data!$A$12:$AI$213,MATCH(HLOOKUP('II. Sledování projektu'!$L$5,vstupy!$N$2:$BY$180,$B9+1,0),data!$B$12:$B$213,0),35)),"",INDEX(data!$A$12:$AI$213,MATCH(HLOOKUP('II. Sledování projektu'!$L$5,vstupy!$N$2:$BY$180,$B9+1,0),data!$B$12:$B$213,0),35))</f>
        <v>64.128135536553913</v>
      </c>
      <c r="E9" s="49">
        <f>IF(ISERROR(INDEX(data!$A$12:$AI$213,MATCH(HLOOKUP('II. Sledování projektu'!$L$5,vstupy!$N$2:$BY$180,$B9+1,0),data!$B$12:$B$213,0),27)),"",INDEX(data!$A$12:$AI$213,MATCH(HLOOKUP('II. Sledování projektu'!$L$5,vstupy!$N$2:$BY$180,$B9+1,0),data!$B$12:$B$213,0),27))</f>
        <v>271189000</v>
      </c>
      <c r="F9" s="54">
        <f>IF(ISERROR(INDEX(data!$A$12:$AI$213,MATCH(HLOOKUP('II. Sledování projektu'!$L$5,vstupy!$N$2:$BY$180,$B9+1,0),data!$B$12:$B$213,0),28)),"",INDEX(data!$A$12:$AI$213,MATCH(HLOOKUP('II. Sledování projektu'!$L$5,vstupy!$N$2:$BY$180,$B9+1,0),data!$B$12:$B$213,0),28))</f>
        <v>97641648.510000005</v>
      </c>
      <c r="G9" s="53">
        <f t="shared" si="3"/>
        <v>0.36005018090704272</v>
      </c>
      <c r="H9" s="53">
        <f>IF(ISERROR(INDEX(data!$A$12:$AI$213,MATCH(HLOOKUP('II. Sledování projektu'!$L$5,vstupy!$N$2:$BY$180,$B9+1,0),data!$B$12:$B$213,0),29)),"",INDEX(data!$A$12:$AI$213,MATCH(HLOOKUP('II. Sledování projektu'!$L$5,vstupy!$N$2:$BY$180,$B9+1,0),data!$B$12:$B$213,0),29))</f>
        <v>6.6600000000000006E-2</v>
      </c>
      <c r="I9" s="54">
        <f>IF(ISERROR(INDEX(data!$A$12:$AI$213,MATCH(HLOOKUP('II. Sledování projektu'!$L$5,vstupy!$N$2:$BY$180,$B9+1,0),data!$B$12:$B$213,0),31)),"",INDEX(data!$A$12:$AI$213,MATCH(HLOOKUP('II. Sledování projektu'!$L$5,vstupy!$N$2:$BY$180,$B9+1,0),data!$B$12:$B$213,0),31))</f>
        <v>13884726.399999999</v>
      </c>
      <c r="J9" s="53">
        <f t="shared" si="4"/>
        <v>5.1199445405233981E-2</v>
      </c>
      <c r="K9" s="53">
        <f t="shared" si="6"/>
        <v>0.76876044152002965</v>
      </c>
      <c r="L9" s="54">
        <f>IF(ISERROR(INDEX(data!$A$12:$AI$213,MATCH(HLOOKUP('II. Sledování projektu'!$L$5,vstupy!$N$2:$BY$180,$B9+1,0),data!$B$12:$B$213,0),32)),"",INDEX(data!$A$12:$AI$213,MATCH(HLOOKUP('II. Sledování projektu'!$L$5,vstupy!$N$2:$BY$180,$B9+1,0),data!$B$12:$B$213,0),32))</f>
        <v>4325016.75</v>
      </c>
      <c r="M9" s="53">
        <f t="shared" si="2"/>
        <v>0.2375111342523247</v>
      </c>
      <c r="N9" s="54">
        <f>IF(ISERROR(VLOOKUP(C9,data!$C$12:$AD$213,28,0)),0,VLOOKUP(C9,data!$C$12:$AD$213,28,0))</f>
        <v>18061187.400000002</v>
      </c>
    </row>
    <row r="10" spans="2:15" x14ac:dyDescent="0.2">
      <c r="B10" s="19">
        <f t="shared" si="5"/>
        <v>5</v>
      </c>
      <c r="C10" s="19" t="str">
        <f>IF(ISERROR(INDEX(data!$A$12:$AI$213,MATCH(HLOOKUP('II. Sledování projektu'!$L$5,vstupy!$N$2:$BY$180,$B10+1,0),data!$B$12:$B$213,0),3)),"",INDEX(data!$A$12:$AI$213,MATCH(HLOOKUP('II. Sledování projektu'!$L$5,vstupy!$N$2:$BY$180,$B10+1,0),data!$B$12:$B$213,0),3))</f>
        <v>Národní divadlo Moravskoslezské</v>
      </c>
      <c r="D10" s="156">
        <f>IF(ISERROR(INDEX(data!$A$12:$AI$213,MATCH(HLOOKUP('II. Sledování projektu'!$L$5,vstupy!$N$2:$BY$180,$B10+1,0),data!$B$12:$B$213,0),35)),"",INDEX(data!$A$12:$AI$213,MATCH(HLOOKUP('II. Sledování projektu'!$L$5,vstupy!$N$2:$BY$180,$B10+1,0),data!$B$12:$B$213,0),35))</f>
        <v>83.071674701695315</v>
      </c>
      <c r="E10" s="49">
        <f>IF(ISERROR(INDEX(data!$A$12:$AI$213,MATCH(HLOOKUP('II. Sledování projektu'!$L$5,vstupy!$N$2:$BY$180,$B10+1,0),data!$B$12:$B$213,0),27)),"",INDEX(data!$A$12:$AI$213,MATCH(HLOOKUP('II. Sledování projektu'!$L$5,vstupy!$N$2:$BY$180,$B10+1,0),data!$B$12:$B$213,0),27))</f>
        <v>34298000</v>
      </c>
      <c r="F10" s="54">
        <f>IF(ISERROR(INDEX(data!$A$12:$AI$213,MATCH(HLOOKUP('II. Sledování projektu'!$L$5,vstupy!$N$2:$BY$180,$B10+1,0),data!$B$12:$B$213,0),28)),"",INDEX(data!$A$12:$AI$213,MATCH(HLOOKUP('II. Sledování projektu'!$L$5,vstupy!$N$2:$BY$180,$B10+1,0),data!$B$12:$B$213,0),28))</f>
        <v>26873820.669999998</v>
      </c>
      <c r="G10" s="53">
        <f t="shared" si="3"/>
        <v>0.7835390013994985</v>
      </c>
      <c r="H10" s="53">
        <f>IF(ISERROR(INDEX(data!$A$12:$AI$213,MATCH(HLOOKUP('II. Sledování projektu'!$L$5,vstupy!$N$2:$BY$180,$B10+1,0),data!$B$12:$B$213,0),29)),"",INDEX(data!$A$12:$AI$213,MATCH(HLOOKUP('II. Sledování projektu'!$L$5,vstupy!$N$2:$BY$180,$B10+1,0),data!$B$12:$B$213,0),29))</f>
        <v>9.8124220413000354E-2</v>
      </c>
      <c r="I10" s="54">
        <f>IF(ISERROR(INDEX(data!$A$12:$AI$213,MATCH(HLOOKUP('II. Sledování projektu'!$L$5,vstupy!$N$2:$BY$180,$B10+1,0),data!$B$12:$B$213,0),31)),"",INDEX(data!$A$12:$AI$213,MATCH(HLOOKUP('II. Sledování projektu'!$L$5,vstupy!$N$2:$BY$180,$B10+1,0),data!$B$12:$B$213,0),31))</f>
        <v>2462102.2999999998</v>
      </c>
      <c r="J10" s="53">
        <f t="shared" si="4"/>
        <v>7.1785593912181464E-2</v>
      </c>
      <c r="K10" s="53">
        <f t="shared" si="6"/>
        <v>0.7315787438620065</v>
      </c>
      <c r="L10" s="54">
        <f>IF(ISERROR(INDEX(data!$A$12:$AI$213,MATCH(HLOOKUP('II. Sledování projektu'!$L$5,vstupy!$N$2:$BY$180,$B10+1,0),data!$B$12:$B$213,0),32)),"",INDEX(data!$A$12:$AI$213,MATCH(HLOOKUP('II. Sledování projektu'!$L$5,vstupy!$N$2:$BY$180,$B10+1,0),data!$B$12:$B$213,0),32))</f>
        <v>1159910.2400000002</v>
      </c>
      <c r="M10" s="53">
        <f t="shared" si="2"/>
        <v>0.3202391563227443</v>
      </c>
      <c r="N10" s="54">
        <f>IF(ISERROR(VLOOKUP(C10,data!$C$12:$AD$213,28,0)),0,VLOOKUP(C10,data!$C$12:$AD$213,28,0))</f>
        <v>3365464.5117250863</v>
      </c>
    </row>
    <row r="11" spans="2:15" x14ac:dyDescent="0.2">
      <c r="B11" s="19">
        <f t="shared" si="5"/>
        <v>6</v>
      </c>
      <c r="C11" s="19" t="str">
        <f>IF(ISERROR(INDEX(data!$A$12:$AI$213,MATCH(HLOOKUP('II. Sledování projektu'!$L$5,vstupy!$N$2:$BY$180,$B11+1,0),data!$B$12:$B$213,0),3)),"",INDEX(data!$A$12:$AI$213,MATCH(HLOOKUP('II. Sledování projektu'!$L$5,vstupy!$N$2:$BY$180,$B11+1,0),data!$B$12:$B$213,0),3))</f>
        <v>OZO Ostrava</v>
      </c>
      <c r="D11" s="156">
        <f>IF(ISERROR(INDEX(data!$A$12:$AI$213,MATCH(HLOOKUP('II. Sledování projektu'!$L$5,vstupy!$N$2:$BY$180,$B11+1,0),data!$B$12:$B$213,0),35)),"",INDEX(data!$A$12:$AI$213,MATCH(HLOOKUP('II. Sledování projektu'!$L$5,vstupy!$N$2:$BY$180,$B11+1,0),data!$B$12:$B$213,0),35))</f>
        <v>73.092729901736973</v>
      </c>
      <c r="E11" s="49">
        <f>IF(ISERROR(INDEX(data!$A$12:$AI$213,MATCH(HLOOKUP('II. Sledování projektu'!$L$5,vstupy!$N$2:$BY$180,$B11+1,0),data!$B$12:$B$213,0),27)),"",INDEX(data!$A$12:$AI$213,MATCH(HLOOKUP('II. Sledování projektu'!$L$5,vstupy!$N$2:$BY$180,$B11+1,0),data!$B$12:$B$213,0),27))</f>
        <v>74755000</v>
      </c>
      <c r="F11" s="54">
        <f>IF(ISERROR(INDEX(data!$A$12:$AI$213,MATCH(HLOOKUP('II. Sledování projektu'!$L$5,vstupy!$N$2:$BY$180,$B11+1,0),data!$B$12:$B$213,0),28)),"",INDEX(data!$A$12:$AI$213,MATCH(HLOOKUP('II. Sledování projektu'!$L$5,vstupy!$N$2:$BY$180,$B11+1,0),data!$B$12:$B$213,0),28))</f>
        <v>54638843.849999994</v>
      </c>
      <c r="G11" s="53">
        <f t="shared" si="3"/>
        <v>0.73090554277305853</v>
      </c>
      <c r="H11" s="53">
        <f>IF(ISERROR(INDEX(data!$A$12:$AI$213,MATCH(HLOOKUP('II. Sledování projektu'!$L$5,vstupy!$N$2:$BY$180,$B11+1,0),data!$B$12:$B$213,0),29)),"",INDEX(data!$A$12:$AI$213,MATCH(HLOOKUP('II. Sledování projektu'!$L$5,vstupy!$N$2:$BY$180,$B11+1,0),data!$B$12:$B$213,0),29))</f>
        <v>0.23</v>
      </c>
      <c r="I11" s="54">
        <f>IF(ISERROR(INDEX(data!$A$12:$AI$213,MATCH(HLOOKUP('II. Sledování projektu'!$L$5,vstupy!$N$2:$BY$180,$B11+1,0),data!$B$12:$B$213,0),31)),"",INDEX(data!$A$12:$AI$213,MATCH(HLOOKUP('II. Sledování projektu'!$L$5,vstupy!$N$2:$BY$180,$B11+1,0),data!$B$12:$B$213,0),31))</f>
        <v>10473068.52</v>
      </c>
      <c r="J11" s="53">
        <f t="shared" si="4"/>
        <v>0.14009856892515551</v>
      </c>
      <c r="K11" s="53">
        <f t="shared" si="6"/>
        <v>0.60912421271806738</v>
      </c>
      <c r="L11" s="54">
        <f>IF(ISERROR(INDEX(data!$A$12:$AI$213,MATCH(HLOOKUP('II. Sledování projektu'!$L$5,vstupy!$N$2:$BY$180,$B11+1,0),data!$B$12:$B$213,0),32)),"",INDEX(data!$A$12:$AI$213,MATCH(HLOOKUP('II. Sledování projektu'!$L$5,vstupy!$N$2:$BY$180,$B11+1,0),data!$B$12:$B$213,0),32))</f>
        <v>1075240.99</v>
      </c>
      <c r="M11" s="53">
        <f t="shared" si="2"/>
        <v>9.3108085566023249E-2</v>
      </c>
      <c r="N11" s="54">
        <f>IF(ISERROR(VLOOKUP(C11,data!$C$12:$AD$213,28,0)),0,VLOOKUP(C11,data!$C$12:$AD$213,28,0))</f>
        <v>17193650</v>
      </c>
    </row>
    <row r="12" spans="2:15" x14ac:dyDescent="0.2">
      <c r="B12" s="19">
        <f t="shared" si="5"/>
        <v>7</v>
      </c>
      <c r="C12" s="19" t="str">
        <f>IF(ISERROR(INDEX(data!$A$12:$AI$213,MATCH(HLOOKUP('II. Sledování projektu'!$L$5,vstupy!$N$2:$BY$180,$B12+1,0),data!$B$12:$B$213,0),3)),"",INDEX(data!$A$12:$AI$213,MATCH(HLOOKUP('II. Sledování projektu'!$L$5,vstupy!$N$2:$BY$180,$B12+1,0),data!$B$12:$B$213,0),3))</f>
        <v>Centrum kultury a vzdělávání Moravská Ostrava</v>
      </c>
      <c r="D12" s="156">
        <f>IF(ISERROR(INDEX(data!$A$12:$AI$213,MATCH(HLOOKUP('II. Sledování projektu'!$L$5,vstupy!$N$2:$BY$180,$B12+1,0),data!$B$12:$B$213,0),35)),"",INDEX(data!$A$12:$AI$213,MATCH(HLOOKUP('II. Sledování projektu'!$L$5,vstupy!$N$2:$BY$180,$B12+1,0),data!$B$12:$B$213,0),35))</f>
        <v>14.763552006345311</v>
      </c>
      <c r="E12" s="49">
        <f>IF(ISERROR(INDEX(data!$A$12:$AI$213,MATCH(HLOOKUP('II. Sledování projektu'!$L$5,vstupy!$N$2:$BY$180,$B12+1,0),data!$B$12:$B$213,0),27)),"",INDEX(data!$A$12:$AI$213,MATCH(HLOOKUP('II. Sledování projektu'!$L$5,vstupy!$N$2:$BY$180,$B12+1,0),data!$B$12:$B$213,0),27))</f>
        <v>5097500</v>
      </c>
      <c r="F12" s="54">
        <f>IF(ISERROR(INDEX(data!$A$12:$AI$213,MATCH(HLOOKUP('II. Sledování projektu'!$L$5,vstupy!$N$2:$BY$180,$B12+1,0),data!$B$12:$B$213,0),28)),"",INDEX(data!$A$12:$AI$213,MATCH(HLOOKUP('II. Sledování projektu'!$L$5,vstupy!$N$2:$BY$180,$B12+1,0),data!$B$12:$B$213,0),28))</f>
        <v>13668.88</v>
      </c>
      <c r="G12" s="53">
        <f t="shared" si="3"/>
        <v>2.6814870034330552E-3</v>
      </c>
      <c r="H12" s="53">
        <f>IF(ISERROR(INDEX(data!$A$12:$AI$213,MATCH(HLOOKUP('II. Sledování projektu'!$L$5,vstupy!$N$2:$BY$180,$B12+1,0),data!$B$12:$B$213,0),29)),"",INDEX(data!$A$12:$AI$213,MATCH(HLOOKUP('II. Sledování projektu'!$L$5,vstupy!$N$2:$BY$180,$B12+1,0),data!$B$12:$B$213,0),29))</f>
        <v>7.3318441064654863E-2</v>
      </c>
      <c r="I12" s="54">
        <f>IF(ISERROR(INDEX(data!$A$12:$AI$213,MATCH(HLOOKUP('II. Sledování projektu'!$L$5,vstupy!$N$2:$BY$180,$B12+1,0),data!$B$12:$B$213,0),31)),"",INDEX(data!$A$12:$AI$213,MATCH(HLOOKUP('II. Sledování projektu'!$L$5,vstupy!$N$2:$BY$180,$B12+1,0),data!$B$12:$B$213,0),31))</f>
        <v>91127.200000000012</v>
      </c>
      <c r="J12" s="53">
        <f t="shared" si="4"/>
        <v>1.7876841589014224E-2</v>
      </c>
      <c r="K12" s="53">
        <f t="shared" si="6"/>
        <v>0.24382462760289428</v>
      </c>
      <c r="L12" s="54">
        <f>IF(ISERROR(INDEX(data!$A$12:$AI$213,MATCH(HLOOKUP('II. Sledování projektu'!$L$5,vstupy!$N$2:$BY$180,$B12+1,0),data!$B$12:$B$213,0),32)),"",INDEX(data!$A$12:$AI$213,MATCH(HLOOKUP('II. Sledování projektu'!$L$5,vstupy!$N$2:$BY$180,$B12+1,0),data!$B$12:$B$213,0),32))</f>
        <v>76381.959999999992</v>
      </c>
      <c r="M12" s="53">
        <f t="shared" si="2"/>
        <v>0.45598676514167935</v>
      </c>
      <c r="N12" s="54">
        <f>IF(ISERROR(VLOOKUP(C12,data!$C$12:$AD$213,28,0)),0,VLOOKUP(C12,data!$C$12:$AD$213,28,0))</f>
        <v>373740.75332707819</v>
      </c>
    </row>
    <row r="13" spans="2:15" x14ac:dyDescent="0.2">
      <c r="B13" s="19">
        <f t="shared" si="5"/>
        <v>8</v>
      </c>
      <c r="C13" s="19" t="str">
        <f>IF(ISERROR(INDEX(data!$A$12:$AI$213,MATCH(HLOOKUP('II. Sledování projektu'!$L$5,vstupy!$N$2:$BY$180,$B13+1,0),data!$B$12:$B$213,0),3)),"",INDEX(data!$A$12:$AI$213,MATCH(HLOOKUP('II. Sledování projektu'!$L$5,vstupy!$N$2:$BY$180,$B13+1,0),data!$B$12:$B$213,0),3))</f>
        <v>Čtyřlístek</v>
      </c>
      <c r="D13" s="156">
        <f>IF(ISERROR(INDEX(data!$A$12:$AI$213,MATCH(HLOOKUP('II. Sledování projektu'!$L$5,vstupy!$N$2:$BY$180,$B13+1,0),data!$B$12:$B$213,0),35)),"",INDEX(data!$A$12:$AI$213,MATCH(HLOOKUP('II. Sledování projektu'!$L$5,vstupy!$N$2:$BY$180,$B13+1,0),data!$B$12:$B$213,0),35))</f>
        <v>98.217999728879732</v>
      </c>
      <c r="E13" s="49">
        <f>IF(ISERROR(INDEX(data!$A$12:$AI$213,MATCH(HLOOKUP('II. Sledování projektu'!$L$5,vstupy!$N$2:$BY$180,$B13+1,0),data!$B$12:$B$213,0),27)),"",INDEX(data!$A$12:$AI$213,MATCH(HLOOKUP('II. Sledování projektu'!$L$5,vstupy!$N$2:$BY$180,$B13+1,0),data!$B$12:$B$213,0),27))</f>
        <v>18442000</v>
      </c>
      <c r="F13" s="54">
        <f>IF(ISERROR(INDEX(data!$A$12:$AI$213,MATCH(HLOOKUP('II. Sledování projektu'!$L$5,vstupy!$N$2:$BY$180,$B13+1,0),data!$B$12:$B$213,0),28)),"",INDEX(data!$A$12:$AI$213,MATCH(HLOOKUP('II. Sledování projektu'!$L$5,vstupy!$N$2:$BY$180,$B13+1,0),data!$B$12:$B$213,0),28))</f>
        <v>14111729.050000001</v>
      </c>
      <c r="G13" s="53">
        <f t="shared" si="3"/>
        <v>0.76519515508079383</v>
      </c>
      <c r="H13" s="53">
        <f>IF(ISERROR(INDEX(data!$A$12:$AI$213,MATCH(HLOOKUP('II. Sledování projektu'!$L$5,vstupy!$N$2:$BY$180,$B13+1,0),data!$B$12:$B$213,0),29)),"",INDEX(data!$A$12:$AI$213,MATCH(HLOOKUP('II. Sledování projektu'!$L$5,vstupy!$N$2:$BY$180,$B13+1,0),data!$B$12:$B$213,0),29))</f>
        <v>0.4</v>
      </c>
      <c r="I13" s="54">
        <f>IF(ISERROR(INDEX(data!$A$12:$AI$213,MATCH(HLOOKUP('II. Sledování projektu'!$L$5,vstupy!$N$2:$BY$180,$B13+1,0),data!$B$12:$B$213,0),31)),"",INDEX(data!$A$12:$AI$213,MATCH(HLOOKUP('II. Sledování projektu'!$L$5,vstupy!$N$2:$BY$180,$B13+1,0),data!$B$12:$B$213,0),31))</f>
        <v>7371665.9900000002</v>
      </c>
      <c r="J13" s="53">
        <f t="shared" si="4"/>
        <v>0.39972161316560029</v>
      </c>
      <c r="K13" s="53">
        <f t="shared" si="6"/>
        <v>0.99930403291400072</v>
      </c>
      <c r="L13" s="54">
        <f>IF(ISERROR(INDEX(data!$A$12:$AI$213,MATCH(HLOOKUP('II. Sledování projektu'!$L$5,vstupy!$N$2:$BY$180,$B13+1,0),data!$B$12:$B$213,0),32)),"",INDEX(data!$A$12:$AI$213,MATCH(HLOOKUP('II. Sledování projektu'!$L$5,vstupy!$N$2:$BY$180,$B13+1,0),data!$B$12:$B$213,0),32))</f>
        <v>2781023.41</v>
      </c>
      <c r="M13" s="53">
        <f t="shared" si="2"/>
        <v>0.27391987486586561</v>
      </c>
      <c r="N13" s="54">
        <f>IF(ISERROR(VLOOKUP(C13,data!$C$12:$AD$213,28,0)),0,VLOOKUP(C13,data!$C$12:$AD$213,28,0))</f>
        <v>7376800</v>
      </c>
    </row>
    <row r="14" spans="2:15" x14ac:dyDescent="0.2">
      <c r="B14" s="19">
        <f t="shared" si="5"/>
        <v>9</v>
      </c>
      <c r="C14" s="19" t="str">
        <f>IF(ISERROR(INDEX(data!$A$12:$AI$213,MATCH(HLOOKUP('II. Sledování projektu'!$L$5,vstupy!$N$2:$BY$180,$B14+1,0),data!$B$12:$B$213,0),3)),"",INDEX(data!$A$12:$AI$213,MATCH(HLOOKUP('II. Sledování projektu'!$L$5,vstupy!$N$2:$BY$180,$B14+1,0),data!$B$12:$B$213,0),3))</f>
        <v>Dětské centrum Domeček</v>
      </c>
      <c r="D14" s="156">
        <f>IF(ISERROR(INDEX(data!$A$12:$AI$213,MATCH(HLOOKUP('II. Sledování projektu'!$L$5,vstupy!$N$2:$BY$180,$B14+1,0),data!$B$12:$B$213,0),35)),"",INDEX(data!$A$12:$AI$213,MATCH(HLOOKUP('II. Sledování projektu'!$L$5,vstupy!$N$2:$BY$180,$B14+1,0),data!$B$12:$B$213,0),35))</f>
        <v>81.879169772417328</v>
      </c>
      <c r="E14" s="49">
        <f>IF(ISERROR(INDEX(data!$A$12:$AI$213,MATCH(HLOOKUP('II. Sledování projektu'!$L$5,vstupy!$N$2:$BY$180,$B14+1,0),data!$B$12:$B$213,0),27)),"",INDEX(data!$A$12:$AI$213,MATCH(HLOOKUP('II. Sledování projektu'!$L$5,vstupy!$N$2:$BY$180,$B14+1,0),data!$B$12:$B$213,0),27))</f>
        <v>5093500</v>
      </c>
      <c r="F14" s="54">
        <f>IF(ISERROR(INDEX(data!$A$12:$AI$213,MATCH(HLOOKUP('II. Sledování projektu'!$L$5,vstupy!$N$2:$BY$180,$B14+1,0),data!$B$12:$B$213,0),28)),"",INDEX(data!$A$12:$AI$213,MATCH(HLOOKUP('II. Sledování projektu'!$L$5,vstupy!$N$2:$BY$180,$B14+1,0),data!$B$12:$B$213,0),28))</f>
        <v>3512297.48</v>
      </c>
      <c r="G14" s="53">
        <f t="shared" si="3"/>
        <v>0.68956463728281148</v>
      </c>
      <c r="H14" s="53">
        <f>IF(ISERROR(INDEX(data!$A$12:$AI$213,MATCH(HLOOKUP('II. Sledování projektu'!$L$5,vstupy!$N$2:$BY$180,$B14+1,0),data!$B$12:$B$213,0),29)),"",INDEX(data!$A$12:$AI$213,MATCH(HLOOKUP('II. Sledování projektu'!$L$5,vstupy!$N$2:$BY$180,$B14+1,0),data!$B$12:$B$213,0),29))</f>
        <v>0.31910743587956197</v>
      </c>
      <c r="I14" s="54">
        <f>IF(ISERROR(INDEX(data!$A$12:$AI$213,MATCH(HLOOKUP('II. Sledování projektu'!$L$5,vstupy!$N$2:$BY$180,$B14+1,0),data!$B$12:$B$213,0),31)),"",INDEX(data!$A$12:$AI$213,MATCH(HLOOKUP('II. Sledování projektu'!$L$5,vstupy!$N$2:$BY$180,$B14+1,0),data!$B$12:$B$213,0),31))</f>
        <v>1284070.6499999999</v>
      </c>
      <c r="J14" s="53">
        <f t="shared" si="4"/>
        <v>0.25209986256994205</v>
      </c>
      <c r="K14" s="53">
        <f t="shared" si="6"/>
        <v>0.79001563180461254</v>
      </c>
      <c r="L14" s="54">
        <f>IF(ISERROR(INDEX(data!$A$12:$AI$213,MATCH(HLOOKUP('II. Sledování projektu'!$L$5,vstupy!$N$2:$BY$180,$B14+1,0),data!$B$12:$B$213,0),32)),"",INDEX(data!$A$12:$AI$213,MATCH(HLOOKUP('II. Sledování projektu'!$L$5,vstupy!$N$2:$BY$180,$B14+1,0),data!$B$12:$B$213,0),32))</f>
        <v>380264.26</v>
      </c>
      <c r="M14" s="53">
        <f t="shared" si="2"/>
        <v>0.22847820935270777</v>
      </c>
      <c r="N14" s="54">
        <f>IF(ISERROR(VLOOKUP(C14,data!$C$12:$AD$213,28,0)),0,VLOOKUP(C14,data!$C$12:$AD$213,28,0))</f>
        <v>1625373.724652549</v>
      </c>
    </row>
    <row r="15" spans="2:15" x14ac:dyDescent="0.2">
      <c r="B15" s="19">
        <f t="shared" si="5"/>
        <v>10</v>
      </c>
      <c r="C15" s="19" t="str">
        <f>IF(ISERROR(INDEX(data!$A$12:$AI$213,MATCH(HLOOKUP('II. Sledování projektu'!$L$5,vstupy!$N$2:$BY$180,$B15+1,0),data!$B$12:$B$213,0),3)),"",INDEX(data!$A$12:$AI$213,MATCH(HLOOKUP('II. Sledování projektu'!$L$5,vstupy!$N$2:$BY$180,$B15+1,0),data!$B$12:$B$213,0),3))</f>
        <v>Divadlo loutek Ostrava</v>
      </c>
      <c r="D15" s="156">
        <f>IF(ISERROR(INDEX(data!$A$12:$AI$213,MATCH(HLOOKUP('II. Sledování projektu'!$L$5,vstupy!$N$2:$BY$180,$B15+1,0),data!$B$12:$B$213,0),35)),"",INDEX(data!$A$12:$AI$213,MATCH(HLOOKUP('II. Sledování projektu'!$L$5,vstupy!$N$2:$BY$180,$B15+1,0),data!$B$12:$B$213,0),35))</f>
        <v>91.461635558804801</v>
      </c>
      <c r="E15" s="49">
        <f>IF(ISERROR(INDEX(data!$A$12:$AI$213,MATCH(HLOOKUP('II. Sledování projektu'!$L$5,vstupy!$N$2:$BY$180,$B15+1,0),data!$B$12:$B$213,0),27)),"",INDEX(data!$A$12:$AI$213,MATCH(HLOOKUP('II. Sledování projektu'!$L$5,vstupy!$N$2:$BY$180,$B15+1,0),data!$B$12:$B$213,0),27))</f>
        <v>3772470</v>
      </c>
      <c r="F15" s="54">
        <f>IF(ISERROR(INDEX(data!$A$12:$AI$213,MATCH(HLOOKUP('II. Sledování projektu'!$L$5,vstupy!$N$2:$BY$180,$B15+1,0),data!$B$12:$B$213,0),28)),"",INDEX(data!$A$12:$AI$213,MATCH(HLOOKUP('II. Sledování projektu'!$L$5,vstupy!$N$2:$BY$180,$B15+1,0),data!$B$12:$B$213,0),28))</f>
        <v>2965795.3200000003</v>
      </c>
      <c r="G15" s="53">
        <f t="shared" si="3"/>
        <v>0.78616803314539285</v>
      </c>
      <c r="H15" s="53">
        <f>IF(ISERROR(INDEX(data!$A$12:$AI$213,MATCH(HLOOKUP('II. Sledování projektu'!$L$5,vstupy!$N$2:$BY$180,$B15+1,0),data!$B$12:$B$213,0),29)),"",INDEX(data!$A$12:$AI$213,MATCH(HLOOKUP('II. Sledování projektu'!$L$5,vstupy!$N$2:$BY$180,$B15+1,0),data!$B$12:$B$213,0),29))</f>
        <v>0.23641056672313276</v>
      </c>
      <c r="I15" s="54">
        <f>IF(ISERROR(INDEX(data!$A$12:$AI$213,MATCH(HLOOKUP('II. Sledování projektu'!$L$5,vstupy!$N$2:$BY$180,$B15+1,0),data!$B$12:$B$213,0),31)),"",INDEX(data!$A$12:$AI$213,MATCH(HLOOKUP('II. Sledování projektu'!$L$5,vstupy!$N$2:$BY$180,$B15+1,0),data!$B$12:$B$213,0),31))</f>
        <v>775215.9</v>
      </c>
      <c r="J15" s="53">
        <f t="shared" si="4"/>
        <v>0.20549292638510047</v>
      </c>
      <c r="K15" s="53">
        <f t="shared" si="6"/>
        <v>0.86922056502558609</v>
      </c>
      <c r="L15" s="54">
        <f>IF(ISERROR(INDEX(data!$A$12:$AI$213,MATCH(HLOOKUP('II. Sledování projektu'!$L$5,vstupy!$N$2:$BY$180,$B15+1,0),data!$B$12:$B$213,0),32)),"",INDEX(data!$A$12:$AI$213,MATCH(HLOOKUP('II. Sledování projektu'!$L$5,vstupy!$N$2:$BY$180,$B15+1,0),data!$B$12:$B$213,0),32))</f>
        <v>440979.76999999996</v>
      </c>
      <c r="M15" s="53">
        <f t="shared" si="2"/>
        <v>0.3625894918701692</v>
      </c>
      <c r="N15" s="54">
        <f>IF(ISERROR(VLOOKUP(C15,data!$C$12:$AD$213,28,0)),0,VLOOKUP(C15,data!$C$12:$AD$213,28,0))</f>
        <v>891851.7706460167</v>
      </c>
    </row>
    <row r="16" spans="2:15" x14ac:dyDescent="0.2">
      <c r="B16" s="19">
        <f t="shared" si="5"/>
        <v>11</v>
      </c>
      <c r="C16" s="19" t="str">
        <f>IF(ISERROR(INDEX(data!$A$12:$AI$213,MATCH(HLOOKUP('II. Sledování projektu'!$L$5,vstupy!$N$2:$BY$180,$B16+1,0),data!$B$12:$B$213,0),3)),"",INDEX(data!$A$12:$AI$213,MATCH(HLOOKUP('II. Sledování projektu'!$L$5,vstupy!$N$2:$BY$180,$B16+1,0),data!$B$12:$B$213,0),3))</f>
        <v>Domov Čujkovova</v>
      </c>
      <c r="D16" s="156">
        <f>IF(ISERROR(INDEX(data!$A$12:$AI$213,MATCH(HLOOKUP('II. Sledování projektu'!$L$5,vstupy!$N$2:$BY$180,$B16+1,0),data!$B$12:$B$213,0),35)),"",INDEX(data!$A$12:$AI$213,MATCH(HLOOKUP('II. Sledování projektu'!$L$5,vstupy!$N$2:$BY$180,$B16+1,0),data!$B$12:$B$213,0),35))</f>
        <v>90.840293808235657</v>
      </c>
      <c r="E16" s="49">
        <f>IF(ISERROR(INDEX(data!$A$12:$AI$213,MATCH(HLOOKUP('II. Sledování projektu'!$L$5,vstupy!$N$2:$BY$180,$B16+1,0),data!$B$12:$B$213,0),27)),"",INDEX(data!$A$12:$AI$213,MATCH(HLOOKUP('II. Sledování projektu'!$L$5,vstupy!$N$2:$BY$180,$B16+1,0),data!$B$12:$B$213,0),27))</f>
        <v>9981000</v>
      </c>
      <c r="F16" s="54">
        <f>IF(ISERROR(INDEX(data!$A$12:$AI$213,MATCH(HLOOKUP('II. Sledování projektu'!$L$5,vstupy!$N$2:$BY$180,$B16+1,0),data!$B$12:$B$213,0),28)),"",INDEX(data!$A$12:$AI$213,MATCH(HLOOKUP('II. Sledování projektu'!$L$5,vstupy!$N$2:$BY$180,$B16+1,0),data!$B$12:$B$213,0),28))</f>
        <v>6156339.4500000002</v>
      </c>
      <c r="G16" s="53">
        <f t="shared" si="3"/>
        <v>0.61680587616471294</v>
      </c>
      <c r="H16" s="53">
        <f>IF(ISERROR(INDEX(data!$A$12:$AI$213,MATCH(HLOOKUP('II. Sledování projektu'!$L$5,vstupy!$N$2:$BY$180,$B16+1,0),data!$B$12:$B$213,0),29)),"",INDEX(data!$A$12:$AI$213,MATCH(HLOOKUP('II. Sledování projektu'!$L$5,vstupy!$N$2:$BY$180,$B16+1,0),data!$B$12:$B$213,0),29))</f>
        <v>0.39</v>
      </c>
      <c r="I16" s="54">
        <f>IF(ISERROR(INDEX(data!$A$12:$AI$213,MATCH(HLOOKUP('II. Sledování projektu'!$L$5,vstupy!$N$2:$BY$180,$B16+1,0),data!$B$12:$B$213,0),31)),"",INDEX(data!$A$12:$AI$213,MATCH(HLOOKUP('II. Sledování projektu'!$L$5,vstupy!$N$2:$BY$180,$B16+1,0),data!$B$12:$B$213,0),31))</f>
        <v>4662381.7300000004</v>
      </c>
      <c r="J16" s="53">
        <f t="shared" si="4"/>
        <v>0.46712571185251983</v>
      </c>
      <c r="K16" s="53">
        <f t="shared" si="6"/>
        <v>1.1977582355192815</v>
      </c>
      <c r="L16" s="54">
        <f>IF(ISERROR(INDEX(data!$A$12:$AI$213,MATCH(HLOOKUP('II. Sledování projektu'!$L$5,vstupy!$N$2:$BY$180,$B16+1,0),data!$B$12:$B$213,0),32)),"",INDEX(data!$A$12:$AI$213,MATCH(HLOOKUP('II. Sledování projektu'!$L$5,vstupy!$N$2:$BY$180,$B16+1,0),data!$B$12:$B$213,0),32))</f>
        <v>1392646.13</v>
      </c>
      <c r="M16" s="53">
        <f t="shared" si="2"/>
        <v>0.22999830260070839</v>
      </c>
      <c r="N16" s="54">
        <f>IF(ISERROR(VLOOKUP(C16,data!$C$12:$AD$213,28,0)),0,VLOOKUP(C16,data!$C$12:$AD$213,28,0))</f>
        <v>3892590</v>
      </c>
    </row>
    <row r="17" spans="2:14" x14ac:dyDescent="0.2">
      <c r="B17" s="19">
        <f t="shared" si="5"/>
        <v>12</v>
      </c>
      <c r="C17" s="19" t="str">
        <f>IF(ISERROR(INDEX(data!$A$12:$AI$213,MATCH(HLOOKUP('II. Sledování projektu'!$L$5,vstupy!$N$2:$BY$180,$B17+1,0),data!$B$12:$B$213,0),3)),"",INDEX(data!$A$12:$AI$213,MATCH(HLOOKUP('II. Sledování projektu'!$L$5,vstupy!$N$2:$BY$180,$B17+1,0),data!$B$12:$B$213,0),3))</f>
        <v>Domov Korýtko</v>
      </c>
      <c r="D17" s="156">
        <f>IF(ISERROR(INDEX(data!$A$12:$AI$213,MATCH(HLOOKUP('II. Sledování projektu'!$L$5,vstupy!$N$2:$BY$180,$B17+1,0),data!$B$12:$B$213,0),35)),"",INDEX(data!$A$12:$AI$213,MATCH(HLOOKUP('II. Sledování projektu'!$L$5,vstupy!$N$2:$BY$180,$B17+1,0),data!$B$12:$B$213,0),35))</f>
        <v>79.716319590753969</v>
      </c>
      <c r="E17" s="49">
        <f>IF(ISERROR(INDEX(data!$A$12:$AI$213,MATCH(HLOOKUP('II. Sledování projektu'!$L$5,vstupy!$N$2:$BY$180,$B17+1,0),data!$B$12:$B$213,0),27)),"",INDEX(data!$A$12:$AI$213,MATCH(HLOOKUP('II. Sledování projektu'!$L$5,vstupy!$N$2:$BY$180,$B17+1,0),data!$B$12:$B$213,0),27))</f>
        <v>12317110.5</v>
      </c>
      <c r="F17" s="54">
        <f>IF(ISERROR(INDEX(data!$A$12:$AI$213,MATCH(HLOOKUP('II. Sledování projektu'!$L$5,vstupy!$N$2:$BY$180,$B17+1,0),data!$B$12:$B$213,0),28)),"",INDEX(data!$A$12:$AI$213,MATCH(HLOOKUP('II. Sledování projektu'!$L$5,vstupy!$N$2:$BY$180,$B17+1,0),data!$B$12:$B$213,0),28))</f>
        <v>5202999.5199999996</v>
      </c>
      <c r="G17" s="53">
        <f t="shared" si="3"/>
        <v>0.42242046298115127</v>
      </c>
      <c r="H17" s="53">
        <f>IF(ISERROR(INDEX(data!$A$12:$AI$213,MATCH(HLOOKUP('II. Sledování projektu'!$L$5,vstupy!$N$2:$BY$180,$B17+1,0),data!$B$12:$B$213,0),29)),"",INDEX(data!$A$12:$AI$213,MATCH(HLOOKUP('II. Sledování projektu'!$L$5,vstupy!$N$2:$BY$180,$B17+1,0),data!$B$12:$B$213,0),29))</f>
        <v>0.38</v>
      </c>
      <c r="I17" s="54">
        <f>IF(ISERROR(INDEX(data!$A$12:$AI$213,MATCH(HLOOKUP('II. Sledování projektu'!$L$5,vstupy!$N$2:$BY$180,$B17+1,0),data!$B$12:$B$213,0),31)),"",INDEX(data!$A$12:$AI$213,MATCH(HLOOKUP('II. Sledování projektu'!$L$5,vstupy!$N$2:$BY$180,$B17+1,0),data!$B$12:$B$213,0),31))</f>
        <v>4570923.3599999994</v>
      </c>
      <c r="J17" s="53">
        <f t="shared" si="4"/>
        <v>0.37110354413074392</v>
      </c>
      <c r="K17" s="53">
        <f t="shared" si="6"/>
        <v>0.97658827402827342</v>
      </c>
      <c r="L17" s="54">
        <f>IF(ISERROR(INDEX(data!$A$12:$AI$213,MATCH(HLOOKUP('II. Sledování projektu'!$L$5,vstupy!$N$2:$BY$180,$B17+1,0),data!$B$12:$B$213,0),32)),"",INDEX(data!$A$12:$AI$213,MATCH(HLOOKUP('II. Sledování projektu'!$L$5,vstupy!$N$2:$BY$180,$B17+1,0),data!$B$12:$B$213,0),32))</f>
        <v>1104335.1399999999</v>
      </c>
      <c r="M17" s="53">
        <f t="shared" si="2"/>
        <v>0.1945876368450882</v>
      </c>
      <c r="N17" s="54">
        <f>IF(ISERROR(VLOOKUP(C17,data!$C$12:$AD$213,28,0)),0,VLOOKUP(C17,data!$C$12:$AD$213,28,0))</f>
        <v>4680501.99</v>
      </c>
    </row>
    <row r="18" spans="2:14" x14ac:dyDescent="0.2">
      <c r="B18" s="19">
        <f t="shared" si="5"/>
        <v>13</v>
      </c>
      <c r="C18" s="19" t="str">
        <f>IF(ISERROR(INDEX(data!$A$12:$AI$213,MATCH(HLOOKUP('II. Sledování projektu'!$L$5,vstupy!$N$2:$BY$180,$B18+1,0),data!$B$12:$B$213,0),3)),"",INDEX(data!$A$12:$AI$213,MATCH(HLOOKUP('II. Sledování projektu'!$L$5,vstupy!$N$2:$BY$180,$B18+1,0),data!$B$12:$B$213,0),3))</f>
        <v>Domov Magnolie</v>
      </c>
      <c r="D18" s="156">
        <f>IF(ISERROR(INDEX(data!$A$12:$AI$213,MATCH(HLOOKUP('II. Sledování projektu'!$L$5,vstupy!$N$2:$BY$180,$B18+1,0),data!$B$12:$B$213,0),35)),"",INDEX(data!$A$12:$AI$213,MATCH(HLOOKUP('II. Sledování projektu'!$L$5,vstupy!$N$2:$BY$180,$B18+1,0),data!$B$12:$B$213,0),35))</f>
        <v>69.835629589869953</v>
      </c>
      <c r="E18" s="49">
        <f>IF(ISERROR(INDEX(data!$A$12:$AI$213,MATCH(HLOOKUP('II. Sledování projektu'!$L$5,vstupy!$N$2:$BY$180,$B18+1,0),data!$B$12:$B$213,0),27)),"",INDEX(data!$A$12:$AI$213,MATCH(HLOOKUP('II. Sledování projektu'!$L$5,vstupy!$N$2:$BY$180,$B18+1,0),data!$B$12:$B$213,0),27))</f>
        <v>3616500</v>
      </c>
      <c r="F18" s="54">
        <f>IF(ISERROR(INDEX(data!$A$12:$AI$213,MATCH(HLOOKUP('II. Sledování projektu'!$L$5,vstupy!$N$2:$BY$180,$B18+1,0),data!$B$12:$B$213,0),28)),"",INDEX(data!$A$12:$AI$213,MATCH(HLOOKUP('II. Sledování projektu'!$L$5,vstupy!$N$2:$BY$180,$B18+1,0),data!$B$12:$B$213,0),28))</f>
        <v>1552353.7</v>
      </c>
      <c r="G18" s="53">
        <f t="shared" si="3"/>
        <v>0.42924200193557305</v>
      </c>
      <c r="H18" s="53">
        <f>IF(ISERROR(INDEX(data!$A$12:$AI$213,MATCH(HLOOKUP('II. Sledování projektu'!$L$5,vstupy!$N$2:$BY$180,$B18+1,0),data!$B$12:$B$213,0),29)),"",INDEX(data!$A$12:$AI$213,MATCH(HLOOKUP('II. Sledování projektu'!$L$5,vstupy!$N$2:$BY$180,$B18+1,0),data!$B$12:$B$213,0),29))</f>
        <v>0.51</v>
      </c>
      <c r="I18" s="54">
        <f>IF(ISERROR(INDEX(data!$A$12:$AI$213,MATCH(HLOOKUP('II. Sledování projektu'!$L$5,vstupy!$N$2:$BY$180,$B18+1,0),data!$B$12:$B$213,0),31)),"",INDEX(data!$A$12:$AI$213,MATCH(HLOOKUP('II. Sledování projektu'!$L$5,vstupy!$N$2:$BY$180,$B18+1,0),data!$B$12:$B$213,0),31))</f>
        <v>1487014.3900000001</v>
      </c>
      <c r="J18" s="53">
        <f t="shared" si="4"/>
        <v>0.4111750006912761</v>
      </c>
      <c r="K18" s="53">
        <f t="shared" si="6"/>
        <v>0.80622549155152179</v>
      </c>
      <c r="L18" s="54">
        <f>IF(ISERROR(INDEX(data!$A$12:$AI$213,MATCH(HLOOKUP('II. Sledování projektu'!$L$5,vstupy!$N$2:$BY$180,$B18+1,0),data!$B$12:$B$213,0),32)),"",INDEX(data!$A$12:$AI$213,MATCH(HLOOKUP('II. Sledování projektu'!$L$5,vstupy!$N$2:$BY$180,$B18+1,0),data!$B$12:$B$213,0),32))</f>
        <v>865169.65</v>
      </c>
      <c r="M18" s="53">
        <f t="shared" si="2"/>
        <v>0.36781545801152532</v>
      </c>
      <c r="N18" s="54">
        <f>IF(ISERROR(VLOOKUP(C18,data!$C$12:$AD$213,28,0)),0,VLOOKUP(C18,data!$C$12:$AD$213,28,0))</f>
        <v>1844415</v>
      </c>
    </row>
    <row r="19" spans="2:14" x14ac:dyDescent="0.2">
      <c r="B19" s="19">
        <f t="shared" si="5"/>
        <v>14</v>
      </c>
      <c r="C19" s="19" t="str">
        <f>IF(ISERROR(INDEX(data!$A$12:$AI$213,MATCH(HLOOKUP('II. Sledování projektu'!$L$5,vstupy!$N$2:$BY$180,$B19+1,0),data!$B$12:$B$213,0),3)),"",INDEX(data!$A$12:$AI$213,MATCH(HLOOKUP('II. Sledování projektu'!$L$5,vstupy!$N$2:$BY$180,$B19+1,0),data!$B$12:$B$213,0),3))</f>
        <v>Dům kultury Akord</v>
      </c>
      <c r="D19" s="156">
        <f>IF(ISERROR(INDEX(data!$A$12:$AI$213,MATCH(HLOOKUP('II. Sledování projektu'!$L$5,vstupy!$N$2:$BY$180,$B19+1,0),data!$B$12:$B$213,0),35)),"",INDEX(data!$A$12:$AI$213,MATCH(HLOOKUP('II. Sledování projektu'!$L$5,vstupy!$N$2:$BY$180,$B19+1,0),data!$B$12:$B$213,0),35))</f>
        <v>35.034148756906077</v>
      </c>
      <c r="E19" s="49">
        <f>IF(ISERROR(INDEX(data!$A$12:$AI$213,MATCH(HLOOKUP('II. Sledování projektu'!$L$5,vstupy!$N$2:$BY$180,$B19+1,0),data!$B$12:$B$213,0),27)),"",INDEX(data!$A$12:$AI$213,MATCH(HLOOKUP('II. Sledování projektu'!$L$5,vstupy!$N$2:$BY$180,$B19+1,0),data!$B$12:$B$213,0),27))</f>
        <v>7240000</v>
      </c>
      <c r="F19" s="54">
        <f>IF(ISERROR(INDEX(data!$A$12:$AI$213,MATCH(HLOOKUP('II. Sledování projektu'!$L$5,vstupy!$N$2:$BY$180,$B19+1,0),data!$B$12:$B$213,0),28)),"",INDEX(data!$A$12:$AI$213,MATCH(HLOOKUP('II. Sledování projektu'!$L$5,vstupy!$N$2:$BY$180,$B19+1,0),data!$B$12:$B$213,0),28))</f>
        <v>2071393.94</v>
      </c>
      <c r="G19" s="53">
        <f t="shared" si="3"/>
        <v>0.286104135359116</v>
      </c>
      <c r="H19" s="53">
        <f>IF(ISERROR(INDEX(data!$A$12:$AI$213,MATCH(HLOOKUP('II. Sledování projektu'!$L$5,vstupy!$N$2:$BY$180,$B19+1,0),data!$B$12:$B$213,0),29)),"",INDEX(data!$A$12:$AI$213,MATCH(HLOOKUP('II. Sledování projektu'!$L$5,vstupy!$N$2:$BY$180,$B19+1,0),data!$B$12:$B$213,0),29))</f>
        <v>0.15</v>
      </c>
      <c r="I19" s="54">
        <f>IF(ISERROR(INDEX(data!$A$12:$AI$213,MATCH(HLOOKUP('II. Sledování projektu'!$L$5,vstupy!$N$2:$BY$180,$B19+1,0),data!$B$12:$B$213,0),31)),"",INDEX(data!$A$12:$AI$213,MATCH(HLOOKUP('II. Sledování projektu'!$L$5,vstupy!$N$2:$BY$180,$B19+1,0),data!$B$12:$B$213,0),31))</f>
        <v>375193.85</v>
      </c>
      <c r="J19" s="53">
        <f t="shared" si="4"/>
        <v>5.1822354972375688E-2</v>
      </c>
      <c r="K19" s="53">
        <f t="shared" si="6"/>
        <v>0.34548236648250458</v>
      </c>
      <c r="L19" s="54">
        <f>IF(ISERROR(INDEX(data!$A$12:$AI$213,MATCH(HLOOKUP('II. Sledování projektu'!$L$5,vstupy!$N$2:$BY$180,$B19+1,0),data!$B$12:$B$213,0),32)),"",INDEX(data!$A$12:$AI$213,MATCH(HLOOKUP('II. Sledování projektu'!$L$5,vstupy!$N$2:$BY$180,$B19+1,0),data!$B$12:$B$213,0),32))</f>
        <v>188716.84</v>
      </c>
      <c r="M19" s="53">
        <f t="shared" si="2"/>
        <v>0.33465731958370931</v>
      </c>
      <c r="N19" s="54">
        <f>IF(ISERROR(VLOOKUP(C19,data!$C$12:$AD$213,28,0)),0,VLOOKUP(C19,data!$C$12:$AD$213,28,0))</f>
        <v>1086000</v>
      </c>
    </row>
    <row r="20" spans="2:14" x14ac:dyDescent="0.2">
      <c r="B20" s="19">
        <f t="shared" si="5"/>
        <v>15</v>
      </c>
      <c r="C20" s="19" t="str">
        <f>IF(ISERROR(INDEX(data!$A$12:$AI$213,MATCH(HLOOKUP('II. Sledování projektu'!$L$5,vstupy!$N$2:$BY$180,$B20+1,0),data!$B$12:$B$213,0),3)),"",INDEX(data!$A$12:$AI$213,MATCH(HLOOKUP('II. Sledování projektu'!$L$5,vstupy!$N$2:$BY$180,$B20+1,0),data!$B$12:$B$213,0),3))</f>
        <v>Komorní scéna Aréna</v>
      </c>
      <c r="D20" s="156">
        <f>IF(ISERROR(INDEX(data!$A$12:$AI$213,MATCH(HLOOKUP('II. Sledování projektu'!$L$5,vstupy!$N$2:$BY$180,$B20+1,0),data!$B$12:$B$213,0),35)),"",INDEX(data!$A$12:$AI$213,MATCH(HLOOKUP('II. Sledování projektu'!$L$5,vstupy!$N$2:$BY$180,$B20+1,0),data!$B$12:$B$213,0),35))</f>
        <v>51.81240478739376</v>
      </c>
      <c r="E20" s="49">
        <f>IF(ISERROR(INDEX(data!$A$12:$AI$213,MATCH(HLOOKUP('II. Sledování projektu'!$L$5,vstupy!$N$2:$BY$180,$B20+1,0),data!$B$12:$B$213,0),27)),"",INDEX(data!$A$12:$AI$213,MATCH(HLOOKUP('II. Sledování projektu'!$L$5,vstupy!$N$2:$BY$180,$B20+1,0),data!$B$12:$B$213,0),27))</f>
        <v>2558000</v>
      </c>
      <c r="F20" s="54">
        <f>IF(ISERROR(INDEX(data!$A$12:$AI$213,MATCH(HLOOKUP('II. Sledování projektu'!$L$5,vstupy!$N$2:$BY$180,$B20+1,0),data!$B$12:$B$213,0),28)),"",INDEX(data!$A$12:$AI$213,MATCH(HLOOKUP('II. Sledování projektu'!$L$5,vstupy!$N$2:$BY$180,$B20+1,0),data!$B$12:$B$213,0),28))</f>
        <v>2047609.26</v>
      </c>
      <c r="G20" s="53">
        <f t="shared" si="3"/>
        <v>0.80047273651290074</v>
      </c>
      <c r="H20" s="53">
        <f>IF(ISERROR(INDEX(data!$A$12:$AI$213,MATCH(HLOOKUP('II. Sledování projektu'!$L$5,vstupy!$N$2:$BY$180,$B20+1,0),data!$B$12:$B$213,0),29)),"",INDEX(data!$A$12:$AI$213,MATCH(HLOOKUP('II. Sledování projektu'!$L$5,vstupy!$N$2:$BY$180,$B20+1,0),data!$B$12:$B$213,0),29))</f>
        <v>8.9867162672331385E-2</v>
      </c>
      <c r="I20" s="54">
        <f>IF(ISERROR(INDEX(data!$A$12:$AI$213,MATCH(HLOOKUP('II. Sledování projektu'!$L$5,vstupy!$N$2:$BY$180,$B20+1,0),data!$B$12:$B$213,0),31)),"",INDEX(data!$A$12:$AI$213,MATCH(HLOOKUP('II. Sledování projektu'!$L$5,vstupy!$N$2:$BY$180,$B20+1,0),data!$B$12:$B$213,0),31))</f>
        <v>45257.3</v>
      </c>
      <c r="J20" s="53">
        <f t="shared" si="4"/>
        <v>1.7692455043002348E-2</v>
      </c>
      <c r="K20" s="53">
        <f t="shared" si="6"/>
        <v>0.19687341312322928</v>
      </c>
      <c r="L20" s="54">
        <f>IF(ISERROR(INDEX(data!$A$12:$AI$213,MATCH(HLOOKUP('II. Sledování projektu'!$L$5,vstupy!$N$2:$BY$180,$B20+1,0),data!$B$12:$B$213,0),32)),"",INDEX(data!$A$12:$AI$213,MATCH(HLOOKUP('II. Sledování projektu'!$L$5,vstupy!$N$2:$BY$180,$B20+1,0),data!$B$12:$B$213,0),32))</f>
        <v>50021.35</v>
      </c>
      <c r="M20" s="53">
        <f t="shared" si="2"/>
        <v>0.52500061661243103</v>
      </c>
      <c r="N20" s="54">
        <f>IF(ISERROR(VLOOKUP(C20,data!$C$12:$AD$213,28,0)),0,VLOOKUP(C20,data!$C$12:$AD$213,28,0))</f>
        <v>229880.20211582369</v>
      </c>
    </row>
    <row r="21" spans="2:14" x14ac:dyDescent="0.2">
      <c r="B21" s="19">
        <f t="shared" si="5"/>
        <v>16</v>
      </c>
      <c r="C21" s="19" t="str">
        <f>IF(ISERROR(INDEX(data!$A$12:$AI$213,MATCH(HLOOKUP('II. Sledování projektu'!$L$5,vstupy!$N$2:$BY$180,$B21+1,0),data!$B$12:$B$213,0),3)),"",INDEX(data!$A$12:$AI$213,MATCH(HLOOKUP('II. Sledování projektu'!$L$5,vstupy!$N$2:$BY$180,$B21+1,0),data!$B$12:$B$213,0),3))</f>
        <v>Ostravské komunikace</v>
      </c>
      <c r="D21" s="156">
        <f>IF(ISERROR(INDEX(data!$A$12:$AI$213,MATCH(HLOOKUP('II. Sledování projektu'!$L$5,vstupy!$N$2:$BY$180,$B21+1,0),data!$B$12:$B$213,0),35)),"",INDEX(data!$A$12:$AI$213,MATCH(HLOOKUP('II. Sledování projektu'!$L$5,vstupy!$N$2:$BY$180,$B21+1,0),data!$B$12:$B$213,0),35))</f>
        <v>46.382236604115839</v>
      </c>
      <c r="E21" s="49">
        <f>IF(ISERROR(INDEX(data!$A$12:$AI$213,MATCH(HLOOKUP('II. Sledování projektu'!$L$5,vstupy!$N$2:$BY$180,$B21+1,0),data!$B$12:$B$213,0),27)),"",INDEX(data!$A$12:$AI$213,MATCH(HLOOKUP('II. Sledování projektu'!$L$5,vstupy!$N$2:$BY$180,$B21+1,0),data!$B$12:$B$213,0),27))</f>
        <v>95620916</v>
      </c>
      <c r="F21" s="54">
        <f>IF(ISERROR(INDEX(data!$A$12:$AI$213,MATCH(HLOOKUP('II. Sledování projektu'!$L$5,vstupy!$N$2:$BY$180,$B21+1,0),data!$B$12:$B$213,0),28)),"",INDEX(data!$A$12:$AI$213,MATCH(HLOOKUP('II. Sledování projektu'!$L$5,vstupy!$N$2:$BY$180,$B21+1,0),data!$B$12:$B$213,0),28))</f>
        <v>6959332.8899999997</v>
      </c>
      <c r="G21" s="53">
        <f t="shared" si="3"/>
        <v>7.2780445755194392E-2</v>
      </c>
      <c r="H21" s="53">
        <f>IF(ISERROR(INDEX(data!$A$12:$AI$213,MATCH(HLOOKUP('II. Sledování projektu'!$L$5,vstupy!$N$2:$BY$180,$B21+1,0),data!$B$12:$B$213,0),29)),"",INDEX(data!$A$12:$AI$213,MATCH(HLOOKUP('II. Sledování projektu'!$L$5,vstupy!$N$2:$BY$180,$B21+1,0),data!$B$12:$B$213,0),29))</f>
        <v>0.21</v>
      </c>
      <c r="I21" s="54">
        <f>IF(ISERROR(INDEX(data!$A$12:$AI$213,MATCH(HLOOKUP('II. Sledování projektu'!$L$5,vstupy!$N$2:$BY$180,$B21+1,0),data!$B$12:$B$213,0),31)),"",INDEX(data!$A$12:$AI$213,MATCH(HLOOKUP('II. Sledování projektu'!$L$5,vstupy!$N$2:$BY$180,$B21+1,0),data!$B$12:$B$213,0),31))</f>
        <v>14305008.57</v>
      </c>
      <c r="J21" s="53">
        <f t="shared" si="4"/>
        <v>0.14960125010724643</v>
      </c>
      <c r="K21" s="53">
        <f t="shared" si="6"/>
        <v>0.71238690527260196</v>
      </c>
      <c r="L21" s="54">
        <f>IF(ISERROR(INDEX(data!$A$12:$AI$213,MATCH(HLOOKUP('II. Sledování projektu'!$L$5,vstupy!$N$2:$BY$180,$B21+1,0),data!$B$12:$B$213,0),32)),"",INDEX(data!$A$12:$AI$213,MATCH(HLOOKUP('II. Sledování projektu'!$L$5,vstupy!$N$2:$BY$180,$B21+1,0),data!$B$12:$B$213,0),32))</f>
        <v>862031.57</v>
      </c>
      <c r="M21" s="53">
        <f t="shared" si="2"/>
        <v>5.6835846812758543E-2</v>
      </c>
      <c r="N21" s="54">
        <f>IF(ISERROR(VLOOKUP(C21,data!$C$12:$AD$213,28,0)),0,VLOOKUP(C21,data!$C$12:$AD$213,28,0))</f>
        <v>20080392.359999999</v>
      </c>
    </row>
    <row r="22" spans="2:14" x14ac:dyDescent="0.2">
      <c r="B22" s="19">
        <f t="shared" si="5"/>
        <v>17</v>
      </c>
      <c r="C22" s="19" t="str">
        <f>IF(ISERROR(INDEX(data!$A$12:$AI$213,MATCH(HLOOKUP('II. Sledování projektu'!$L$5,vstupy!$N$2:$BY$180,$B22+1,0),data!$B$12:$B$213,0),3)),"",INDEX(data!$A$12:$AI$213,MATCH(HLOOKUP('II. Sledování projektu'!$L$5,vstupy!$N$2:$BY$180,$B22+1,0),data!$B$12:$B$213,0),3))</f>
        <v>SAREZA</v>
      </c>
      <c r="D22" s="156">
        <f>IF(ISERROR(INDEX(data!$A$12:$AI$213,MATCH(HLOOKUP('II. Sledování projektu'!$L$5,vstupy!$N$2:$BY$180,$B22+1,0),data!$B$12:$B$213,0),35)),"",INDEX(data!$A$12:$AI$213,MATCH(HLOOKUP('II. Sledování projektu'!$L$5,vstupy!$N$2:$BY$180,$B22+1,0),data!$B$12:$B$213,0),35))</f>
        <v>75.243560719930201</v>
      </c>
      <c r="E22" s="49">
        <f>IF(ISERROR(INDEX(data!$A$12:$AI$213,MATCH(HLOOKUP('II. Sledování projektu'!$L$5,vstupy!$N$2:$BY$180,$B22+1,0),data!$B$12:$B$213,0),27)),"",INDEX(data!$A$12:$AI$213,MATCH(HLOOKUP('II. Sledování projektu'!$L$5,vstupy!$N$2:$BY$180,$B22+1,0),data!$B$12:$B$213,0),27))</f>
        <v>33132000</v>
      </c>
      <c r="F22" s="54">
        <f>IF(ISERROR(INDEX(data!$A$12:$AI$213,MATCH(HLOOKUP('II. Sledování projektu'!$L$5,vstupy!$N$2:$BY$180,$B22+1,0),data!$B$12:$B$213,0),28)),"",INDEX(data!$A$12:$AI$213,MATCH(HLOOKUP('II. Sledování projektu'!$L$5,vstupy!$N$2:$BY$180,$B22+1,0),data!$B$12:$B$213,0),28))</f>
        <v>26319324.93</v>
      </c>
      <c r="G22" s="53">
        <f t="shared" si="3"/>
        <v>0.79437778975009055</v>
      </c>
      <c r="H22" s="53">
        <f>IF(ISERROR(INDEX(data!$A$12:$AI$213,MATCH(HLOOKUP('II. Sledování projektu'!$L$5,vstupy!$N$2:$BY$180,$B22+1,0),data!$B$12:$B$213,0),29)),"",INDEX(data!$A$12:$AI$213,MATCH(HLOOKUP('II. Sledování projektu'!$L$5,vstupy!$N$2:$BY$180,$B22+1,0),data!$B$12:$B$213,0),29))</f>
        <v>0.22</v>
      </c>
      <c r="I22" s="54">
        <f>IF(ISERROR(INDEX(data!$A$12:$AI$213,MATCH(HLOOKUP('II. Sledování projektu'!$L$5,vstupy!$N$2:$BY$180,$B22+1,0),data!$B$12:$B$213,0),31)),"",INDEX(data!$A$12:$AI$213,MATCH(HLOOKUP('II. Sledování projektu'!$L$5,vstupy!$N$2:$BY$180,$B22+1,0),data!$B$12:$B$213,0),31))</f>
        <v>4315679.16</v>
      </c>
      <c r="J22" s="53">
        <f t="shared" si="4"/>
        <v>0.13025712785222746</v>
      </c>
      <c r="K22" s="53">
        <f t="shared" si="6"/>
        <v>0.59207785387376122</v>
      </c>
      <c r="L22" s="54">
        <f>IF(ISERROR(INDEX(data!$A$12:$AI$213,MATCH(HLOOKUP('II. Sledování projektu'!$L$5,vstupy!$N$2:$BY$180,$B22+1,0),data!$B$12:$B$213,0),32)),"",INDEX(data!$A$12:$AI$213,MATCH(HLOOKUP('II. Sledování projektu'!$L$5,vstupy!$N$2:$BY$180,$B22+1,0),data!$B$12:$B$213,0),32))</f>
        <v>2081494.96</v>
      </c>
      <c r="M22" s="53">
        <f t="shared" si="2"/>
        <v>0.32537725579368787</v>
      </c>
      <c r="N22" s="54">
        <f>IF(ISERROR(VLOOKUP(C22,data!$C$12:$AD$213,28,0)),0,VLOOKUP(C22,data!$C$12:$AD$213,28,0))</f>
        <v>7289040</v>
      </c>
    </row>
    <row r="23" spans="2:14" x14ac:dyDescent="0.2">
      <c r="B23" s="19">
        <f t="shared" si="5"/>
        <v>18</v>
      </c>
      <c r="C23" s="19" t="str">
        <f>IF(ISERROR(INDEX(data!$A$12:$AI$213,MATCH(HLOOKUP('II. Sledování projektu'!$L$5,vstupy!$N$2:$BY$180,$B23+1,0),data!$B$12:$B$213,0),3)),"",INDEX(data!$A$12:$AI$213,MATCH(HLOOKUP('II. Sledování projektu'!$L$5,vstupy!$N$2:$BY$180,$B23+1,0),data!$B$12:$B$213,0),3))</f>
        <v>VÍTKOVICE ARÉNA</v>
      </c>
      <c r="D23" s="156">
        <f>IF(ISERROR(INDEX(data!$A$12:$AI$213,MATCH(HLOOKUP('II. Sledování projektu'!$L$5,vstupy!$N$2:$BY$180,$B23+1,0),data!$B$12:$B$213,0),35)),"",INDEX(data!$A$12:$AI$213,MATCH(HLOOKUP('II. Sledování projektu'!$L$5,vstupy!$N$2:$BY$180,$B23+1,0),data!$B$12:$B$213,0),35))</f>
        <v>78.679830833454062</v>
      </c>
      <c r="E23" s="49">
        <f>IF(ISERROR(INDEX(data!$A$12:$AI$213,MATCH(HLOOKUP('II. Sledování projektu'!$L$5,vstupy!$N$2:$BY$180,$B23+1,0),data!$B$12:$B$213,0),27)),"",INDEX(data!$A$12:$AI$213,MATCH(HLOOKUP('II. Sledování projektu'!$L$5,vstupy!$N$2:$BY$180,$B23+1,0),data!$B$12:$B$213,0),27))</f>
        <v>39440000</v>
      </c>
      <c r="F23" s="54">
        <f>IF(ISERROR(INDEX(data!$A$12:$AI$213,MATCH(HLOOKUP('II. Sledování projektu'!$L$5,vstupy!$N$2:$BY$180,$B23+1,0),data!$B$12:$B$213,0),28)),"",INDEX(data!$A$12:$AI$213,MATCH(HLOOKUP('II. Sledování projektu'!$L$5,vstupy!$N$2:$BY$180,$B23+1,0),data!$B$12:$B$213,0),28))</f>
        <v>27854465.189999998</v>
      </c>
      <c r="G23" s="53">
        <f t="shared" si="3"/>
        <v>0.70624911739350904</v>
      </c>
      <c r="H23" s="53">
        <f>IF(ISERROR(INDEX(data!$A$12:$AI$213,MATCH(HLOOKUP('II. Sledování projektu'!$L$5,vstupy!$N$2:$BY$180,$B23+1,0),data!$B$12:$B$213,0),29)),"",INDEX(data!$A$12:$AI$213,MATCH(HLOOKUP('II. Sledování projektu'!$L$5,vstupy!$N$2:$BY$180,$B23+1,0),data!$B$12:$B$213,0),29))</f>
        <v>7.0000000000000007E-2</v>
      </c>
      <c r="I23" s="54">
        <f>IF(ISERROR(INDEX(data!$A$12:$AI$213,MATCH(HLOOKUP('II. Sledování projektu'!$L$5,vstupy!$N$2:$BY$180,$B23+1,0),data!$B$12:$B$213,0),31)),"",INDEX(data!$A$12:$AI$213,MATCH(HLOOKUP('II. Sledování projektu'!$L$5,vstupy!$N$2:$BY$180,$B23+1,0),data!$B$12:$B$213,0),31))</f>
        <v>1995477.48</v>
      </c>
      <c r="J23" s="53">
        <f t="shared" si="4"/>
        <v>5.059527079107505E-2</v>
      </c>
      <c r="K23" s="53">
        <f t="shared" si="6"/>
        <v>0.72278958272964344</v>
      </c>
      <c r="L23" s="54">
        <f>IF(ISERROR(INDEX(data!$A$12:$AI$213,MATCH(HLOOKUP('II. Sledování projektu'!$L$5,vstupy!$N$2:$BY$180,$B23+1,0),data!$B$12:$B$213,0),32)),"",INDEX(data!$A$12:$AI$213,MATCH(HLOOKUP('II. Sledování projektu'!$L$5,vstupy!$N$2:$BY$180,$B23+1,0),data!$B$12:$B$213,0),32))</f>
        <v>938750.26</v>
      </c>
      <c r="M23" s="53">
        <f t="shared" si="2"/>
        <v>0.31993094714590897</v>
      </c>
      <c r="N23" s="54">
        <f>IF(ISERROR(VLOOKUP(C23,data!$C$12:$AD$213,28,0)),0,VLOOKUP(C23,data!$C$12:$AD$213,28,0))</f>
        <v>2760800.0000000005</v>
      </c>
    </row>
    <row r="24" spans="2:14" x14ac:dyDescent="0.2">
      <c r="B24" s="19">
        <f t="shared" si="5"/>
        <v>19</v>
      </c>
      <c r="C24" s="19" t="str">
        <f>IF(ISERROR(INDEX(data!$A$12:$AI$213,MATCH(HLOOKUP('II. Sledování projektu'!$L$5,vstupy!$N$2:$BY$180,$B24+1,0),data!$B$12:$B$213,0),3)),"",INDEX(data!$A$12:$AI$213,MATCH(HLOOKUP('II. Sledování projektu'!$L$5,vstupy!$N$2:$BY$180,$B24+1,0),data!$B$12:$B$213,0),3))</f>
        <v>ZOO Ostrava</v>
      </c>
      <c r="D24" s="156">
        <f>IF(ISERROR(INDEX(data!$A$12:$AI$213,MATCH(HLOOKUP('II. Sledování projektu'!$L$5,vstupy!$N$2:$BY$180,$B24+1,0),data!$B$12:$B$213,0),35)),"",INDEX(data!$A$12:$AI$213,MATCH(HLOOKUP('II. Sledování projektu'!$L$5,vstupy!$N$2:$BY$180,$B24+1,0),data!$B$12:$B$213,0),35))</f>
        <v>52.734206182392789</v>
      </c>
      <c r="E24" s="49">
        <f>IF(ISERROR(INDEX(data!$A$12:$AI$213,MATCH(HLOOKUP('II. Sledování projektu'!$L$5,vstupy!$N$2:$BY$180,$B24+1,0),data!$B$12:$B$213,0),27)),"",INDEX(data!$A$12:$AI$213,MATCH(HLOOKUP('II. Sledování projektu'!$L$5,vstupy!$N$2:$BY$180,$B24+1,0),data!$B$12:$B$213,0),27))</f>
        <v>14598500</v>
      </c>
      <c r="F24" s="54">
        <f>IF(ISERROR(INDEX(data!$A$12:$AI$213,MATCH(HLOOKUP('II. Sledování projektu'!$L$5,vstupy!$N$2:$BY$180,$B24+1,0),data!$B$12:$B$213,0),28)),"",INDEX(data!$A$12:$AI$213,MATCH(HLOOKUP('II. Sledování projektu'!$L$5,vstupy!$N$2:$BY$180,$B24+1,0),data!$B$12:$B$213,0),28))</f>
        <v>3285547.12</v>
      </c>
      <c r="G24" s="53">
        <f t="shared" si="3"/>
        <v>0.22506059663664077</v>
      </c>
      <c r="H24" s="53">
        <f>IF(ISERROR(INDEX(data!$A$12:$AI$213,MATCH(HLOOKUP('II. Sledování projektu'!$L$5,vstupy!$N$2:$BY$180,$B24+1,0),data!$B$12:$B$213,0),29)),"",INDEX(data!$A$12:$AI$213,MATCH(HLOOKUP('II. Sledování projektu'!$L$5,vstupy!$N$2:$BY$180,$B24+1,0),data!$B$12:$B$213,0),29))</f>
        <v>0.28270000000000001</v>
      </c>
      <c r="I24" s="54">
        <f>IF(ISERROR(INDEX(data!$A$12:$AI$213,MATCH(HLOOKUP('II. Sledování projektu'!$L$5,vstupy!$N$2:$BY$180,$B24+1,0),data!$B$12:$B$213,0),31)),"",INDEX(data!$A$12:$AI$213,MATCH(HLOOKUP('II. Sledování projektu'!$L$5,vstupy!$N$2:$BY$180,$B24+1,0),data!$B$12:$B$213,0),31))</f>
        <v>2853210.78</v>
      </c>
      <c r="J24" s="53">
        <f t="shared" si="4"/>
        <v>0.19544547590505873</v>
      </c>
      <c r="K24" s="53">
        <f t="shared" si="6"/>
        <v>0.69135293917601248</v>
      </c>
      <c r="L24" s="54">
        <f>IF(ISERROR(INDEX(data!$A$12:$AI$213,MATCH(HLOOKUP('II. Sledování projektu'!$L$5,vstupy!$N$2:$BY$180,$B24+1,0),data!$B$12:$B$213,0),32)),"",INDEX(data!$A$12:$AI$213,MATCH(HLOOKUP('II. Sledování projektu'!$L$5,vstupy!$N$2:$BY$180,$B24+1,0),data!$B$12:$B$213,0),32))</f>
        <v>932066.73</v>
      </c>
      <c r="M24" s="53">
        <f t="shared" si="2"/>
        <v>0.24623471529832433</v>
      </c>
      <c r="N24" s="54">
        <f>IF(ISERROR(VLOOKUP(C24,data!$C$12:$AD$213,28,0)),0,VLOOKUP(C24,data!$C$12:$AD$213,28,0))</f>
        <v>4126995.95</v>
      </c>
    </row>
    <row r="25" spans="2:14" x14ac:dyDescent="0.2">
      <c r="B25" s="19">
        <f t="shared" si="5"/>
        <v>20</v>
      </c>
      <c r="C25" s="19" t="str">
        <f>IF(ISERROR(INDEX(data!$A$12:$AI$213,MATCH(HLOOKUP('II. Sledování projektu'!$L$5,vstupy!$N$2:$BY$180,$B25+1,0),data!$B$12:$B$213,0),3)),"",INDEX(data!$A$12:$AI$213,MATCH(HLOOKUP('II. Sledování projektu'!$L$5,vstupy!$N$2:$BY$180,$B25+1,0),data!$B$12:$B$213,0),3))</f>
        <v>ZŠ a MŠ MO a Přívoz, Ostrčilova</v>
      </c>
      <c r="D25" s="156">
        <f>IF(ISERROR(INDEX(data!$A$12:$AI$213,MATCH(HLOOKUP('II. Sledování projektu'!$L$5,vstupy!$N$2:$BY$180,$B25+1,0),data!$B$12:$B$213,0),35)),"",INDEX(data!$A$12:$AI$213,MATCH(HLOOKUP('II. Sledování projektu'!$L$5,vstupy!$N$2:$BY$180,$B25+1,0),data!$B$12:$B$213,0),35))</f>
        <v>56.040734750820299</v>
      </c>
      <c r="E25" s="49">
        <f>IF(ISERROR(INDEX(data!$A$12:$AI$213,MATCH(HLOOKUP('II. Sledování projektu'!$L$5,vstupy!$N$2:$BY$180,$B25+1,0),data!$B$12:$B$213,0),27)),"",INDEX(data!$A$12:$AI$213,MATCH(HLOOKUP('II. Sledování projektu'!$L$5,vstupy!$N$2:$BY$180,$B25+1,0),data!$B$12:$B$213,0),27))</f>
        <v>6187500</v>
      </c>
      <c r="F25" s="54">
        <f>IF(ISERROR(INDEX(data!$A$12:$AI$213,MATCH(HLOOKUP('II. Sledování projektu'!$L$5,vstupy!$N$2:$BY$180,$B25+1,0),data!$B$12:$B$213,0),28)),"",INDEX(data!$A$12:$AI$213,MATCH(HLOOKUP('II. Sledování projektu'!$L$5,vstupy!$N$2:$BY$180,$B25+1,0),data!$B$12:$B$213,0),28))</f>
        <v>2585133.9699999997</v>
      </c>
      <c r="G25" s="53">
        <f t="shared" si="3"/>
        <v>0.41779942949494947</v>
      </c>
      <c r="H25" s="53">
        <f>IF(ISERROR(INDEX(data!$A$12:$AI$213,MATCH(HLOOKUP('II. Sledování projektu'!$L$5,vstupy!$N$2:$BY$180,$B25+1,0),data!$B$12:$B$213,0),29)),"",INDEX(data!$A$12:$AI$213,MATCH(HLOOKUP('II. Sledování projektu'!$L$5,vstupy!$N$2:$BY$180,$B25+1,0),data!$B$12:$B$213,0),29))</f>
        <v>0.23549999999999999</v>
      </c>
      <c r="I25" s="54">
        <f>IF(ISERROR(INDEX(data!$A$12:$AI$213,MATCH(HLOOKUP('II. Sledování projektu'!$L$5,vstupy!$N$2:$BY$180,$B25+1,0),data!$B$12:$B$213,0),31)),"",INDEX(data!$A$12:$AI$213,MATCH(HLOOKUP('II. Sledování projektu'!$L$5,vstupy!$N$2:$BY$180,$B25+1,0),data!$B$12:$B$213,0),31))</f>
        <v>853669.24</v>
      </c>
      <c r="J25" s="53">
        <f t="shared" si="4"/>
        <v>0.13796674585858587</v>
      </c>
      <c r="K25" s="53">
        <f t="shared" si="6"/>
        <v>0.58584605460121386</v>
      </c>
      <c r="L25" s="54">
        <f>IF(ISERROR(INDEX(data!$A$12:$AI$213,MATCH(HLOOKUP('II. Sledování projektu'!$L$5,vstupy!$N$2:$BY$180,$B25+1,0),data!$B$12:$B$213,0),32)),"",INDEX(data!$A$12:$AI$213,MATCH(HLOOKUP('II. Sledování projektu'!$L$5,vstupy!$N$2:$BY$180,$B25+1,0),data!$B$12:$B$213,0),32))</f>
        <v>408476.63</v>
      </c>
      <c r="M25" s="53">
        <f t="shared" si="2"/>
        <v>0.32363662529751808</v>
      </c>
      <c r="N25" s="54">
        <f>IF(ISERROR(VLOOKUP(C25,data!$C$12:$AD$213,28,0)),0,VLOOKUP(C25,data!$C$12:$AD$213,28,0))</f>
        <v>1457156.25</v>
      </c>
    </row>
    <row r="26" spans="2:14" x14ac:dyDescent="0.2">
      <c r="B26" s="19">
        <f t="shared" si="5"/>
        <v>21</v>
      </c>
      <c r="C26" s="19" t="str">
        <f>IF(ISERROR(INDEX(data!$A$12:$AI$213,MATCH(HLOOKUP('II. Sledování projektu'!$L$5,vstupy!$N$2:$BY$180,$B26+1,0),data!$B$12:$B$213,0),3)),"",INDEX(data!$A$12:$AI$213,MATCH(HLOOKUP('II. Sledování projektu'!$L$5,vstupy!$N$2:$BY$180,$B26+1,0),data!$B$12:$B$213,0),3))</f>
        <v>ZŠ a MŠ O-Bělský Les</v>
      </c>
      <c r="D26" s="156">
        <f>IF(ISERROR(INDEX(data!$A$12:$AI$213,MATCH(HLOOKUP('II. Sledování projektu'!$L$5,vstupy!$N$2:$BY$180,$B26+1,0),data!$B$12:$B$213,0),35)),"",INDEX(data!$A$12:$AI$213,MATCH(HLOOKUP('II. Sledování projektu'!$L$5,vstupy!$N$2:$BY$180,$B26+1,0),data!$B$12:$B$213,0),35))</f>
        <v>17.210415786264669</v>
      </c>
      <c r="E26" s="49">
        <f>IF(ISERROR(INDEX(data!$A$12:$AI$213,MATCH(HLOOKUP('II. Sledování projektu'!$L$5,vstupy!$N$2:$BY$180,$B26+1,0),data!$B$12:$B$213,0),27)),"",INDEX(data!$A$12:$AI$213,MATCH(HLOOKUP('II. Sledování projektu'!$L$5,vstupy!$N$2:$BY$180,$B26+1,0),data!$B$12:$B$213,0),27))</f>
        <v>5530550</v>
      </c>
      <c r="F26" s="54">
        <f>IF(ISERROR(INDEX(data!$A$12:$AI$213,MATCH(HLOOKUP('II. Sledování projektu'!$L$5,vstupy!$N$2:$BY$180,$B26+1,0),data!$B$12:$B$213,0),28)),"",INDEX(data!$A$12:$AI$213,MATCH(HLOOKUP('II. Sledování projektu'!$L$5,vstupy!$N$2:$BY$180,$B26+1,0),data!$B$12:$B$213,0),28))</f>
        <v>1293497.06</v>
      </c>
      <c r="G26" s="53">
        <f t="shared" si="3"/>
        <v>0.23388217446727722</v>
      </c>
      <c r="H26" s="53">
        <f>IF(ISERROR(INDEX(data!$A$12:$AI$213,MATCH(HLOOKUP('II. Sledování projektu'!$L$5,vstupy!$N$2:$BY$180,$B26+1,0),data!$B$12:$B$213,0),29)),"",INDEX(data!$A$12:$AI$213,MATCH(HLOOKUP('II. Sledování projektu'!$L$5,vstupy!$N$2:$BY$180,$B26+1,0),data!$B$12:$B$213,0),29))</f>
        <v>0.22450000000000001</v>
      </c>
      <c r="I26" s="54">
        <f>IF(ISERROR(INDEX(data!$A$12:$AI$213,MATCH(HLOOKUP('II. Sledování projektu'!$L$5,vstupy!$N$2:$BY$180,$B26+1,0),data!$B$12:$B$213,0),31)),"",INDEX(data!$A$12:$AI$213,MATCH(HLOOKUP('II. Sledování projektu'!$L$5,vstupy!$N$2:$BY$180,$B26+1,0),data!$B$12:$B$213,0),31))</f>
        <v>114151.56</v>
      </c>
      <c r="J26" s="53">
        <f t="shared" si="4"/>
        <v>2.0640182260353853E-2</v>
      </c>
      <c r="K26" s="53">
        <f t="shared" si="6"/>
        <v>9.1938451048346775E-2</v>
      </c>
      <c r="L26" s="54">
        <f>IF(ISERROR(INDEX(data!$A$12:$AI$213,MATCH(HLOOKUP('II. Sledování projektu'!$L$5,vstupy!$N$2:$BY$180,$B26+1,0),data!$B$12:$B$213,0),32)),"",INDEX(data!$A$12:$AI$213,MATCH(HLOOKUP('II. Sledování projektu'!$L$5,vstupy!$N$2:$BY$180,$B26+1,0),data!$B$12:$B$213,0),32))</f>
        <v>87343.2</v>
      </c>
      <c r="M26" s="53">
        <f t="shared" si="2"/>
        <v>0.4334762849416034</v>
      </c>
      <c r="N26" s="54">
        <f>IF(ISERROR(VLOOKUP(C26,data!$C$12:$AD$213,28,0)),0,VLOOKUP(C26,data!$C$12:$AD$213,28,0))</f>
        <v>1241608.4750000001</v>
      </c>
    </row>
    <row r="27" spans="2:14" x14ac:dyDescent="0.2">
      <c r="B27" s="19">
        <f t="shared" si="5"/>
        <v>22</v>
      </c>
      <c r="C27" s="19" t="str">
        <f>IF(ISERROR(INDEX(data!$A$12:$AI$213,MATCH(HLOOKUP('II. Sledování projektu'!$L$5,vstupy!$N$2:$BY$180,$B27+1,0),data!$B$12:$B$213,0),3)),"",INDEX(data!$A$12:$AI$213,MATCH(HLOOKUP('II. Sledování projektu'!$L$5,vstupy!$N$2:$BY$180,$B27+1,0),data!$B$12:$B$213,0),3))</f>
        <v>ZŠ a MŠ O-Hrabůvka, A.Kučery</v>
      </c>
      <c r="D27" s="156">
        <f>IF(ISERROR(INDEX(data!$A$12:$AI$213,MATCH(HLOOKUP('II. Sledování projektu'!$L$5,vstupy!$N$2:$BY$180,$B27+1,0),data!$B$12:$B$213,0),35)),"",INDEX(data!$A$12:$AI$213,MATCH(HLOOKUP('II. Sledování projektu'!$L$5,vstupy!$N$2:$BY$180,$B27+1,0),data!$B$12:$B$213,0),35))</f>
        <v>45.644605282149065</v>
      </c>
      <c r="E27" s="49">
        <f>IF(ISERROR(INDEX(data!$A$12:$AI$213,MATCH(HLOOKUP('II. Sledování projektu'!$L$5,vstupy!$N$2:$BY$180,$B27+1,0),data!$B$12:$B$213,0),27)),"",INDEX(data!$A$12:$AI$213,MATCH(HLOOKUP('II. Sledování projektu'!$L$5,vstupy!$N$2:$BY$180,$B27+1,0),data!$B$12:$B$213,0),27))</f>
        <v>6432583</v>
      </c>
      <c r="F27" s="54">
        <f>IF(ISERROR(INDEX(data!$A$12:$AI$213,MATCH(HLOOKUP('II. Sledování projektu'!$L$5,vstupy!$N$2:$BY$180,$B27+1,0),data!$B$12:$B$213,0),28)),"",INDEX(data!$A$12:$AI$213,MATCH(HLOOKUP('II. Sledování projektu'!$L$5,vstupy!$N$2:$BY$180,$B27+1,0),data!$B$12:$B$213,0),28))</f>
        <v>2147661.73</v>
      </c>
      <c r="G27" s="53">
        <f t="shared" si="3"/>
        <v>0.33387236977742846</v>
      </c>
      <c r="H27" s="53">
        <f>IF(ISERROR(INDEX(data!$A$12:$AI$213,MATCH(HLOOKUP('II. Sledování projektu'!$L$5,vstupy!$N$2:$BY$180,$B27+1,0),data!$B$12:$B$213,0),29)),"",INDEX(data!$A$12:$AI$213,MATCH(HLOOKUP('II. Sledování projektu'!$L$5,vstupy!$N$2:$BY$180,$B27+1,0),data!$B$12:$B$213,0),29))</f>
        <v>0.2606</v>
      </c>
      <c r="I27" s="54">
        <f>IF(ISERROR(INDEX(data!$A$12:$AI$213,MATCH(HLOOKUP('II. Sledování projektu'!$L$5,vstupy!$N$2:$BY$180,$B27+1,0),data!$B$12:$B$213,0),31)),"",INDEX(data!$A$12:$AI$213,MATCH(HLOOKUP('II. Sledování projektu'!$L$5,vstupy!$N$2:$BY$180,$B27+1,0),data!$B$12:$B$213,0),31))</f>
        <v>808857.34</v>
      </c>
      <c r="J27" s="53">
        <f t="shared" si="4"/>
        <v>0.12574378597213592</v>
      </c>
      <c r="K27" s="53">
        <f t="shared" si="6"/>
        <v>0.48251644655462744</v>
      </c>
      <c r="L27" s="54">
        <f>IF(ISERROR(INDEX(data!$A$12:$AI$213,MATCH(HLOOKUP('II. Sledování projektu'!$L$5,vstupy!$N$2:$BY$180,$B27+1,0),data!$B$12:$B$213,0),32)),"",INDEX(data!$A$12:$AI$213,MATCH(HLOOKUP('II. Sledování projektu'!$L$5,vstupy!$N$2:$BY$180,$B27+1,0),data!$B$12:$B$213,0),32))</f>
        <v>215528.36</v>
      </c>
      <c r="M27" s="53">
        <f t="shared" si="2"/>
        <v>0.21039766564488355</v>
      </c>
      <c r="N27" s="54">
        <f>IF(ISERROR(VLOOKUP(C27,data!$C$12:$AD$213,28,0)),0,VLOOKUP(C27,data!$C$12:$AD$213,28,0))</f>
        <v>1676331.1298</v>
      </c>
    </row>
    <row r="28" spans="2:14" x14ac:dyDescent="0.2">
      <c r="B28" s="19">
        <f t="shared" si="5"/>
        <v>23</v>
      </c>
      <c r="C28" s="19" t="str">
        <f>IF(ISERROR(INDEX(data!$A$12:$AI$213,MATCH(HLOOKUP('II. Sledování projektu'!$L$5,vstupy!$N$2:$BY$180,$B28+1,0),data!$B$12:$B$213,0),3)),"",INDEX(data!$A$12:$AI$213,MATCH(HLOOKUP('II. Sledování projektu'!$L$5,vstupy!$N$2:$BY$180,$B28+1,0),data!$B$12:$B$213,0),3))</f>
        <v>ZŠ MO a Přívoz, Matiční</v>
      </c>
      <c r="D28" s="156">
        <f>IF(ISERROR(INDEX(data!$A$12:$AI$213,MATCH(HLOOKUP('II. Sledování projektu'!$L$5,vstupy!$N$2:$BY$180,$B28+1,0),data!$B$12:$B$213,0),35)),"",INDEX(data!$A$12:$AI$213,MATCH(HLOOKUP('II. Sledování projektu'!$L$5,vstupy!$N$2:$BY$180,$B28+1,0),data!$B$12:$B$213,0),35))</f>
        <v>90.365100705580502</v>
      </c>
      <c r="E28" s="49">
        <f>IF(ISERROR(INDEX(data!$A$12:$AI$213,MATCH(HLOOKUP('II. Sledování projektu'!$L$5,vstupy!$N$2:$BY$180,$B28+1,0),data!$B$12:$B$213,0),27)),"",INDEX(data!$A$12:$AI$213,MATCH(HLOOKUP('II. Sledování projektu'!$L$5,vstupy!$N$2:$BY$180,$B28+1,0),data!$B$12:$B$213,0),27))</f>
        <v>5456500</v>
      </c>
      <c r="F28" s="54">
        <f>IF(ISERROR(INDEX(data!$A$12:$AI$213,MATCH(HLOOKUP('II. Sledování projektu'!$L$5,vstupy!$N$2:$BY$180,$B28+1,0),data!$B$12:$B$213,0),28)),"",INDEX(data!$A$12:$AI$213,MATCH(HLOOKUP('II. Sledování projektu'!$L$5,vstupy!$N$2:$BY$180,$B28+1,0),data!$B$12:$B$213,0),28))</f>
        <v>3313743.44</v>
      </c>
      <c r="G28" s="53">
        <f t="shared" si="3"/>
        <v>0.60730201411161</v>
      </c>
      <c r="H28" s="53">
        <f>IF(ISERROR(INDEX(data!$A$12:$AI$213,MATCH(HLOOKUP('II. Sledování projektu'!$L$5,vstupy!$N$2:$BY$180,$B28+1,0),data!$B$12:$B$213,0),29)),"",INDEX(data!$A$12:$AI$213,MATCH(HLOOKUP('II. Sledování projektu'!$L$5,vstupy!$N$2:$BY$180,$B28+1,0),data!$B$12:$B$213,0),29))</f>
        <v>0.32140000000000002</v>
      </c>
      <c r="I28" s="54">
        <f>IF(ISERROR(INDEX(data!$A$12:$AI$213,MATCH(HLOOKUP('II. Sledování projektu'!$L$5,vstupy!$N$2:$BY$180,$B28+1,0),data!$B$12:$B$213,0),31)),"",INDEX(data!$A$12:$AI$213,MATCH(HLOOKUP('II. Sledování projektu'!$L$5,vstupy!$N$2:$BY$180,$B28+1,0),data!$B$12:$B$213,0),31))</f>
        <v>2476886.71</v>
      </c>
      <c r="J28" s="53">
        <f t="shared" si="4"/>
        <v>0.45393323742325664</v>
      </c>
      <c r="K28" s="53">
        <f t="shared" si="6"/>
        <v>1.4123622819640842</v>
      </c>
      <c r="L28" s="54">
        <f>IF(ISERROR(INDEX(data!$A$12:$AI$213,MATCH(HLOOKUP('II. Sledování projektu'!$L$5,vstupy!$N$2:$BY$180,$B28+1,0),data!$B$12:$B$213,0),32)),"",INDEX(data!$A$12:$AI$213,MATCH(HLOOKUP('II. Sledování projektu'!$L$5,vstupy!$N$2:$BY$180,$B28+1,0),data!$B$12:$B$213,0),32))</f>
        <v>632618.54</v>
      </c>
      <c r="M28" s="53">
        <f t="shared" si="2"/>
        <v>0.20344668657497847</v>
      </c>
      <c r="N28" s="54">
        <f>IF(ISERROR(VLOOKUP(C28,data!$C$12:$AD$213,28,0)),0,VLOOKUP(C28,data!$C$12:$AD$213,28,0))</f>
        <v>1753719.1</v>
      </c>
    </row>
    <row r="29" spans="2:14" x14ac:dyDescent="0.2">
      <c r="B29" s="19">
        <f t="shared" si="5"/>
        <v>24</v>
      </c>
      <c r="C29" s="19" t="str">
        <f>IF(ISERROR(INDEX(data!$A$12:$AI$213,MATCH(HLOOKUP('II. Sledování projektu'!$L$5,vstupy!$N$2:$BY$180,$B29+1,0),data!$B$12:$B$213,0),3)),"",INDEX(data!$A$12:$AI$213,MATCH(HLOOKUP('II. Sledování projektu'!$L$5,vstupy!$N$2:$BY$180,$B29+1,0),data!$B$12:$B$213,0),3))</f>
        <v>Centrum sociálních služeb Poruba</v>
      </c>
      <c r="D29" s="156">
        <f>IF(ISERROR(INDEX(data!$A$12:$AI$213,MATCH(HLOOKUP('II. Sledování projektu'!$L$5,vstupy!$N$2:$BY$180,$B29+1,0),data!$B$12:$B$213,0),35)),"",INDEX(data!$A$12:$AI$213,MATCH(HLOOKUP('II. Sledování projektu'!$L$5,vstupy!$N$2:$BY$180,$B29+1,0),data!$B$12:$B$213,0),35))</f>
        <v>83.221939367487295</v>
      </c>
      <c r="E29" s="49">
        <f>IF(ISERROR(INDEX(data!$A$12:$AI$213,MATCH(HLOOKUP('II. Sledování projektu'!$L$5,vstupy!$N$2:$BY$180,$B29+1,0),data!$B$12:$B$213,0),27)),"",INDEX(data!$A$12:$AI$213,MATCH(HLOOKUP('II. Sledování projektu'!$L$5,vstupy!$N$2:$BY$180,$B29+1,0),data!$B$12:$B$213,0),27))</f>
        <v>2019750</v>
      </c>
      <c r="F29" s="54">
        <f>IF(ISERROR(INDEX(data!$A$12:$AI$213,MATCH(HLOOKUP('II. Sledování projektu'!$L$5,vstupy!$N$2:$BY$180,$B29+1,0),data!$B$12:$B$213,0),28)),"",INDEX(data!$A$12:$AI$213,MATCH(HLOOKUP('II. Sledování projektu'!$L$5,vstupy!$N$2:$BY$180,$B29+1,0),data!$B$12:$B$213,0),28))</f>
        <v>1451181.7400000002</v>
      </c>
      <c r="G29" s="53">
        <f t="shared" si="3"/>
        <v>0.71849572471840584</v>
      </c>
      <c r="H29" s="53">
        <f>IF(ISERROR(INDEX(data!$A$12:$AI$213,MATCH(HLOOKUP('II. Sledování projektu'!$L$5,vstupy!$N$2:$BY$180,$B29+1,0),data!$B$12:$B$213,0),29)),"",INDEX(data!$A$12:$AI$213,MATCH(HLOOKUP('II. Sledování projektu'!$L$5,vstupy!$N$2:$BY$180,$B29+1,0),data!$B$12:$B$213,0),29))</f>
        <v>0.14353952548280566</v>
      </c>
      <c r="I29" s="54">
        <f>IF(ISERROR(INDEX(data!$A$12:$AI$213,MATCH(HLOOKUP('II. Sledování projektu'!$L$5,vstupy!$N$2:$BY$180,$B29+1,0),data!$B$12:$B$213,0),31)),"",INDEX(data!$A$12:$AI$213,MATCH(HLOOKUP('II. Sledování projektu'!$L$5,vstupy!$N$2:$BY$180,$B29+1,0),data!$B$12:$B$213,0),31))</f>
        <v>228535.08000000002</v>
      </c>
      <c r="J29" s="53">
        <f t="shared" si="4"/>
        <v>0.11315018195321204</v>
      </c>
      <c r="K29" s="53">
        <f t="shared" si="6"/>
        <v>0.78828588552611656</v>
      </c>
      <c r="L29" s="54">
        <f>IF(ISERROR(INDEX(data!$A$12:$AI$213,MATCH(HLOOKUP('II. Sledování projektu'!$L$5,vstupy!$N$2:$BY$180,$B29+1,0),data!$B$12:$B$213,0),32)),"",INDEX(data!$A$12:$AI$213,MATCH(HLOOKUP('II. Sledování projektu'!$L$5,vstupy!$N$2:$BY$180,$B29+1,0),data!$B$12:$B$213,0),32))</f>
        <v>55763.48</v>
      </c>
      <c r="M29" s="53">
        <f t="shared" si="2"/>
        <v>0.19614408177093828</v>
      </c>
      <c r="N29" s="54">
        <f>IF(ISERROR(VLOOKUP(C29,data!$C$12:$AD$213,28,0)),0,VLOOKUP(C29,data!$C$12:$AD$213,28,0))</f>
        <v>289913.95659389673</v>
      </c>
    </row>
    <row r="30" spans="2:14" x14ac:dyDescent="0.2">
      <c r="B30" s="19">
        <f t="shared" si="5"/>
        <v>25</v>
      </c>
      <c r="C30" s="19" t="str">
        <f>IF(ISERROR(INDEX(data!$A$12:$AI$213,MATCH(HLOOKUP('II. Sledování projektu'!$L$5,vstupy!$N$2:$BY$180,$B30+1,0),data!$B$12:$B$213,0),3)),"",INDEX(data!$A$12:$AI$213,MATCH(HLOOKUP('II. Sledování projektu'!$L$5,vstupy!$N$2:$BY$180,$B30+1,0),data!$B$12:$B$213,0),3))</f>
        <v>DK POKLAD</v>
      </c>
      <c r="D30" s="156">
        <f>IF(ISERROR(INDEX(data!$A$12:$AI$213,MATCH(HLOOKUP('II. Sledování projektu'!$L$5,vstupy!$N$2:$BY$180,$B30+1,0),data!$B$12:$B$213,0),35)),"",INDEX(data!$A$12:$AI$213,MATCH(HLOOKUP('II. Sledování projektu'!$L$5,vstupy!$N$2:$BY$180,$B30+1,0),data!$B$12:$B$213,0),35))</f>
        <v>45.883222623349866</v>
      </c>
      <c r="E30" s="49">
        <f>IF(ISERROR(INDEX(data!$A$12:$AI$213,MATCH(HLOOKUP('II. Sledování projektu'!$L$5,vstupy!$N$2:$BY$180,$B30+1,0),data!$B$12:$B$213,0),27)),"",INDEX(data!$A$12:$AI$213,MATCH(HLOOKUP('II. Sledování projektu'!$L$5,vstupy!$N$2:$BY$180,$B30+1,0),data!$B$12:$B$213,0),27))</f>
        <v>1065500</v>
      </c>
      <c r="F30" s="54">
        <f>IF(ISERROR(INDEX(data!$A$12:$AI$213,MATCH(HLOOKUP('II. Sledování projektu'!$L$5,vstupy!$N$2:$BY$180,$B30+1,0),data!$B$12:$B$213,0),28)),"",INDEX(data!$A$12:$AI$213,MATCH(HLOOKUP('II. Sledování projektu'!$L$5,vstupy!$N$2:$BY$180,$B30+1,0),data!$B$12:$B$213,0),28))</f>
        <v>0</v>
      </c>
      <c r="G30" s="53">
        <f t="shared" si="3"/>
        <v>0</v>
      </c>
      <c r="H30" s="53">
        <f>IF(ISERROR(INDEX(data!$A$12:$AI$213,MATCH(HLOOKUP('II. Sledování projektu'!$L$5,vstupy!$N$2:$BY$180,$B30+1,0),data!$B$12:$B$213,0),29)),"",INDEX(data!$A$12:$AI$213,MATCH(HLOOKUP('II. Sledování projektu'!$L$5,vstupy!$N$2:$BY$180,$B30+1,0),data!$B$12:$B$213,0),29))</f>
        <v>7.5300000000000006E-2</v>
      </c>
      <c r="I30" s="54">
        <f>IF(ISERROR(INDEX(data!$A$12:$AI$213,MATCH(HLOOKUP('II. Sledování projektu'!$L$5,vstupy!$N$2:$BY$180,$B30+1,0),data!$B$12:$B$213,0),31)),"",INDEX(data!$A$12:$AI$213,MATCH(HLOOKUP('II. Sledování projektu'!$L$5,vstupy!$N$2:$BY$180,$B30+1,0),data!$B$12:$B$213,0),31))</f>
        <v>61355.16</v>
      </c>
      <c r="J30" s="53">
        <f t="shared" si="4"/>
        <v>5.7583444392304083E-2</v>
      </c>
      <c r="K30" s="53">
        <f t="shared" si="6"/>
        <v>0.76472037705583107</v>
      </c>
      <c r="L30" s="54">
        <f>IF(ISERROR(INDEX(data!$A$12:$AI$213,MATCH(HLOOKUP('II. Sledování projektu'!$L$5,vstupy!$N$2:$BY$180,$B30+1,0),data!$B$12:$B$213,0),32)),"",INDEX(data!$A$12:$AI$213,MATCH(HLOOKUP('II. Sledování projektu'!$L$5,vstupy!$N$2:$BY$180,$B30+1,0),data!$B$12:$B$213,0),32))</f>
        <v>45258</v>
      </c>
      <c r="M30" s="53">
        <f t="shared" si="2"/>
        <v>0.42450669316996137</v>
      </c>
      <c r="N30" s="54">
        <f>IF(ISERROR(VLOOKUP(C30,data!$C$12:$AD$213,28,0)),0,VLOOKUP(C30,data!$C$12:$AD$213,28,0))</f>
        <v>80232.150000000009</v>
      </c>
    </row>
    <row r="31" spans="2:14" x14ac:dyDescent="0.2">
      <c r="B31" s="19">
        <f t="shared" si="5"/>
        <v>26</v>
      </c>
      <c r="C31" s="19" t="str">
        <f>IF(ISERROR(INDEX(data!$A$12:$AI$213,MATCH(HLOOKUP('II. Sledování projektu'!$L$5,vstupy!$N$2:$BY$180,$B31+1,0),data!$B$12:$B$213,0),3)),"",INDEX(data!$A$12:$AI$213,MATCH(HLOOKUP('II. Sledování projektu'!$L$5,vstupy!$N$2:$BY$180,$B31+1,0),data!$B$12:$B$213,0),3))</f>
        <v>Domov Sluníčko</v>
      </c>
      <c r="D31" s="156">
        <f>IF(ISERROR(INDEX(data!$A$12:$AI$213,MATCH(HLOOKUP('II. Sledování projektu'!$L$5,vstupy!$N$2:$BY$180,$B31+1,0),data!$B$12:$B$213,0),35)),"",INDEX(data!$A$12:$AI$213,MATCH(HLOOKUP('II. Sledování projektu'!$L$5,vstupy!$N$2:$BY$180,$B31+1,0),data!$B$12:$B$213,0),35))</f>
        <v>85.090595546493248</v>
      </c>
      <c r="E31" s="49">
        <f>IF(ISERROR(INDEX(data!$A$12:$AI$213,MATCH(HLOOKUP('II. Sledování projektu'!$L$5,vstupy!$N$2:$BY$180,$B31+1,0),data!$B$12:$B$213,0),27)),"",INDEX(data!$A$12:$AI$213,MATCH(HLOOKUP('II. Sledování projektu'!$L$5,vstupy!$N$2:$BY$180,$B31+1,0),data!$B$12:$B$213,0),27))</f>
        <v>7952000</v>
      </c>
      <c r="F31" s="54">
        <f>IF(ISERROR(INDEX(data!$A$12:$AI$213,MATCH(HLOOKUP('II. Sledování projektu'!$L$5,vstupy!$N$2:$BY$180,$B31+1,0),data!$B$12:$B$213,0),28)),"",INDEX(data!$A$12:$AI$213,MATCH(HLOOKUP('II. Sledování projektu'!$L$5,vstupy!$N$2:$BY$180,$B31+1,0),data!$B$12:$B$213,0),28))</f>
        <v>5453188.5800000001</v>
      </c>
      <c r="G31" s="53">
        <f t="shared" si="3"/>
        <v>0.68576315140845068</v>
      </c>
      <c r="H31" s="53">
        <f>IF(ISERROR(INDEX(data!$A$12:$AI$213,MATCH(HLOOKUP('II. Sledování projektu'!$L$5,vstupy!$N$2:$BY$180,$B31+1,0),data!$B$12:$B$213,0),29)),"",INDEX(data!$A$12:$AI$213,MATCH(HLOOKUP('II. Sledování projektu'!$L$5,vstupy!$N$2:$BY$180,$B31+1,0),data!$B$12:$B$213,0),29))</f>
        <v>0.56000000000000005</v>
      </c>
      <c r="I31" s="54">
        <f>IF(ISERROR(INDEX(data!$A$12:$AI$213,MATCH(HLOOKUP('II. Sledování projektu'!$L$5,vstupy!$N$2:$BY$180,$B31+1,0),data!$B$12:$B$213,0),31)),"",INDEX(data!$A$12:$AI$213,MATCH(HLOOKUP('II. Sledování projektu'!$L$5,vstupy!$N$2:$BY$180,$B31+1,0),data!$B$12:$B$213,0),31))</f>
        <v>3770489.21</v>
      </c>
      <c r="J31" s="53">
        <f t="shared" si="4"/>
        <v>0.47415608777665996</v>
      </c>
      <c r="K31" s="53">
        <f t="shared" si="6"/>
        <v>0.84670729960117852</v>
      </c>
      <c r="L31" s="54">
        <f>IF(ISERROR(INDEX(data!$A$12:$AI$213,MATCH(HLOOKUP('II. Sledování projektu'!$L$5,vstupy!$N$2:$BY$180,$B31+1,0),data!$B$12:$B$213,0),32)),"",INDEX(data!$A$12:$AI$213,MATCH(HLOOKUP('II. Sledování projektu'!$L$5,vstupy!$N$2:$BY$180,$B31+1,0),data!$B$12:$B$213,0),32))</f>
        <v>1155040.6399999999</v>
      </c>
      <c r="M31" s="53">
        <f t="shared" si="2"/>
        <v>0.23450078979827926</v>
      </c>
      <c r="N31" s="54">
        <f>IF(ISERROR(VLOOKUP(C31,data!$C$12:$AD$213,28,0)),0,VLOOKUP(C31,data!$C$12:$AD$213,28,0))</f>
        <v>4453120</v>
      </c>
    </row>
    <row r="32" spans="2:14" x14ac:dyDescent="0.2">
      <c r="B32" s="19">
        <f t="shared" si="5"/>
        <v>27</v>
      </c>
      <c r="C32" s="19" t="str">
        <f>IF(ISERROR(INDEX(data!$A$12:$AI$213,MATCH(HLOOKUP('II. Sledování projektu'!$L$5,vstupy!$N$2:$BY$180,$B32+1,0),data!$B$12:$B$213,0),3)),"",INDEX(data!$A$12:$AI$213,MATCH(HLOOKUP('II. Sledování projektu'!$L$5,vstupy!$N$2:$BY$180,$B32+1,0),data!$B$12:$B$213,0),3))</f>
        <v>Domov Slunovrat</v>
      </c>
      <c r="D32" s="156">
        <f>IF(ISERROR(INDEX(data!$A$12:$AI$213,MATCH(HLOOKUP('II. Sledování projektu'!$L$5,vstupy!$N$2:$BY$180,$B32+1,0),data!$B$12:$B$213,0),35)),"",INDEX(data!$A$12:$AI$213,MATCH(HLOOKUP('II. Sledování projektu'!$L$5,vstupy!$N$2:$BY$180,$B32+1,0),data!$B$12:$B$213,0),35))</f>
        <v>60.754393958422526</v>
      </c>
      <c r="E32" s="49">
        <f>IF(ISERROR(INDEX(data!$A$12:$AI$213,MATCH(HLOOKUP('II. Sledování projektu'!$L$5,vstupy!$N$2:$BY$180,$B32+1,0),data!$B$12:$B$213,0),27)),"",INDEX(data!$A$12:$AI$213,MATCH(HLOOKUP('II. Sledování projektu'!$L$5,vstupy!$N$2:$BY$180,$B32+1,0),data!$B$12:$B$213,0),27))</f>
        <v>5362500</v>
      </c>
      <c r="F32" s="54">
        <f>IF(ISERROR(INDEX(data!$A$12:$AI$213,MATCH(HLOOKUP('II. Sledování projektu'!$L$5,vstupy!$N$2:$BY$180,$B32+1,0),data!$B$12:$B$213,0),28)),"",INDEX(data!$A$12:$AI$213,MATCH(HLOOKUP('II. Sledování projektu'!$L$5,vstupy!$N$2:$BY$180,$B32+1,0),data!$B$12:$B$213,0),28))</f>
        <v>1635940.85</v>
      </c>
      <c r="G32" s="53">
        <f t="shared" si="3"/>
        <v>0.30507055477855477</v>
      </c>
      <c r="H32" s="53">
        <f>IF(ISERROR(INDEX(data!$A$12:$AI$213,MATCH(HLOOKUP('II. Sledování projektu'!$L$5,vstupy!$N$2:$BY$180,$B32+1,0),data!$B$12:$B$213,0),29)),"",INDEX(data!$A$12:$AI$213,MATCH(HLOOKUP('II. Sledování projektu'!$L$5,vstupy!$N$2:$BY$180,$B32+1,0),data!$B$12:$B$213,0),29))</f>
        <v>0.49</v>
      </c>
      <c r="I32" s="54">
        <f>IF(ISERROR(INDEX(data!$A$12:$AI$213,MATCH(HLOOKUP('II. Sledování projektu'!$L$5,vstupy!$N$2:$BY$180,$B32+1,0),data!$B$12:$B$213,0),31)),"",INDEX(data!$A$12:$AI$213,MATCH(HLOOKUP('II. Sledování projektu'!$L$5,vstupy!$N$2:$BY$180,$B32+1,0),data!$B$12:$B$213,0),31))</f>
        <v>1992653.56</v>
      </c>
      <c r="J32" s="53">
        <f t="shared" si="4"/>
        <v>0.37159040745920746</v>
      </c>
      <c r="K32" s="53">
        <f t="shared" si="6"/>
        <v>0.75834777032491318</v>
      </c>
      <c r="L32" s="54">
        <f>IF(ISERROR(INDEX(data!$A$12:$AI$213,MATCH(HLOOKUP('II. Sledování projektu'!$L$5,vstupy!$N$2:$BY$180,$B32+1,0),data!$B$12:$B$213,0),32)),"",INDEX(data!$A$12:$AI$213,MATCH(HLOOKUP('II. Sledování projektu'!$L$5,vstupy!$N$2:$BY$180,$B32+1,0),data!$B$12:$B$213,0),32))</f>
        <v>938121.62</v>
      </c>
      <c r="M32" s="53">
        <f t="shared" si="2"/>
        <v>0.32009334131183681</v>
      </c>
      <c r="N32" s="54">
        <f>IF(ISERROR(VLOOKUP(C32,data!$C$12:$AD$213,28,0)),0,VLOOKUP(C32,data!$C$12:$AD$213,28,0))</f>
        <v>2627625</v>
      </c>
    </row>
    <row r="33" spans="2:14" x14ac:dyDescent="0.2">
      <c r="B33" s="19">
        <f t="shared" si="5"/>
        <v>28</v>
      </c>
      <c r="C33" s="19" t="str">
        <f>IF(ISERROR(INDEX(data!$A$12:$AI$213,MATCH(HLOOKUP('II. Sledování projektu'!$L$5,vstupy!$N$2:$BY$180,$B33+1,0),data!$B$12:$B$213,0),3)),"",INDEX(data!$A$12:$AI$213,MATCH(HLOOKUP('II. Sledování projektu'!$L$5,vstupy!$N$2:$BY$180,$B33+1,0),data!$B$12:$B$213,0),3))</f>
        <v>DPS Iris</v>
      </c>
      <c r="D33" s="156">
        <f>IF(ISERROR(INDEX(data!$A$12:$AI$213,MATCH(HLOOKUP('II. Sledování projektu'!$L$5,vstupy!$N$2:$BY$180,$B33+1,0),data!$B$12:$B$213,0),35)),"",INDEX(data!$A$12:$AI$213,MATCH(HLOOKUP('II. Sledování projektu'!$L$5,vstupy!$N$2:$BY$180,$B33+1,0),data!$B$12:$B$213,0),35))</f>
        <v>80.967950804863932</v>
      </c>
      <c r="E33" s="49">
        <f>IF(ISERROR(INDEX(data!$A$12:$AI$213,MATCH(HLOOKUP('II. Sledování projektu'!$L$5,vstupy!$N$2:$BY$180,$B33+1,0),data!$B$12:$B$213,0),27)),"",INDEX(data!$A$12:$AI$213,MATCH(HLOOKUP('II. Sledování projektu'!$L$5,vstupy!$N$2:$BY$180,$B33+1,0),data!$B$12:$B$213,0),27))</f>
        <v>3925000</v>
      </c>
      <c r="F33" s="54">
        <f>IF(ISERROR(INDEX(data!$A$12:$AI$213,MATCH(HLOOKUP('II. Sledování projektu'!$L$5,vstupy!$N$2:$BY$180,$B33+1,0),data!$B$12:$B$213,0),28)),"",INDEX(data!$A$12:$AI$213,MATCH(HLOOKUP('II. Sledování projektu'!$L$5,vstupy!$N$2:$BY$180,$B33+1,0),data!$B$12:$B$213,0),28))</f>
        <v>3173316.99</v>
      </c>
      <c r="G33" s="53">
        <f t="shared" si="3"/>
        <v>0.80848840509554143</v>
      </c>
      <c r="H33" s="53">
        <f>IF(ISERROR(INDEX(data!$A$12:$AI$213,MATCH(HLOOKUP('II. Sledování projektu'!$L$5,vstupy!$N$2:$BY$180,$B33+1,0),data!$B$12:$B$213,0),29)),"",INDEX(data!$A$12:$AI$213,MATCH(HLOOKUP('II. Sledování projektu'!$L$5,vstupy!$N$2:$BY$180,$B33+1,0),data!$B$12:$B$213,0),29))</f>
        <v>0.55000000000000004</v>
      </c>
      <c r="I33" s="54">
        <f>IF(ISERROR(INDEX(data!$A$12:$AI$213,MATCH(HLOOKUP('II. Sledování projektu'!$L$5,vstupy!$N$2:$BY$180,$B33+1,0),data!$B$12:$B$213,0),31)),"",INDEX(data!$A$12:$AI$213,MATCH(HLOOKUP('II. Sledování projektu'!$L$5,vstupy!$N$2:$BY$180,$B33+1,0),data!$B$12:$B$213,0),31))</f>
        <v>1473992.73</v>
      </c>
      <c r="J33" s="53">
        <f t="shared" si="4"/>
        <v>0.37553954904458597</v>
      </c>
      <c r="K33" s="53">
        <f t="shared" si="6"/>
        <v>0.68279918008106544</v>
      </c>
      <c r="L33" s="54">
        <f>IF(ISERROR(INDEX(data!$A$12:$AI$213,MATCH(HLOOKUP('II. Sledování projektu'!$L$5,vstupy!$N$2:$BY$180,$B33+1,0),data!$B$12:$B$213,0),32)),"",INDEX(data!$A$12:$AI$213,MATCH(HLOOKUP('II. Sledování projektu'!$L$5,vstupy!$N$2:$BY$180,$B33+1,0),data!$B$12:$B$213,0),32))</f>
        <v>475989.31999999995</v>
      </c>
      <c r="M33" s="53">
        <f t="shared" si="2"/>
        <v>0.24409933414515278</v>
      </c>
      <c r="N33" s="54">
        <f>IF(ISERROR(VLOOKUP(C33,data!$C$12:$AD$213,28,0)),0,VLOOKUP(C33,data!$C$12:$AD$213,28,0))</f>
        <v>2158750</v>
      </c>
    </row>
    <row r="34" spans="2:14" x14ac:dyDescent="0.2">
      <c r="B34" s="19">
        <f t="shared" si="5"/>
        <v>29</v>
      </c>
      <c r="C34" s="19" t="str">
        <f>IF(ISERROR(INDEX(data!$A$12:$AI$213,MATCH(HLOOKUP('II. Sledování projektu'!$L$5,vstupy!$N$2:$BY$180,$B34+1,0),data!$B$12:$B$213,0),3)),"",INDEX(data!$A$12:$AI$213,MATCH(HLOOKUP('II. Sledování projektu'!$L$5,vstupy!$N$2:$BY$180,$B34+1,0),data!$B$12:$B$213,0),3))</f>
        <v>DPS Kamenec</v>
      </c>
      <c r="D34" s="156">
        <f>IF(ISERROR(INDEX(data!$A$12:$AI$213,MATCH(HLOOKUP('II. Sledování projektu'!$L$5,vstupy!$N$2:$BY$180,$B34+1,0),data!$B$12:$B$213,0),35)),"",INDEX(data!$A$12:$AI$213,MATCH(HLOOKUP('II. Sledování projektu'!$L$5,vstupy!$N$2:$BY$180,$B34+1,0),data!$B$12:$B$213,0),35))</f>
        <v>94.97545454150125</v>
      </c>
      <c r="E34" s="49">
        <f>IF(ISERROR(INDEX(data!$A$12:$AI$213,MATCH(HLOOKUP('II. Sledování projektu'!$L$5,vstupy!$N$2:$BY$180,$B34+1,0),data!$B$12:$B$213,0),27)),"",INDEX(data!$A$12:$AI$213,MATCH(HLOOKUP('II. Sledování projektu'!$L$5,vstupy!$N$2:$BY$180,$B34+1,0),data!$B$12:$B$213,0),27))</f>
        <v>8844500</v>
      </c>
      <c r="F34" s="54">
        <f>IF(ISERROR(INDEX(data!$A$12:$AI$213,MATCH(HLOOKUP('II. Sledování projektu'!$L$5,vstupy!$N$2:$BY$180,$B34+1,0),data!$B$12:$B$213,0),28)),"",INDEX(data!$A$12:$AI$213,MATCH(HLOOKUP('II. Sledování projektu'!$L$5,vstupy!$N$2:$BY$180,$B34+1,0),data!$B$12:$B$213,0),28))</f>
        <v>7584708.8200000003</v>
      </c>
      <c r="G34" s="53">
        <f t="shared" si="3"/>
        <v>0.85756219345355877</v>
      </c>
      <c r="H34" s="53">
        <f>IF(ISERROR(INDEX(data!$A$12:$AI$213,MATCH(HLOOKUP('II. Sledování projektu'!$L$5,vstupy!$N$2:$BY$180,$B34+1,0),data!$B$12:$B$213,0),29)),"",INDEX(data!$A$12:$AI$213,MATCH(HLOOKUP('II. Sledování projektu'!$L$5,vstupy!$N$2:$BY$180,$B34+1,0),data!$B$12:$B$213,0),29))</f>
        <v>0.39</v>
      </c>
      <c r="I34" s="54">
        <f>IF(ISERROR(INDEX(data!$A$12:$AI$213,MATCH(HLOOKUP('II. Sledování projektu'!$L$5,vstupy!$N$2:$BY$180,$B34+1,0),data!$B$12:$B$213,0),31)),"",INDEX(data!$A$12:$AI$213,MATCH(HLOOKUP('II. Sledování projektu'!$L$5,vstupy!$N$2:$BY$180,$B34+1,0),data!$B$12:$B$213,0),31))</f>
        <v>3160497.6500000004</v>
      </c>
      <c r="J34" s="53">
        <f t="shared" si="4"/>
        <v>0.3573404545197581</v>
      </c>
      <c r="K34" s="53">
        <f t="shared" si="6"/>
        <v>0.91625757569168742</v>
      </c>
      <c r="L34" s="54">
        <f>IF(ISERROR(INDEX(data!$A$12:$AI$213,MATCH(HLOOKUP('II. Sledování projektu'!$L$5,vstupy!$N$2:$BY$180,$B34+1,0),data!$B$12:$B$213,0),32)),"",INDEX(data!$A$12:$AI$213,MATCH(HLOOKUP('II. Sledování projektu'!$L$5,vstupy!$N$2:$BY$180,$B34+1,0),data!$B$12:$B$213,0),32))</f>
        <v>768013.31</v>
      </c>
      <c r="M34" s="53">
        <f t="shared" si="2"/>
        <v>0.19549730618544589</v>
      </c>
      <c r="N34" s="54">
        <f>IF(ISERROR(VLOOKUP(C34,data!$C$12:$AD$213,28,0)),0,VLOOKUP(C34,data!$C$12:$AD$213,28,0))</f>
        <v>3449355</v>
      </c>
    </row>
    <row r="35" spans="2:14" x14ac:dyDescent="0.2">
      <c r="B35" s="19">
        <f t="shared" si="5"/>
        <v>30</v>
      </c>
      <c r="C35" s="19" t="str">
        <f>IF(ISERROR(INDEX(data!$A$12:$AI$213,MATCH(HLOOKUP('II. Sledování projektu'!$L$5,vstupy!$N$2:$BY$180,$B35+1,0),data!$B$12:$B$213,0),3)),"",INDEX(data!$A$12:$AI$213,MATCH(HLOOKUP('II. Sledování projektu'!$L$5,vstupy!$N$2:$BY$180,$B35+1,0),data!$B$12:$B$213,0),3))</f>
        <v>Dům dětí a mládeže Poruba</v>
      </c>
      <c r="D35" s="156">
        <f>IF(ISERROR(INDEX(data!$A$12:$AI$213,MATCH(HLOOKUP('II. Sledování projektu'!$L$5,vstupy!$N$2:$BY$180,$B35+1,0),data!$B$12:$B$213,0),35)),"",INDEX(data!$A$12:$AI$213,MATCH(HLOOKUP('II. Sledování projektu'!$L$5,vstupy!$N$2:$BY$180,$B35+1,0),data!$B$12:$B$213,0),35))</f>
        <v>73.273709290953548</v>
      </c>
      <c r="E35" s="49">
        <f>IF(ISERROR(INDEX(data!$A$12:$AI$213,MATCH(HLOOKUP('II. Sledování projektu'!$L$5,vstupy!$N$2:$BY$180,$B35+1,0),data!$B$12:$B$213,0),27)),"",INDEX(data!$A$12:$AI$213,MATCH(HLOOKUP('II. Sledování projektu'!$L$5,vstupy!$N$2:$BY$180,$B35+1,0),data!$B$12:$B$213,0),27))</f>
        <v>2045000</v>
      </c>
      <c r="F35" s="54">
        <f>IF(ISERROR(INDEX(data!$A$12:$AI$213,MATCH(HLOOKUP('II. Sledování projektu'!$L$5,vstupy!$N$2:$BY$180,$B35+1,0),data!$B$12:$B$213,0),28)),"",INDEX(data!$A$12:$AI$213,MATCH(HLOOKUP('II. Sledování projektu'!$L$5,vstupy!$N$2:$BY$180,$B35+1,0),data!$B$12:$B$213,0),28))</f>
        <v>1281006.9099999999</v>
      </c>
      <c r="G35" s="53">
        <f t="shared" si="3"/>
        <v>0.62640924694376521</v>
      </c>
      <c r="H35" s="53">
        <f>IF(ISERROR(INDEX(data!$A$12:$AI$213,MATCH(HLOOKUP('II. Sledování projektu'!$L$5,vstupy!$N$2:$BY$180,$B35+1,0),data!$B$12:$B$213,0),29)),"",INDEX(data!$A$12:$AI$213,MATCH(HLOOKUP('II. Sledování projektu'!$L$5,vstupy!$N$2:$BY$180,$B35+1,0),data!$B$12:$B$213,0),29))</f>
        <v>0.14000000000000001</v>
      </c>
      <c r="I35" s="54">
        <f>IF(ISERROR(INDEX(data!$A$12:$AI$213,MATCH(HLOOKUP('II. Sledování projektu'!$L$5,vstupy!$N$2:$BY$180,$B35+1,0),data!$B$12:$B$213,0),31)),"",INDEX(data!$A$12:$AI$213,MATCH(HLOOKUP('II. Sledování projektu'!$L$5,vstupy!$N$2:$BY$180,$B35+1,0),data!$B$12:$B$213,0),31))</f>
        <v>200186.91</v>
      </c>
      <c r="J35" s="53">
        <f t="shared" si="4"/>
        <v>9.789090953545232E-2</v>
      </c>
      <c r="K35" s="53">
        <f t="shared" si="6"/>
        <v>0.69922078239608798</v>
      </c>
      <c r="L35" s="54">
        <f>IF(ISERROR(INDEX(data!$A$12:$AI$213,MATCH(HLOOKUP('II. Sledování projektu'!$L$5,vstupy!$N$2:$BY$180,$B35+1,0),data!$B$12:$B$213,0),32)),"",INDEX(data!$A$12:$AI$213,MATCH(HLOOKUP('II. Sledování projektu'!$L$5,vstupy!$N$2:$BY$180,$B35+1,0),data!$B$12:$B$213,0),32))</f>
        <v>138099.81</v>
      </c>
      <c r="M35" s="53">
        <f t="shared" si="2"/>
        <v>0.40823302197615091</v>
      </c>
      <c r="N35" s="54">
        <f>IF(ISERROR(VLOOKUP(C35,data!$C$12:$AD$213,28,0)),0,VLOOKUP(C35,data!$C$12:$AD$213,28,0))</f>
        <v>286300</v>
      </c>
    </row>
    <row r="36" spans="2:14" x14ac:dyDescent="0.2">
      <c r="B36" s="19">
        <f t="shared" si="5"/>
        <v>31</v>
      </c>
      <c r="C36" s="19" t="str">
        <f>IF(ISERROR(INDEX(data!$A$12:$AI$213,MATCH(HLOOKUP('II. Sledování projektu'!$L$5,vstupy!$N$2:$BY$180,$B36+1,0),data!$B$12:$B$213,0),3)),"",INDEX(data!$A$12:$AI$213,MATCH(HLOOKUP('II. Sledování projektu'!$L$5,vstupy!$N$2:$BY$180,$B36+1,0),data!$B$12:$B$213,0),3))</f>
        <v>Dům kultury Ostrava</v>
      </c>
      <c r="D36" s="156">
        <f>IF(ISERROR(INDEX(data!$A$12:$AI$213,MATCH(HLOOKUP('II. Sledování projektu'!$L$5,vstupy!$N$2:$BY$180,$B36+1,0),data!$B$12:$B$213,0),35)),"",INDEX(data!$A$12:$AI$213,MATCH(HLOOKUP('II. Sledování projektu'!$L$5,vstupy!$N$2:$BY$180,$B36+1,0),data!$B$12:$B$213,0),35))</f>
        <v>81.49091228566806</v>
      </c>
      <c r="E36" s="49">
        <f>IF(ISERROR(INDEX(data!$A$12:$AI$213,MATCH(HLOOKUP('II. Sledování projektu'!$L$5,vstupy!$N$2:$BY$180,$B36+1,0),data!$B$12:$B$213,0),27)),"",INDEX(data!$A$12:$AI$213,MATCH(HLOOKUP('II. Sledování projektu'!$L$5,vstupy!$N$2:$BY$180,$B36+1,0),data!$B$12:$B$213,0),27))</f>
        <v>8848095.5</v>
      </c>
      <c r="F36" s="54">
        <f>IF(ISERROR(INDEX(data!$A$12:$AI$213,MATCH(HLOOKUP('II. Sledování projektu'!$L$5,vstupy!$N$2:$BY$180,$B36+1,0),data!$B$12:$B$213,0),28)),"",INDEX(data!$A$12:$AI$213,MATCH(HLOOKUP('II. Sledování projektu'!$L$5,vstupy!$N$2:$BY$180,$B36+1,0),data!$B$12:$B$213,0),28))</f>
        <v>7258549.4900000002</v>
      </c>
      <c r="G36" s="53">
        <f t="shared" si="3"/>
        <v>0.82035162143084916</v>
      </c>
      <c r="H36" s="53">
        <f>IF(ISERROR(INDEX(data!$A$12:$AI$213,MATCH(HLOOKUP('II. Sledování projektu'!$L$5,vstupy!$N$2:$BY$180,$B36+1,0),data!$B$12:$B$213,0),29)),"",INDEX(data!$A$12:$AI$213,MATCH(HLOOKUP('II. Sledování projektu'!$L$5,vstupy!$N$2:$BY$180,$B36+1,0),data!$B$12:$B$213,0),29))</f>
        <v>7.0000000000000007E-2</v>
      </c>
      <c r="I36" s="54">
        <f>IF(ISERROR(INDEX(data!$A$12:$AI$213,MATCH(HLOOKUP('II. Sledování projektu'!$L$5,vstupy!$N$2:$BY$180,$B36+1,0),data!$B$12:$B$213,0),31)),"",INDEX(data!$A$12:$AI$213,MATCH(HLOOKUP('II. Sledování projektu'!$L$5,vstupy!$N$2:$BY$180,$B36+1,0),data!$B$12:$B$213,0),31))</f>
        <v>428301.48</v>
      </c>
      <c r="J36" s="53">
        <f t="shared" si="4"/>
        <v>4.8406064333279403E-2</v>
      </c>
      <c r="K36" s="53">
        <f t="shared" si="6"/>
        <v>0.69151520476113426</v>
      </c>
      <c r="L36" s="54">
        <f>IF(ISERROR(INDEX(data!$A$12:$AI$213,MATCH(HLOOKUP('II. Sledování projektu'!$L$5,vstupy!$N$2:$BY$180,$B36+1,0),data!$B$12:$B$213,0),32)),"",INDEX(data!$A$12:$AI$213,MATCH(HLOOKUP('II. Sledování projektu'!$L$5,vstupy!$N$2:$BY$180,$B36+1,0),data!$B$12:$B$213,0),32))</f>
        <v>282514.25</v>
      </c>
      <c r="M36" s="53">
        <f t="shared" si="2"/>
        <v>0.39745075703375332</v>
      </c>
      <c r="N36" s="54">
        <f>IF(ISERROR(VLOOKUP(C36,data!$C$12:$AD$213,28,0)),0,VLOOKUP(C36,data!$C$12:$AD$213,28,0))</f>
        <v>619366.68500000006</v>
      </c>
    </row>
    <row r="37" spans="2:14" x14ac:dyDescent="0.2">
      <c r="B37" s="19">
        <f t="shared" si="5"/>
        <v>32</v>
      </c>
      <c r="C37" s="19" t="str">
        <f>IF(ISERROR(INDEX(data!$A$12:$AI$213,MATCH(HLOOKUP('II. Sledování projektu'!$L$5,vstupy!$N$2:$BY$180,$B37+1,0),data!$B$12:$B$213,0),3)),"",INDEX(data!$A$12:$AI$213,MATCH(HLOOKUP('II. Sledování projektu'!$L$5,vstupy!$N$2:$BY$180,$B37+1,0),data!$B$12:$B$213,0),3))</f>
        <v/>
      </c>
      <c r="D37" s="156" t="str">
        <f>IF(ISERROR(INDEX(data!$A$12:$AI$213,MATCH(HLOOKUP('II. Sledování projektu'!$L$5,vstupy!$N$2:$BY$180,$B37+1,0),data!$B$12:$B$213,0),35)),"",INDEX(data!$A$12:$AI$213,MATCH(HLOOKUP('II. Sledování projektu'!$L$5,vstupy!$N$2:$BY$180,$B37+1,0),data!$B$12:$B$213,0),35))</f>
        <v/>
      </c>
      <c r="E37" s="49" t="str">
        <f>IF(ISERROR(INDEX(data!$A$12:$AI$213,MATCH(HLOOKUP('II. Sledování projektu'!$L$5,vstupy!$N$2:$BY$180,$B37+1,0),data!$B$12:$B$213,0),27)),"",INDEX(data!$A$12:$AI$213,MATCH(HLOOKUP('II. Sledování projektu'!$L$5,vstupy!$N$2:$BY$180,$B37+1,0),data!$B$12:$B$213,0),27))</f>
        <v/>
      </c>
      <c r="F37" s="54" t="str">
        <f>IF(ISERROR(INDEX(data!$A$12:$AI$213,MATCH(HLOOKUP('II. Sledování projektu'!$L$5,vstupy!$N$2:$BY$180,$B37+1,0),data!$B$12:$B$213,0),28)),"",INDEX(data!$A$12:$AI$213,MATCH(HLOOKUP('II. Sledování projektu'!$L$5,vstupy!$N$2:$BY$180,$B37+1,0),data!$B$12:$B$213,0),28))</f>
        <v/>
      </c>
      <c r="G37" s="53">
        <f t="shared" si="3"/>
        <v>0</v>
      </c>
      <c r="H37" s="53" t="str">
        <f>IF(ISERROR(INDEX(data!$A$12:$AI$213,MATCH(HLOOKUP('II. Sledování projektu'!$L$5,vstupy!$N$2:$BY$180,$B37+1,0),data!$B$12:$B$213,0),29)),"",INDEX(data!$A$12:$AI$213,MATCH(HLOOKUP('II. Sledování projektu'!$L$5,vstupy!$N$2:$BY$180,$B37+1,0),data!$B$12:$B$213,0),29))</f>
        <v/>
      </c>
      <c r="I37" s="54" t="str">
        <f>IF(ISERROR(INDEX(data!$A$12:$AI$213,MATCH(HLOOKUP('II. Sledování projektu'!$L$5,vstupy!$N$2:$BY$180,$B37+1,0),data!$B$12:$B$213,0),31)),"",INDEX(data!$A$12:$AI$213,MATCH(HLOOKUP('II. Sledování projektu'!$L$5,vstupy!$N$2:$BY$180,$B37+1,0),data!$B$12:$B$213,0),31))</f>
        <v/>
      </c>
      <c r="J37" s="53">
        <f t="shared" si="4"/>
        <v>0</v>
      </c>
      <c r="K37" s="53">
        <f t="shared" si="6"/>
        <v>0</v>
      </c>
      <c r="L37" s="54" t="str">
        <f>IF(ISERROR(INDEX(data!$A$12:$AI$213,MATCH(HLOOKUP('II. Sledování projektu'!$L$5,vstupy!$N$2:$BY$180,$B37+1,0),data!$B$12:$B$213,0),32)),"",INDEX(data!$A$12:$AI$213,MATCH(HLOOKUP('II. Sledování projektu'!$L$5,vstupy!$N$2:$BY$180,$B37+1,0),data!$B$12:$B$213,0),32))</f>
        <v/>
      </c>
      <c r="M37" s="53">
        <f t="shared" si="2"/>
        <v>0</v>
      </c>
      <c r="N37" s="54">
        <f>IF(ISERROR(VLOOKUP(C37,data!$C$12:$AD$213,28,0)),0,VLOOKUP(C37,data!$C$12:$AD$213,28,0))</f>
        <v>0</v>
      </c>
    </row>
    <row r="38" spans="2:14" x14ac:dyDescent="0.2">
      <c r="B38" s="19">
        <f t="shared" si="5"/>
        <v>33</v>
      </c>
      <c r="C38" s="19" t="str">
        <f>IF(ISERROR(INDEX(data!$A$12:$AI$213,MATCH(HLOOKUP('II. Sledování projektu'!$L$5,vstupy!$N$2:$BY$180,$B38+1,0),data!$B$12:$B$213,0),3)),"",INDEX(data!$A$12:$AI$213,MATCH(HLOOKUP('II. Sledování projektu'!$L$5,vstupy!$N$2:$BY$180,$B38+1,0),data!$B$12:$B$213,0),3))</f>
        <v>Firemní školka města Ostravy</v>
      </c>
      <c r="D38" s="156">
        <f>IF(ISERROR(INDEX(data!$A$12:$AI$213,MATCH(HLOOKUP('II. Sledování projektu'!$L$5,vstupy!$N$2:$BY$180,$B38+1,0),data!$B$12:$B$213,0),35)),"",INDEX(data!$A$12:$AI$213,MATCH(HLOOKUP('II. Sledování projektu'!$L$5,vstupy!$N$2:$BY$180,$B38+1,0),data!$B$12:$B$213,0),35))</f>
        <v>0</v>
      </c>
      <c r="E38" s="49">
        <f>IF(ISERROR(INDEX(data!$A$12:$AI$213,MATCH(HLOOKUP('II. Sledování projektu'!$L$5,vstupy!$N$2:$BY$180,$B38+1,0),data!$B$12:$B$213,0),27)),"",INDEX(data!$A$12:$AI$213,MATCH(HLOOKUP('II. Sledování projektu'!$L$5,vstupy!$N$2:$BY$180,$B38+1,0),data!$B$12:$B$213,0),27))</f>
        <v>335989</v>
      </c>
      <c r="F38" s="54">
        <f>IF(ISERROR(INDEX(data!$A$12:$AI$213,MATCH(HLOOKUP('II. Sledování projektu'!$L$5,vstupy!$N$2:$BY$180,$B38+1,0),data!$B$12:$B$213,0),28)),"",INDEX(data!$A$12:$AI$213,MATCH(HLOOKUP('II. Sledování projektu'!$L$5,vstupy!$N$2:$BY$180,$B38+1,0),data!$B$12:$B$213,0),28))</f>
        <v>0</v>
      </c>
      <c r="G38" s="53">
        <f t="shared" si="3"/>
        <v>0</v>
      </c>
      <c r="H38" s="53">
        <f>IF(ISERROR(INDEX(data!$A$12:$AI$213,MATCH(HLOOKUP('II. Sledování projektu'!$L$5,vstupy!$N$2:$BY$180,$B38+1,0),data!$B$12:$B$213,0),29)),"",INDEX(data!$A$12:$AI$213,MATCH(HLOOKUP('II. Sledování projektu'!$L$5,vstupy!$N$2:$BY$180,$B38+1,0),data!$B$12:$B$213,0),29))</f>
        <v>3.39E-2</v>
      </c>
      <c r="I38" s="54">
        <f>IF(ISERROR(INDEX(data!$A$12:$AI$213,MATCH(HLOOKUP('II. Sledování projektu'!$L$5,vstupy!$N$2:$BY$180,$B38+1,0),data!$B$12:$B$213,0),31)),"",INDEX(data!$A$12:$AI$213,MATCH(HLOOKUP('II. Sledování projektu'!$L$5,vstupy!$N$2:$BY$180,$B38+1,0),data!$B$12:$B$213,0),31))</f>
        <v>0</v>
      </c>
      <c r="J38" s="53">
        <f t="shared" si="4"/>
        <v>0</v>
      </c>
      <c r="K38" s="53">
        <f t="shared" si="6"/>
        <v>0</v>
      </c>
      <c r="L38" s="54">
        <f>IF(ISERROR(INDEX(data!$A$12:$AI$213,MATCH(HLOOKUP('II. Sledování projektu'!$L$5,vstupy!$N$2:$BY$180,$B38+1,0),data!$B$12:$B$213,0),32)),"",INDEX(data!$A$12:$AI$213,MATCH(HLOOKUP('II. Sledování projektu'!$L$5,vstupy!$N$2:$BY$180,$B38+1,0),data!$B$12:$B$213,0),32))</f>
        <v>0</v>
      </c>
      <c r="M38" s="53">
        <f t="shared" ref="M38:M69" si="7">IF(ISERROR(L38/I38),0,IF(uspora="A",L38/I38,L38/(I38+L38)))</f>
        <v>0</v>
      </c>
      <c r="N38" s="54">
        <f>IF(ISERROR(VLOOKUP(C38,data!$C$12:$AD$213,28,0)),0,VLOOKUP(C38,data!$C$12:$AD$213,28,0))</f>
        <v>11390.027099999999</v>
      </c>
    </row>
    <row r="39" spans="2:14" x14ac:dyDescent="0.2">
      <c r="B39" s="19">
        <f t="shared" si="5"/>
        <v>34</v>
      </c>
      <c r="C39" s="19" t="str">
        <f>IF(ISERROR(INDEX(data!$A$12:$AI$213,MATCH(HLOOKUP('II. Sledování projektu'!$L$5,vstupy!$N$2:$BY$180,$B39+1,0),data!$B$12:$B$213,0),3)),"",INDEX(data!$A$12:$AI$213,MATCH(HLOOKUP('II. Sledování projektu'!$L$5,vstupy!$N$2:$BY$180,$B39+1,0),data!$B$12:$B$213,0),3))</f>
        <v>Janáčkova filharmonie Ostrava</v>
      </c>
      <c r="D39" s="156">
        <f>IF(ISERROR(INDEX(data!$A$12:$AI$213,MATCH(HLOOKUP('II. Sledování projektu'!$L$5,vstupy!$N$2:$BY$180,$B39+1,0),data!$B$12:$B$213,0),35)),"",INDEX(data!$A$12:$AI$213,MATCH(HLOOKUP('II. Sledování projektu'!$L$5,vstupy!$N$2:$BY$180,$B39+1,0),data!$B$12:$B$213,0),35))</f>
        <v>79.05474411345395</v>
      </c>
      <c r="E39" s="49">
        <f>IF(ISERROR(INDEX(data!$A$12:$AI$213,MATCH(HLOOKUP('II. Sledování projektu'!$L$5,vstupy!$N$2:$BY$180,$B39+1,0),data!$B$12:$B$213,0),27)),"",INDEX(data!$A$12:$AI$213,MATCH(HLOOKUP('II. Sledování projektu'!$L$5,vstupy!$N$2:$BY$180,$B39+1,0),data!$B$12:$B$213,0),27))</f>
        <v>12632500</v>
      </c>
      <c r="F39" s="54">
        <f>IF(ISERROR(INDEX(data!$A$12:$AI$213,MATCH(HLOOKUP('II. Sledování projektu'!$L$5,vstupy!$N$2:$BY$180,$B39+1,0),data!$B$12:$B$213,0),28)),"",INDEX(data!$A$12:$AI$213,MATCH(HLOOKUP('II. Sledování projektu'!$L$5,vstupy!$N$2:$BY$180,$B39+1,0),data!$B$12:$B$213,0),28))</f>
        <v>13693217.48</v>
      </c>
      <c r="G39" s="53">
        <f t="shared" si="3"/>
        <v>1.0839673445477935</v>
      </c>
      <c r="H39" s="53">
        <f>IF(ISERROR(INDEX(data!$A$12:$AI$213,MATCH(HLOOKUP('II. Sledování projektu'!$L$5,vstupy!$N$2:$BY$180,$B39+1,0),data!$B$12:$B$213,0),29)),"",INDEX(data!$A$12:$AI$213,MATCH(HLOOKUP('II. Sledování projektu'!$L$5,vstupy!$N$2:$BY$180,$B39+1,0),data!$B$12:$B$213,0),29))</f>
        <v>5.6847087967705823E-2</v>
      </c>
      <c r="I39" s="54">
        <f>IF(ISERROR(INDEX(data!$A$12:$AI$213,MATCH(HLOOKUP('II. Sledování projektu'!$L$5,vstupy!$N$2:$BY$180,$B39+1,0),data!$B$12:$B$213,0),31)),"",INDEX(data!$A$12:$AI$213,MATCH(HLOOKUP('II. Sledování projektu'!$L$5,vstupy!$N$2:$BY$180,$B39+1,0),data!$B$12:$B$213,0),31))</f>
        <v>467433.76</v>
      </c>
      <c r="J39" s="53">
        <f t="shared" si="4"/>
        <v>3.7002474569562634E-2</v>
      </c>
      <c r="K39" s="53">
        <f t="shared" si="6"/>
        <v>0.65091240189089927</v>
      </c>
      <c r="L39" s="54">
        <f>IF(ISERROR(INDEX(data!$A$12:$AI$213,MATCH(HLOOKUP('II. Sledování projektu'!$L$5,vstupy!$N$2:$BY$180,$B39+1,0),data!$B$12:$B$213,0),32)),"",INDEX(data!$A$12:$AI$213,MATCH(HLOOKUP('II. Sledování projektu'!$L$5,vstupy!$N$2:$BY$180,$B39+1,0),data!$B$12:$B$213,0),32))</f>
        <v>155607.84</v>
      </c>
      <c r="M39" s="53">
        <f t="shared" si="7"/>
        <v>0.24975513673565297</v>
      </c>
      <c r="N39" s="54">
        <f>IF(ISERROR(VLOOKUP(C39,data!$C$12:$AD$213,28,0)),0,VLOOKUP(C39,data!$C$12:$AD$213,28,0))</f>
        <v>718120.83875204378</v>
      </c>
    </row>
    <row r="40" spans="2:14" x14ac:dyDescent="0.2">
      <c r="B40" s="19">
        <f t="shared" si="5"/>
        <v>35</v>
      </c>
      <c r="C40" s="19" t="str">
        <f>IF(ISERROR(INDEX(data!$A$12:$AI$213,MATCH(HLOOKUP('II. Sledování projektu'!$L$5,vstupy!$N$2:$BY$180,$B40+1,0),data!$B$12:$B$213,0),3)),"",INDEX(data!$A$12:$AI$213,MATCH(HLOOKUP('II. Sledování projektu'!$L$5,vstupy!$N$2:$BY$180,$B40+1,0),data!$B$12:$B$213,0),3))</f>
        <v>Knihovna města Ostravy</v>
      </c>
      <c r="D40" s="156">
        <f>IF(ISERROR(INDEX(data!$A$12:$AI$213,MATCH(HLOOKUP('II. Sledování projektu'!$L$5,vstupy!$N$2:$BY$180,$B40+1,0),data!$B$12:$B$213,0),35)),"",INDEX(data!$A$12:$AI$213,MATCH(HLOOKUP('II. Sledování projektu'!$L$5,vstupy!$N$2:$BY$180,$B40+1,0),data!$B$12:$B$213,0),35))</f>
        <v>100</v>
      </c>
      <c r="E40" s="49">
        <f>IF(ISERROR(INDEX(data!$A$12:$AI$213,MATCH(HLOOKUP('II. Sledování projektu'!$L$5,vstupy!$N$2:$BY$180,$B40+1,0),data!$B$12:$B$213,0),27)),"",INDEX(data!$A$12:$AI$213,MATCH(HLOOKUP('II. Sledování projektu'!$L$5,vstupy!$N$2:$BY$180,$B40+1,0),data!$B$12:$B$213,0),27))</f>
        <v>6548850</v>
      </c>
      <c r="F40" s="54">
        <f>IF(ISERROR(INDEX(data!$A$12:$AI$213,MATCH(HLOOKUP('II. Sledování projektu'!$L$5,vstupy!$N$2:$BY$180,$B40+1,0),data!$B$12:$B$213,0),28)),"",INDEX(data!$A$12:$AI$213,MATCH(HLOOKUP('II. Sledování projektu'!$L$5,vstupy!$N$2:$BY$180,$B40+1,0),data!$B$12:$B$213,0),28))</f>
        <v>5434893.6699999999</v>
      </c>
      <c r="G40" s="53">
        <f t="shared" si="3"/>
        <v>0.82990046649411731</v>
      </c>
      <c r="H40" s="53">
        <f>IF(ISERROR(INDEX(data!$A$12:$AI$213,MATCH(HLOOKUP('II. Sledování projektu'!$L$5,vstupy!$N$2:$BY$180,$B40+1,0),data!$B$12:$B$213,0),29)),"",INDEX(data!$A$12:$AI$213,MATCH(HLOOKUP('II. Sledování projektu'!$L$5,vstupy!$N$2:$BY$180,$B40+1,0),data!$B$12:$B$213,0),29))</f>
        <v>0.23924987180665169</v>
      </c>
      <c r="I40" s="54">
        <f>IF(ISERROR(INDEX(data!$A$12:$AI$213,MATCH(HLOOKUP('II. Sledování projektu'!$L$5,vstupy!$N$2:$BY$180,$B40+1,0),data!$B$12:$B$213,0),31)),"",INDEX(data!$A$12:$AI$213,MATCH(HLOOKUP('II. Sledování projektu'!$L$5,vstupy!$N$2:$BY$180,$B40+1,0),data!$B$12:$B$213,0),31))</f>
        <v>1881444.24</v>
      </c>
      <c r="J40" s="53">
        <f t="shared" si="4"/>
        <v>0.28729383632240774</v>
      </c>
      <c r="K40" s="53">
        <f t="shared" si="6"/>
        <v>1.2008108265762518</v>
      </c>
      <c r="L40" s="54">
        <f>IF(ISERROR(INDEX(data!$A$12:$AI$213,MATCH(HLOOKUP('II. Sledování projektu'!$L$5,vstupy!$N$2:$BY$180,$B40+1,0),data!$B$12:$B$213,0),32)),"",INDEX(data!$A$12:$AI$213,MATCH(HLOOKUP('II. Sledování projektu'!$L$5,vstupy!$N$2:$BY$180,$B40+1,0),data!$B$12:$B$213,0),32))</f>
        <v>1230004.9099999999</v>
      </c>
      <c r="M40" s="53">
        <f t="shared" si="7"/>
        <v>0.39531576789548367</v>
      </c>
      <c r="N40" s="54">
        <f>IF(ISERROR(VLOOKUP(C40,data!$C$12:$AD$213,28,0)),0,VLOOKUP(C40,data!$C$12:$AD$213,28,0))</f>
        <v>1566811.5229809911</v>
      </c>
    </row>
    <row r="41" spans="2:14" x14ac:dyDescent="0.2">
      <c r="B41" s="19">
        <f t="shared" si="5"/>
        <v>36</v>
      </c>
      <c r="C41" s="19" t="str">
        <f>IF(ISERROR(INDEX(data!$A$12:$AI$213,MATCH(HLOOKUP('II. Sledování projektu'!$L$5,vstupy!$N$2:$BY$180,$B41+1,0),data!$B$12:$B$213,0),3)),"",INDEX(data!$A$12:$AI$213,MATCH(HLOOKUP('II. Sledování projektu'!$L$5,vstupy!$N$2:$BY$180,$B41+1,0),data!$B$12:$B$213,0),3))</f>
        <v>Krematorium Ostrava</v>
      </c>
      <c r="D41" s="156">
        <f>IF(ISERROR(INDEX(data!$A$12:$AI$213,MATCH(HLOOKUP('II. Sledování projektu'!$L$5,vstupy!$N$2:$BY$180,$B41+1,0),data!$B$12:$B$213,0),35)),"",INDEX(data!$A$12:$AI$213,MATCH(HLOOKUP('II. Sledování projektu'!$L$5,vstupy!$N$2:$BY$180,$B41+1,0),data!$B$12:$B$213,0),35))</f>
        <v>82.88412829403606</v>
      </c>
      <c r="E41" s="49">
        <f>IF(ISERROR(INDEX(data!$A$12:$AI$213,MATCH(HLOOKUP('II. Sledování projektu'!$L$5,vstupy!$N$2:$BY$180,$B41+1,0),data!$B$12:$B$213,0),27)),"",INDEX(data!$A$12:$AI$213,MATCH(HLOOKUP('II. Sledování projektu'!$L$5,vstupy!$N$2:$BY$180,$B41+1,0),data!$B$12:$B$213,0),27))</f>
        <v>2163000</v>
      </c>
      <c r="F41" s="54">
        <f>IF(ISERROR(INDEX(data!$A$12:$AI$213,MATCH(HLOOKUP('II. Sledování projektu'!$L$5,vstupy!$N$2:$BY$180,$B41+1,0),data!$B$12:$B$213,0),28)),"",INDEX(data!$A$12:$AI$213,MATCH(HLOOKUP('II. Sledování projektu'!$L$5,vstupy!$N$2:$BY$180,$B41+1,0),data!$B$12:$B$213,0),28))</f>
        <v>1284539.71</v>
      </c>
      <c r="G41" s="53">
        <f t="shared" si="3"/>
        <v>0.59386949144706425</v>
      </c>
      <c r="H41" s="53">
        <f>IF(ISERROR(INDEX(data!$A$12:$AI$213,MATCH(HLOOKUP('II. Sledování projektu'!$L$5,vstupy!$N$2:$BY$180,$B41+1,0),data!$B$12:$B$213,0),29)),"",INDEX(data!$A$12:$AI$213,MATCH(HLOOKUP('II. Sledování projektu'!$L$5,vstupy!$N$2:$BY$180,$B41+1,0),data!$B$12:$B$213,0),29))</f>
        <v>0.3</v>
      </c>
      <c r="I41" s="54">
        <f>IF(ISERROR(INDEX(data!$A$12:$AI$213,MATCH(HLOOKUP('II. Sledování projektu'!$L$5,vstupy!$N$2:$BY$180,$B41+1,0),data!$B$12:$B$213,0),31)),"",INDEX(data!$A$12:$AI$213,MATCH(HLOOKUP('II. Sledování projektu'!$L$5,vstupy!$N$2:$BY$180,$B41+1,0),data!$B$12:$B$213,0),31))</f>
        <v>575256.92000000004</v>
      </c>
      <c r="J41" s="53">
        <f t="shared" si="4"/>
        <v>0.26595326860841428</v>
      </c>
      <c r="K41" s="53">
        <f t="shared" si="6"/>
        <v>0.88651089536138084</v>
      </c>
      <c r="L41" s="54">
        <f>IF(ISERROR(INDEX(data!$A$12:$AI$213,MATCH(HLOOKUP('II. Sledování projektu'!$L$5,vstupy!$N$2:$BY$180,$B41+1,0),data!$B$12:$B$213,0),32)),"",INDEX(data!$A$12:$AI$213,MATCH(HLOOKUP('II. Sledování projektu'!$L$5,vstupy!$N$2:$BY$180,$B41+1,0),data!$B$12:$B$213,0),32))</f>
        <v>250329.66</v>
      </c>
      <c r="M41" s="53">
        <f t="shared" si="7"/>
        <v>0.30321430370149666</v>
      </c>
      <c r="N41" s="54">
        <f>IF(ISERROR(VLOOKUP(C41,data!$C$12:$AD$213,28,0)),0,VLOOKUP(C41,data!$C$12:$AD$213,28,0))</f>
        <v>648900</v>
      </c>
    </row>
    <row r="42" spans="2:14" x14ac:dyDescent="0.2">
      <c r="B42" s="19">
        <f t="shared" si="5"/>
        <v>37</v>
      </c>
      <c r="C42" s="19" t="str">
        <f>IF(ISERROR(INDEX(data!$A$12:$AI$213,MATCH(HLOOKUP('II. Sledování projektu'!$L$5,vstupy!$N$2:$BY$180,$B42+1,0),data!$B$12:$B$213,0),3)),"",INDEX(data!$A$12:$AI$213,MATCH(HLOOKUP('II. Sledování projektu'!$L$5,vstupy!$N$2:$BY$180,$B42+1,0),data!$B$12:$B$213,0),3))</f>
        <v>Křesťanská MŠ Ostrava-Mariánské Hory</v>
      </c>
      <c r="D42" s="156">
        <f>IF(ISERROR(INDEX(data!$A$12:$AI$213,MATCH(HLOOKUP('II. Sledování projektu'!$L$5,vstupy!$N$2:$BY$180,$B42+1,0),data!$B$12:$B$213,0),35)),"",INDEX(data!$A$12:$AI$213,MATCH(HLOOKUP('II. Sledování projektu'!$L$5,vstupy!$N$2:$BY$180,$B42+1,0),data!$B$12:$B$213,0),35))</f>
        <v>100</v>
      </c>
      <c r="E42" s="49">
        <f>IF(ISERROR(INDEX(data!$A$12:$AI$213,MATCH(HLOOKUP('II. Sledování projektu'!$L$5,vstupy!$N$2:$BY$180,$B42+1,0),data!$B$12:$B$213,0),27)),"",INDEX(data!$A$12:$AI$213,MATCH(HLOOKUP('II. Sledování projektu'!$L$5,vstupy!$N$2:$BY$180,$B42+1,0),data!$B$12:$B$213,0),27))</f>
        <v>1006000</v>
      </c>
      <c r="F42" s="54">
        <f>IF(ISERROR(INDEX(data!$A$12:$AI$213,MATCH(HLOOKUP('II. Sledování projektu'!$L$5,vstupy!$N$2:$BY$180,$B42+1,0),data!$B$12:$B$213,0),28)),"",INDEX(data!$A$12:$AI$213,MATCH(HLOOKUP('II. Sledování projektu'!$L$5,vstupy!$N$2:$BY$180,$B42+1,0),data!$B$12:$B$213,0),28))</f>
        <v>929367.41</v>
      </c>
      <c r="G42" s="53">
        <f t="shared" si="3"/>
        <v>0.92382446322067602</v>
      </c>
      <c r="H42" s="53">
        <f>IF(ISERROR(INDEX(data!$A$12:$AI$213,MATCH(HLOOKUP('II. Sledování projektu'!$L$5,vstupy!$N$2:$BY$180,$B42+1,0),data!$B$12:$B$213,0),29)),"",INDEX(data!$A$12:$AI$213,MATCH(HLOOKUP('II. Sledování projektu'!$L$5,vstupy!$N$2:$BY$180,$B42+1,0),data!$B$12:$B$213,0),29))</f>
        <v>0.24970000000000001</v>
      </c>
      <c r="I42" s="54">
        <f>IF(ISERROR(INDEX(data!$A$12:$AI$213,MATCH(HLOOKUP('II. Sledování projektu'!$L$5,vstupy!$N$2:$BY$180,$B42+1,0),data!$B$12:$B$213,0),31)),"",INDEX(data!$A$12:$AI$213,MATCH(HLOOKUP('II. Sledování projektu'!$L$5,vstupy!$N$2:$BY$180,$B42+1,0),data!$B$12:$B$213,0),31))</f>
        <v>360395.24</v>
      </c>
      <c r="J42" s="53">
        <f t="shared" si="4"/>
        <v>0.35824576540755465</v>
      </c>
      <c r="K42" s="53">
        <f t="shared" si="6"/>
        <v>1.4347047072789534</v>
      </c>
      <c r="L42" s="54">
        <f>IF(ISERROR(INDEX(data!$A$12:$AI$213,MATCH(HLOOKUP('II. Sledování projektu'!$L$5,vstupy!$N$2:$BY$180,$B42+1,0),data!$B$12:$B$213,0),32)),"",INDEX(data!$A$12:$AI$213,MATCH(HLOOKUP('II. Sledování projektu'!$L$5,vstupy!$N$2:$BY$180,$B42+1,0),data!$B$12:$B$213,0),32))</f>
        <v>89363.64</v>
      </c>
      <c r="M42" s="53">
        <f t="shared" si="7"/>
        <v>0.19869233043269763</v>
      </c>
      <c r="N42" s="54">
        <f>IF(ISERROR(VLOOKUP(C42,data!$C$12:$AD$213,28,0)),0,VLOOKUP(C42,data!$C$12:$AD$213,28,0))</f>
        <v>251198.2</v>
      </c>
    </row>
    <row r="43" spans="2:14" x14ac:dyDescent="0.2">
      <c r="B43" s="19">
        <f t="shared" si="5"/>
        <v>38</v>
      </c>
      <c r="C43" s="19" t="str">
        <f>IF(ISERROR(INDEX(data!$A$12:$AI$213,MATCH(HLOOKUP('II. Sledování projektu'!$L$5,vstupy!$N$2:$BY$180,$B43+1,0),data!$B$12:$B$213,0),3)),"",INDEX(data!$A$12:$AI$213,MATCH(HLOOKUP('II. Sledování projektu'!$L$5,vstupy!$N$2:$BY$180,$B43+1,0),data!$B$12:$B$213,0),3))</f>
        <v>Kulturní zařízení Ostrava-Jih</v>
      </c>
      <c r="D43" s="156">
        <f>IF(ISERROR(INDEX(data!$A$12:$AI$213,MATCH(HLOOKUP('II. Sledování projektu'!$L$5,vstupy!$N$2:$BY$180,$B43+1,0),data!$B$12:$B$213,0),35)),"",INDEX(data!$A$12:$AI$213,MATCH(HLOOKUP('II. Sledování projektu'!$L$5,vstupy!$N$2:$BY$180,$B43+1,0),data!$B$12:$B$213,0),35))</f>
        <v>32.480244472643577</v>
      </c>
      <c r="E43" s="49">
        <f>IF(ISERROR(INDEX(data!$A$12:$AI$213,MATCH(HLOOKUP('II. Sledování projektu'!$L$5,vstupy!$N$2:$BY$180,$B43+1,0),data!$B$12:$B$213,0),27)),"",INDEX(data!$A$12:$AI$213,MATCH(HLOOKUP('II. Sledování projektu'!$L$5,vstupy!$N$2:$BY$180,$B43+1,0),data!$B$12:$B$213,0),27))</f>
        <v>5233500</v>
      </c>
      <c r="F43" s="54">
        <f>IF(ISERROR(INDEX(data!$A$12:$AI$213,MATCH(HLOOKUP('II. Sledování projektu'!$L$5,vstupy!$N$2:$BY$180,$B43+1,0),data!$B$12:$B$213,0),28)),"",INDEX(data!$A$12:$AI$213,MATCH(HLOOKUP('II. Sledování projektu'!$L$5,vstupy!$N$2:$BY$180,$B43+1,0),data!$B$12:$B$213,0),28))</f>
        <v>15854.84</v>
      </c>
      <c r="G43" s="53">
        <f t="shared" si="3"/>
        <v>3.0294907805483904E-3</v>
      </c>
      <c r="H43" s="53">
        <f>IF(ISERROR(INDEX(data!$A$12:$AI$213,MATCH(HLOOKUP('II. Sledování projektu'!$L$5,vstupy!$N$2:$BY$180,$B43+1,0),data!$B$12:$B$213,0),29)),"",INDEX(data!$A$12:$AI$213,MATCH(HLOOKUP('II. Sledování projektu'!$L$5,vstupy!$N$2:$BY$180,$B43+1,0),data!$B$12:$B$213,0),29))</f>
        <v>5.5250729854665399E-2</v>
      </c>
      <c r="I43" s="54">
        <f>IF(ISERROR(INDEX(data!$A$12:$AI$213,MATCH(HLOOKUP('II. Sledování projektu'!$L$5,vstupy!$N$2:$BY$180,$B43+1,0),data!$B$12:$B$213,0),31)),"",INDEX(data!$A$12:$AI$213,MATCH(HLOOKUP('II. Sledování projektu'!$L$5,vstupy!$N$2:$BY$180,$B43+1,0),data!$B$12:$B$213,0),31))</f>
        <v>155800.26</v>
      </c>
      <c r="J43" s="53">
        <f t="shared" si="4"/>
        <v>2.9769802235597595E-2</v>
      </c>
      <c r="K43" s="53">
        <f t="shared" si="6"/>
        <v>0.53881283222693599</v>
      </c>
      <c r="L43" s="54">
        <f>IF(ISERROR(INDEX(data!$A$12:$AI$213,MATCH(HLOOKUP('II. Sledování projektu'!$L$5,vstupy!$N$2:$BY$180,$B43+1,0),data!$B$12:$B$213,0),32)),"",INDEX(data!$A$12:$AI$213,MATCH(HLOOKUP('II. Sledování projektu'!$L$5,vstupy!$N$2:$BY$180,$B43+1,0),data!$B$12:$B$213,0),32))</f>
        <v>126053.43000000001</v>
      </c>
      <c r="M43" s="53">
        <f t="shared" si="7"/>
        <v>0.44723001497691944</v>
      </c>
      <c r="N43" s="54">
        <f>IF(ISERROR(VLOOKUP(C43,data!$C$12:$AD$213,28,0)),0,VLOOKUP(C43,data!$C$12:$AD$213,28,0))</f>
        <v>289154.69469439139</v>
      </c>
    </row>
    <row r="44" spans="2:14" x14ac:dyDescent="0.2">
      <c r="B44" s="19">
        <f t="shared" si="5"/>
        <v>39</v>
      </c>
      <c r="C44" s="19" t="str">
        <f>IF(ISERROR(INDEX(data!$A$12:$AI$213,MATCH(HLOOKUP('II. Sledování projektu'!$L$5,vstupy!$N$2:$BY$180,$B44+1,0),data!$B$12:$B$213,0),3)),"",INDEX(data!$A$12:$AI$213,MATCH(HLOOKUP('II. Sledování projektu'!$L$5,vstupy!$N$2:$BY$180,$B44+1,0),data!$B$12:$B$213,0),3))</f>
        <v>Lidová konzervatoř</v>
      </c>
      <c r="D44" s="156">
        <f>IF(ISERROR(INDEX(data!$A$12:$AI$213,MATCH(HLOOKUP('II. Sledování projektu'!$L$5,vstupy!$N$2:$BY$180,$B44+1,0),data!$B$12:$B$213,0),35)),"",INDEX(data!$A$12:$AI$213,MATCH(HLOOKUP('II. Sledování projektu'!$L$5,vstupy!$N$2:$BY$180,$B44+1,0),data!$B$12:$B$213,0),35))</f>
        <v>73.515938196877983</v>
      </c>
      <c r="E44" s="49">
        <f>IF(ISERROR(INDEX(data!$A$12:$AI$213,MATCH(HLOOKUP('II. Sledování projektu'!$L$5,vstupy!$N$2:$BY$180,$B44+1,0),data!$B$12:$B$213,0),27)),"",INDEX(data!$A$12:$AI$213,MATCH(HLOOKUP('II. Sledování projektu'!$L$5,vstupy!$N$2:$BY$180,$B44+1,0),data!$B$12:$B$213,0),27))</f>
        <v>784750</v>
      </c>
      <c r="F44" s="54">
        <f>IF(ISERROR(INDEX(data!$A$12:$AI$213,MATCH(HLOOKUP('II. Sledování projektu'!$L$5,vstupy!$N$2:$BY$180,$B44+1,0),data!$B$12:$B$213,0),28)),"",INDEX(data!$A$12:$AI$213,MATCH(HLOOKUP('II. Sledování projektu'!$L$5,vstupy!$N$2:$BY$180,$B44+1,0),data!$B$12:$B$213,0),28))</f>
        <v>212132.65</v>
      </c>
      <c r="G44" s="53">
        <f t="shared" si="3"/>
        <v>0.27031876393755971</v>
      </c>
      <c r="H44" s="53">
        <f>IF(ISERROR(INDEX(data!$A$12:$AI$213,MATCH(HLOOKUP('II. Sledování projektu'!$L$5,vstupy!$N$2:$BY$180,$B44+1,0),data!$B$12:$B$213,0),29)),"",INDEX(data!$A$12:$AI$213,MATCH(HLOOKUP('II. Sledování projektu'!$L$5,vstupy!$N$2:$BY$180,$B44+1,0),data!$B$12:$B$213,0),29))</f>
        <v>0.22442950595550057</v>
      </c>
      <c r="I44" s="54">
        <f>IF(ISERROR(INDEX(data!$A$12:$AI$213,MATCH(HLOOKUP('II. Sledování projektu'!$L$5,vstupy!$N$2:$BY$180,$B44+1,0),data!$B$12:$B$213,0),31)),"",INDEX(data!$A$12:$AI$213,MATCH(HLOOKUP('II. Sledování projektu'!$L$5,vstupy!$N$2:$BY$180,$B44+1,0),data!$B$12:$B$213,0),31))</f>
        <v>187757.62</v>
      </c>
      <c r="J44" s="53">
        <f t="shared" si="4"/>
        <v>0.23925787830519274</v>
      </c>
      <c r="K44" s="53">
        <f t="shared" si="6"/>
        <v>1.0660714030740339</v>
      </c>
      <c r="L44" s="54">
        <f>IF(ISERROR(INDEX(data!$A$12:$AI$213,MATCH(HLOOKUP('II. Sledování projektu'!$L$5,vstupy!$N$2:$BY$180,$B44+1,0),data!$B$12:$B$213,0),32)),"",INDEX(data!$A$12:$AI$213,MATCH(HLOOKUP('II. Sledování projektu'!$L$5,vstupy!$N$2:$BY$180,$B44+1,0),data!$B$12:$B$213,0),32))</f>
        <v>144366.84999999998</v>
      </c>
      <c r="M44" s="53">
        <f t="shared" si="7"/>
        <v>0.43467694506219307</v>
      </c>
      <c r="N44" s="54">
        <f>IF(ISERROR(VLOOKUP(C44,data!$C$12:$AD$213,28,0)),0,VLOOKUP(C44,data!$C$12:$AD$213,28,0))</f>
        <v>176121.05479857908</v>
      </c>
    </row>
    <row r="45" spans="2:14" x14ac:dyDescent="0.2">
      <c r="B45" s="19">
        <f t="shared" si="5"/>
        <v>40</v>
      </c>
      <c r="C45" s="19" t="str">
        <f>IF(ISERROR(INDEX(data!$A$12:$AI$213,MATCH(HLOOKUP('II. Sledování projektu'!$L$5,vstupy!$N$2:$BY$180,$B45+1,0),data!$B$12:$B$213,0),3)),"",INDEX(data!$A$12:$AI$213,MATCH(HLOOKUP('II. Sledování projektu'!$L$5,vstupy!$N$2:$BY$180,$B45+1,0),data!$B$12:$B$213,0),3))</f>
        <v>Městská policie</v>
      </c>
      <c r="D45" s="156">
        <f>IF(ISERROR(INDEX(data!$A$12:$AI$213,MATCH(HLOOKUP('II. Sledování projektu'!$L$5,vstupy!$N$2:$BY$180,$B45+1,0),data!$B$12:$B$213,0),35)),"",INDEX(data!$A$12:$AI$213,MATCH(HLOOKUP('II. Sledování projektu'!$L$5,vstupy!$N$2:$BY$180,$B45+1,0),data!$B$12:$B$213,0),35))</f>
        <v>76.351429035621621</v>
      </c>
      <c r="E45" s="49">
        <f>IF(ISERROR(INDEX(data!$A$12:$AI$213,MATCH(HLOOKUP('II. Sledování projektu'!$L$5,vstupy!$N$2:$BY$180,$B45+1,0),data!$B$12:$B$213,0),27)),"",INDEX(data!$A$12:$AI$213,MATCH(HLOOKUP('II. Sledování projektu'!$L$5,vstupy!$N$2:$BY$180,$B45+1,0),data!$B$12:$B$213,0),27))</f>
        <v>20619500</v>
      </c>
      <c r="F45" s="54">
        <f>IF(ISERROR(INDEX(data!$A$12:$AI$213,MATCH(HLOOKUP('II. Sledování projektu'!$L$5,vstupy!$N$2:$BY$180,$B45+1,0),data!$B$12:$B$213,0),28)),"",INDEX(data!$A$12:$AI$213,MATCH(HLOOKUP('II. Sledování projektu'!$L$5,vstupy!$N$2:$BY$180,$B45+1,0),data!$B$12:$B$213,0),28))</f>
        <v>6743165.8200000003</v>
      </c>
      <c r="G45" s="53">
        <f t="shared" si="3"/>
        <v>0.3270285807124324</v>
      </c>
      <c r="H45" s="53">
        <f>IF(ISERROR(INDEX(data!$A$12:$AI$213,MATCH(HLOOKUP('II. Sledování projektu'!$L$5,vstupy!$N$2:$BY$180,$B45+1,0),data!$B$12:$B$213,0),29)),"",INDEX(data!$A$12:$AI$213,MATCH(HLOOKUP('II. Sledování projektu'!$L$5,vstupy!$N$2:$BY$180,$B45+1,0),data!$B$12:$B$213,0),29))</f>
        <v>7.0199999999999999E-2</v>
      </c>
      <c r="I45" s="54">
        <f>IF(ISERROR(INDEX(data!$A$12:$AI$213,MATCH(HLOOKUP('II. Sledování projektu'!$L$5,vstupy!$N$2:$BY$180,$B45+1,0),data!$B$12:$B$213,0),31)),"",INDEX(data!$A$12:$AI$213,MATCH(HLOOKUP('II. Sledování projektu'!$L$5,vstupy!$N$2:$BY$180,$B45+1,0),data!$B$12:$B$213,0),31))</f>
        <v>2297575.52</v>
      </c>
      <c r="J45" s="53">
        <f t="shared" si="4"/>
        <v>0.1114273149203424</v>
      </c>
      <c r="K45" s="53">
        <f t="shared" si="6"/>
        <v>1.5872836883239658</v>
      </c>
      <c r="L45" s="54">
        <f>IF(ISERROR(INDEX(data!$A$12:$AI$213,MATCH(HLOOKUP('II. Sledování projektu'!$L$5,vstupy!$N$2:$BY$180,$B45+1,0),data!$B$12:$B$213,0),32)),"",INDEX(data!$A$12:$AI$213,MATCH(HLOOKUP('II. Sledování projektu'!$L$5,vstupy!$N$2:$BY$180,$B45+1,0),data!$B$12:$B$213,0),32))</f>
        <v>528832.94999999995</v>
      </c>
      <c r="M45" s="53">
        <f t="shared" si="7"/>
        <v>0.18710421922844012</v>
      </c>
      <c r="N45" s="54">
        <f>IF(ISERROR(VLOOKUP(C45,data!$C$12:$AD$213,28,0)),0,VLOOKUP(C45,data!$C$12:$AD$213,28,0))</f>
        <v>1447488.9</v>
      </c>
    </row>
    <row r="46" spans="2:14" x14ac:dyDescent="0.2">
      <c r="B46" s="19">
        <f t="shared" si="5"/>
        <v>41</v>
      </c>
      <c r="C46" s="19" t="str">
        <f>IF(ISERROR(INDEX(data!$A$12:$AI$213,MATCH(HLOOKUP('II. Sledování projektu'!$L$5,vstupy!$N$2:$BY$180,$B46+1,0),data!$B$12:$B$213,0),3)),"",INDEX(data!$A$12:$AI$213,MATCH(HLOOKUP('II. Sledování projektu'!$L$5,vstupy!$N$2:$BY$180,$B46+1,0),data!$B$12:$B$213,0),3))</f>
        <v>MŠ Blahoslavova</v>
      </c>
      <c r="D46" s="156">
        <f>IF(ISERROR(INDEX(data!$A$12:$AI$213,MATCH(HLOOKUP('II. Sledování projektu'!$L$5,vstupy!$N$2:$BY$180,$B46+1,0),data!$B$12:$B$213,0),35)),"",INDEX(data!$A$12:$AI$213,MATCH(HLOOKUP('II. Sledování projektu'!$L$5,vstupy!$N$2:$BY$180,$B46+1,0),data!$B$12:$B$213,0),35))</f>
        <v>12.848694284371412</v>
      </c>
      <c r="E46" s="49">
        <f>IF(ISERROR(INDEX(data!$A$12:$AI$213,MATCH(HLOOKUP('II. Sledování projektu'!$L$5,vstupy!$N$2:$BY$180,$B46+1,0),data!$B$12:$B$213,0),27)),"",INDEX(data!$A$12:$AI$213,MATCH(HLOOKUP('II. Sledování projektu'!$L$5,vstupy!$N$2:$BY$180,$B46+1,0),data!$B$12:$B$213,0),27))</f>
        <v>704500</v>
      </c>
      <c r="F46" s="54">
        <f>IF(ISERROR(INDEX(data!$A$12:$AI$213,MATCH(HLOOKUP('II. Sledování projektu'!$L$5,vstupy!$N$2:$BY$180,$B46+1,0),data!$B$12:$B$213,0),28)),"",INDEX(data!$A$12:$AI$213,MATCH(HLOOKUP('II. Sledování projektu'!$L$5,vstupy!$N$2:$BY$180,$B46+1,0),data!$B$12:$B$213,0),28))</f>
        <v>0</v>
      </c>
      <c r="G46" s="53">
        <f t="shared" si="3"/>
        <v>0</v>
      </c>
      <c r="H46" s="53">
        <f>IF(ISERROR(INDEX(data!$A$12:$AI$213,MATCH(HLOOKUP('II. Sledování projektu'!$L$5,vstupy!$N$2:$BY$180,$B46+1,0),data!$B$12:$B$213,0),29)),"",INDEX(data!$A$12:$AI$213,MATCH(HLOOKUP('II. Sledování projektu'!$L$5,vstupy!$N$2:$BY$180,$B46+1,0),data!$B$12:$B$213,0),29))</f>
        <v>0.31619999999999998</v>
      </c>
      <c r="I46" s="54">
        <f>IF(ISERROR(INDEX(data!$A$12:$AI$213,MATCH(HLOOKUP('II. Sledování projektu'!$L$5,vstupy!$N$2:$BY$180,$B46+1,0),data!$B$12:$B$213,0),31)),"",INDEX(data!$A$12:$AI$213,MATCH(HLOOKUP('II. Sledování projektu'!$L$5,vstupy!$N$2:$BY$180,$B46+1,0),data!$B$12:$B$213,0),31))</f>
        <v>47703.54</v>
      </c>
      <c r="J46" s="53">
        <f t="shared" si="4"/>
        <v>6.7712618878637332E-2</v>
      </c>
      <c r="K46" s="53">
        <f t="shared" si="6"/>
        <v>0.21414490473952352</v>
      </c>
      <c r="L46" s="54">
        <f>IF(ISERROR(INDEX(data!$A$12:$AI$213,MATCH(HLOOKUP('II. Sledování projektu'!$L$5,vstupy!$N$2:$BY$180,$B46+1,0),data!$B$12:$B$213,0),32)),"",INDEX(data!$A$12:$AI$213,MATCH(HLOOKUP('II. Sledování projektu'!$L$5,vstupy!$N$2:$BY$180,$B46+1,0),data!$B$12:$B$213,0),32))</f>
        <v>35091.599999999999</v>
      </c>
      <c r="M46" s="53">
        <f t="shared" si="7"/>
        <v>0.4238364715610119</v>
      </c>
      <c r="N46" s="54">
        <f>IF(ISERROR(VLOOKUP(C46,data!$C$12:$AD$213,28,0)),0,VLOOKUP(C46,data!$C$12:$AD$213,28,0))</f>
        <v>222762.9</v>
      </c>
    </row>
    <row r="47" spans="2:14" x14ac:dyDescent="0.2">
      <c r="B47" s="19">
        <f t="shared" si="5"/>
        <v>42</v>
      </c>
      <c r="C47" s="19" t="str">
        <f>IF(ISERROR(INDEX(data!$A$12:$AI$213,MATCH(HLOOKUP('II. Sledování projektu'!$L$5,vstupy!$N$2:$BY$180,$B47+1,0),data!$B$12:$B$213,0),3)),"",INDEX(data!$A$12:$AI$213,MATCH(HLOOKUP('II. Sledování projektu'!$L$5,vstupy!$N$2:$BY$180,$B47+1,0),data!$B$12:$B$213,0),3))</f>
        <v>MŠ Bohumínská</v>
      </c>
      <c r="D47" s="156">
        <f>IF(ISERROR(INDEX(data!$A$12:$AI$213,MATCH(HLOOKUP('II. Sledování projektu'!$L$5,vstupy!$N$2:$BY$180,$B47+1,0),data!$B$12:$B$213,0),35)),"",INDEX(data!$A$12:$AI$213,MATCH(HLOOKUP('II. Sledování projektu'!$L$5,vstupy!$N$2:$BY$180,$B47+1,0),data!$B$12:$B$213,0),35))</f>
        <v>28.903247716741568</v>
      </c>
      <c r="E47" s="49">
        <f>IF(ISERROR(INDEX(data!$A$12:$AI$213,MATCH(HLOOKUP('II. Sledování projektu'!$L$5,vstupy!$N$2:$BY$180,$B47+1,0),data!$B$12:$B$213,0),27)),"",INDEX(data!$A$12:$AI$213,MATCH(HLOOKUP('II. Sledování projektu'!$L$5,vstupy!$N$2:$BY$180,$B47+1,0),data!$B$12:$B$213,0),27))</f>
        <v>959750</v>
      </c>
      <c r="F47" s="54">
        <f>IF(ISERROR(INDEX(data!$A$12:$AI$213,MATCH(HLOOKUP('II. Sledování projektu'!$L$5,vstupy!$N$2:$BY$180,$B47+1,0),data!$B$12:$B$213,0),28)),"",INDEX(data!$A$12:$AI$213,MATCH(HLOOKUP('II. Sledování projektu'!$L$5,vstupy!$N$2:$BY$180,$B47+1,0),data!$B$12:$B$213,0),28))</f>
        <v>0</v>
      </c>
      <c r="G47" s="53">
        <f t="shared" si="3"/>
        <v>0</v>
      </c>
      <c r="H47" s="53">
        <f>IF(ISERROR(INDEX(data!$A$12:$AI$213,MATCH(HLOOKUP('II. Sledování projektu'!$L$5,vstupy!$N$2:$BY$180,$B47+1,0),data!$B$12:$B$213,0),29)),"",INDEX(data!$A$12:$AI$213,MATCH(HLOOKUP('II. Sledování projektu'!$L$5,vstupy!$N$2:$BY$180,$B47+1,0),data!$B$12:$B$213,0),29))</f>
        <v>0.1037</v>
      </c>
      <c r="I47" s="54">
        <f>IF(ISERROR(INDEX(data!$A$12:$AI$213,MATCH(HLOOKUP('II. Sledování projektu'!$L$5,vstupy!$N$2:$BY$180,$B47+1,0),data!$B$12:$B$213,0),31)),"",INDEX(data!$A$12:$AI$213,MATCH(HLOOKUP('II. Sledování projektu'!$L$5,vstupy!$N$2:$BY$180,$B47+1,0),data!$B$12:$B$213,0),31))</f>
        <v>47943.78</v>
      </c>
      <c r="J47" s="53">
        <f t="shared" si="4"/>
        <v>4.995444647043501E-2</v>
      </c>
      <c r="K47" s="53">
        <f t="shared" si="6"/>
        <v>0.48172079527902611</v>
      </c>
      <c r="L47" s="54">
        <f>IF(ISERROR(INDEX(data!$A$12:$AI$213,MATCH(HLOOKUP('II. Sledování projektu'!$L$5,vstupy!$N$2:$BY$180,$B47+1,0),data!$B$12:$B$213,0),32)),"",INDEX(data!$A$12:$AI$213,MATCH(HLOOKUP('II. Sledování projektu'!$L$5,vstupy!$N$2:$BY$180,$B47+1,0),data!$B$12:$B$213,0),32))</f>
        <v>38532</v>
      </c>
      <c r="M47" s="53">
        <f t="shared" si="7"/>
        <v>0.44558141019369818</v>
      </c>
      <c r="N47" s="54">
        <f>IF(ISERROR(VLOOKUP(C47,data!$C$12:$AD$213,28,0)),0,VLOOKUP(C47,data!$C$12:$AD$213,28,0))</f>
        <v>99526.074999999997</v>
      </c>
    </row>
    <row r="48" spans="2:14" x14ac:dyDescent="0.2">
      <c r="B48" s="19">
        <f t="shared" si="5"/>
        <v>43</v>
      </c>
      <c r="C48" s="19" t="str">
        <f>IF(ISERROR(INDEX(data!$A$12:$AI$213,MATCH(HLOOKUP('II. Sledování projektu'!$L$5,vstupy!$N$2:$BY$180,$B48+1,0),data!$B$12:$B$213,0),3)),"",INDEX(data!$A$12:$AI$213,MATCH(HLOOKUP('II. Sledování projektu'!$L$5,vstupy!$N$2:$BY$180,$B48+1,0),data!$B$12:$B$213,0),3))</f>
        <v>MŠ Čs.exilu</v>
      </c>
      <c r="D48" s="156">
        <f>IF(ISERROR(INDEX(data!$A$12:$AI$213,MATCH(HLOOKUP('II. Sledování projektu'!$L$5,vstupy!$N$2:$BY$180,$B48+1,0),data!$B$12:$B$213,0),35)),"",INDEX(data!$A$12:$AI$213,MATCH(HLOOKUP('II. Sledování projektu'!$L$5,vstupy!$N$2:$BY$180,$B48+1,0),data!$B$12:$B$213,0),35))</f>
        <v>77.710734852408081</v>
      </c>
      <c r="E48" s="49">
        <f>IF(ISERROR(INDEX(data!$A$12:$AI$213,MATCH(HLOOKUP('II. Sledování projektu'!$L$5,vstupy!$N$2:$BY$180,$B48+1,0),data!$B$12:$B$213,0),27)),"",INDEX(data!$A$12:$AI$213,MATCH(HLOOKUP('II. Sledování projektu'!$L$5,vstupy!$N$2:$BY$180,$B48+1,0),data!$B$12:$B$213,0),27))</f>
        <v>965500</v>
      </c>
      <c r="F48" s="54">
        <f>IF(ISERROR(INDEX(data!$A$12:$AI$213,MATCH(HLOOKUP('II. Sledování projektu'!$L$5,vstupy!$N$2:$BY$180,$B48+1,0),data!$B$12:$B$213,0),28)),"",INDEX(data!$A$12:$AI$213,MATCH(HLOOKUP('II. Sledování projektu'!$L$5,vstupy!$N$2:$BY$180,$B48+1,0),data!$B$12:$B$213,0),28))</f>
        <v>341994.29</v>
      </c>
      <c r="G48" s="53">
        <f t="shared" si="3"/>
        <v>0.35421469704816155</v>
      </c>
      <c r="H48" s="53">
        <f>IF(ISERROR(INDEX(data!$A$12:$AI$213,MATCH(HLOOKUP('II. Sledování projektu'!$L$5,vstupy!$N$2:$BY$180,$B48+1,0),data!$B$12:$B$213,0),29)),"",INDEX(data!$A$12:$AI$213,MATCH(HLOOKUP('II. Sledování projektu'!$L$5,vstupy!$N$2:$BY$180,$B48+1,0),data!$B$12:$B$213,0),29))</f>
        <v>0.2276</v>
      </c>
      <c r="I48" s="54">
        <f>IF(ISERROR(INDEX(data!$A$12:$AI$213,MATCH(HLOOKUP('II. Sledování projektu'!$L$5,vstupy!$N$2:$BY$180,$B48+1,0),data!$B$12:$B$213,0),31)),"",INDEX(data!$A$12:$AI$213,MATCH(HLOOKUP('II. Sledování projektu'!$L$5,vstupy!$N$2:$BY$180,$B48+1,0),data!$B$12:$B$213,0),31))</f>
        <v>252598.48</v>
      </c>
      <c r="J48" s="53">
        <f t="shared" si="4"/>
        <v>0.26162452615225273</v>
      </c>
      <c r="K48" s="53">
        <f t="shared" si="6"/>
        <v>1.1494926456601615</v>
      </c>
      <c r="L48" s="54">
        <f>IF(ISERROR(INDEX(data!$A$12:$AI$213,MATCH(HLOOKUP('II. Sledování projektu'!$L$5,vstupy!$N$2:$BY$180,$B48+1,0),data!$B$12:$B$213,0),32)),"",INDEX(data!$A$12:$AI$213,MATCH(HLOOKUP('II. Sledování projektu'!$L$5,vstupy!$N$2:$BY$180,$B48+1,0),data!$B$12:$B$213,0),32))</f>
        <v>75122.080000000002</v>
      </c>
      <c r="M48" s="53">
        <f t="shared" si="7"/>
        <v>0.22922602109553336</v>
      </c>
      <c r="N48" s="54">
        <f>IF(ISERROR(VLOOKUP(C48,data!$C$12:$AD$213,28,0)),0,VLOOKUP(C48,data!$C$12:$AD$213,28,0))</f>
        <v>219747.8</v>
      </c>
    </row>
    <row r="49" spans="2:14" x14ac:dyDescent="0.2">
      <c r="B49" s="19">
        <f t="shared" si="5"/>
        <v>44</v>
      </c>
      <c r="C49" s="19" t="str">
        <f>IF(ISERROR(INDEX(data!$A$12:$AI$213,MATCH(HLOOKUP('II. Sledování projektu'!$L$5,vstupy!$N$2:$BY$180,$B49+1,0),data!$B$12:$B$213,0),3)),"",INDEX(data!$A$12:$AI$213,MATCH(HLOOKUP('II. Sledování projektu'!$L$5,vstupy!$N$2:$BY$180,$B49+1,0),data!$B$12:$B$213,0),3))</f>
        <v>MŠ Čtyřlístek, O-Poruba</v>
      </c>
      <c r="D49" s="156">
        <f>IF(ISERROR(INDEX(data!$A$12:$AI$213,MATCH(HLOOKUP('II. Sledování projektu'!$L$5,vstupy!$N$2:$BY$180,$B49+1,0),data!$B$12:$B$213,0),35)),"",INDEX(data!$A$12:$AI$213,MATCH(HLOOKUP('II. Sledování projektu'!$L$5,vstupy!$N$2:$BY$180,$B49+1,0),data!$B$12:$B$213,0),35))</f>
        <v>81.20499443178025</v>
      </c>
      <c r="E49" s="49">
        <f>IF(ISERROR(INDEX(data!$A$12:$AI$213,MATCH(HLOOKUP('II. Sledování projektu'!$L$5,vstupy!$N$2:$BY$180,$B49+1,0),data!$B$12:$B$213,0),27)),"",INDEX(data!$A$12:$AI$213,MATCH(HLOOKUP('II. Sledování projektu'!$L$5,vstupy!$N$2:$BY$180,$B49+1,0),data!$B$12:$B$213,0),27))</f>
        <v>1394500</v>
      </c>
      <c r="F49" s="54">
        <f>IF(ISERROR(INDEX(data!$A$12:$AI$213,MATCH(HLOOKUP('II. Sledování projektu'!$L$5,vstupy!$N$2:$BY$180,$B49+1,0),data!$B$12:$B$213,0),28)),"",INDEX(data!$A$12:$AI$213,MATCH(HLOOKUP('II. Sledování projektu'!$L$5,vstupy!$N$2:$BY$180,$B49+1,0),data!$B$12:$B$213,0),28))</f>
        <v>717117.89</v>
      </c>
      <c r="G49" s="53">
        <f t="shared" si="3"/>
        <v>0.51424732162065256</v>
      </c>
      <c r="H49" s="53">
        <f>IF(ISERROR(INDEX(data!$A$12:$AI$213,MATCH(HLOOKUP('II. Sledování projektu'!$L$5,vstupy!$N$2:$BY$180,$B49+1,0),data!$B$12:$B$213,0),29)),"",INDEX(data!$A$12:$AI$213,MATCH(HLOOKUP('II. Sledování projektu'!$L$5,vstupy!$N$2:$BY$180,$B49+1,0),data!$B$12:$B$213,0),29))</f>
        <v>0.19989999999999999</v>
      </c>
      <c r="I49" s="54">
        <f>IF(ISERROR(INDEX(data!$A$12:$AI$213,MATCH(HLOOKUP('II. Sledování projektu'!$L$5,vstupy!$N$2:$BY$180,$B49+1,0),data!$B$12:$B$213,0),31)),"",INDEX(data!$A$12:$AI$213,MATCH(HLOOKUP('II. Sledování projektu'!$L$5,vstupy!$N$2:$BY$180,$B49+1,0),data!$B$12:$B$213,0),31))</f>
        <v>257819.26</v>
      </c>
      <c r="J49" s="53">
        <f t="shared" si="4"/>
        <v>0.18488294012190751</v>
      </c>
      <c r="K49" s="53">
        <f t="shared" si="6"/>
        <v>0.92487713917912706</v>
      </c>
      <c r="L49" s="54">
        <f>IF(ISERROR(INDEX(data!$A$12:$AI$213,MATCH(HLOOKUP('II. Sledování projektu'!$L$5,vstupy!$N$2:$BY$180,$B49+1,0),data!$B$12:$B$213,0),32)),"",INDEX(data!$A$12:$AI$213,MATCH(HLOOKUP('II. Sledování projektu'!$L$5,vstupy!$N$2:$BY$180,$B49+1,0),data!$B$12:$B$213,0),32))</f>
        <v>69391.710000000006</v>
      </c>
      <c r="M49" s="53">
        <f t="shared" si="7"/>
        <v>0.21207024324398416</v>
      </c>
      <c r="N49" s="54">
        <f>IF(ISERROR(VLOOKUP(C49,data!$C$12:$AD$213,28,0)),0,VLOOKUP(C49,data!$C$12:$AD$213,28,0))</f>
        <v>278760.55</v>
      </c>
    </row>
    <row r="50" spans="2:14" x14ac:dyDescent="0.2">
      <c r="B50" s="19">
        <f t="shared" si="5"/>
        <v>45</v>
      </c>
      <c r="C50" s="19" t="str">
        <f>IF(ISERROR(INDEX(data!$A$12:$AI$213,MATCH(HLOOKUP('II. Sledování projektu'!$L$5,vstupy!$N$2:$BY$180,$B50+1,0),data!$B$12:$B$213,0),3)),"",INDEX(data!$A$12:$AI$213,MATCH(HLOOKUP('II. Sledování projektu'!$L$5,vstupy!$N$2:$BY$180,$B50+1,0),data!$B$12:$B$213,0),3))</f>
        <v>MŠ Dvořákova</v>
      </c>
      <c r="D50" s="156">
        <f>IF(ISERROR(INDEX(data!$A$12:$AI$213,MATCH(HLOOKUP('II. Sledování projektu'!$L$5,vstupy!$N$2:$BY$180,$B50+1,0),data!$B$12:$B$213,0),35)),"",INDEX(data!$A$12:$AI$213,MATCH(HLOOKUP('II. Sledování projektu'!$L$5,vstupy!$N$2:$BY$180,$B50+1,0),data!$B$12:$B$213,0),35))</f>
        <v>10.908501178357103</v>
      </c>
      <c r="E50" s="49">
        <f>IF(ISERROR(INDEX(data!$A$12:$AI$213,MATCH(HLOOKUP('II. Sledování projektu'!$L$5,vstupy!$N$2:$BY$180,$B50+1,0),data!$B$12:$B$213,0),27)),"",INDEX(data!$A$12:$AI$213,MATCH(HLOOKUP('II. Sledování projektu'!$L$5,vstupy!$N$2:$BY$180,$B50+1,0),data!$B$12:$B$213,0),27))</f>
        <v>316000</v>
      </c>
      <c r="F50" s="54">
        <f>IF(ISERROR(INDEX(data!$A$12:$AI$213,MATCH(HLOOKUP('II. Sledování projektu'!$L$5,vstupy!$N$2:$BY$180,$B50+1,0),data!$B$12:$B$213,0),28)),"",INDEX(data!$A$12:$AI$213,MATCH(HLOOKUP('II. Sledování projektu'!$L$5,vstupy!$N$2:$BY$180,$B50+1,0),data!$B$12:$B$213,0),28))</f>
        <v>0</v>
      </c>
      <c r="G50" s="53">
        <f t="shared" si="3"/>
        <v>0</v>
      </c>
      <c r="H50" s="53">
        <f>IF(ISERROR(INDEX(data!$A$12:$AI$213,MATCH(HLOOKUP('II. Sledování projektu'!$L$5,vstupy!$N$2:$BY$180,$B50+1,0),data!$B$12:$B$213,0),29)),"",INDEX(data!$A$12:$AI$213,MATCH(HLOOKUP('II. Sledování projektu'!$L$5,vstupy!$N$2:$BY$180,$B50+1,0),data!$B$12:$B$213,0),29))</f>
        <v>5.21E-2</v>
      </c>
      <c r="I50" s="54">
        <f>IF(ISERROR(INDEX(data!$A$12:$AI$213,MATCH(HLOOKUP('II. Sledování projektu'!$L$5,vstupy!$N$2:$BY$180,$B50+1,0),data!$B$12:$B$213,0),31)),"",INDEX(data!$A$12:$AI$213,MATCH(HLOOKUP('II. Sledování projektu'!$L$5,vstupy!$N$2:$BY$180,$B50+1,0),data!$B$12:$B$213,0),31))</f>
        <v>2993.22</v>
      </c>
      <c r="J50" s="53">
        <f t="shared" si="4"/>
        <v>9.4722151898734164E-3</v>
      </c>
      <c r="K50" s="53">
        <f t="shared" si="6"/>
        <v>0.18180835297261838</v>
      </c>
      <c r="L50" s="54">
        <f>IF(ISERROR(INDEX(data!$A$12:$AI$213,MATCH(HLOOKUP('II. Sledování projektu'!$L$5,vstupy!$N$2:$BY$180,$B50+1,0),data!$B$12:$B$213,0),32)),"",INDEX(data!$A$12:$AI$213,MATCH(HLOOKUP('II. Sledování projektu'!$L$5,vstupy!$N$2:$BY$180,$B50+1,0),data!$B$12:$B$213,0),32))</f>
        <v>4027.2</v>
      </c>
      <c r="M50" s="53">
        <f t="shared" si="7"/>
        <v>0.57364089327988921</v>
      </c>
      <c r="N50" s="54">
        <f>IF(ISERROR(VLOOKUP(C50,data!$C$12:$AD$213,28,0)),0,VLOOKUP(C50,data!$C$12:$AD$213,28,0))</f>
        <v>16463.599999999999</v>
      </c>
    </row>
    <row r="51" spans="2:14" x14ac:dyDescent="0.2">
      <c r="B51" s="19">
        <f t="shared" si="5"/>
        <v>46</v>
      </c>
      <c r="C51" s="19" t="str">
        <f>IF(ISERROR(INDEX(data!$A$12:$AI$213,MATCH(HLOOKUP('II. Sledování projektu'!$L$5,vstupy!$N$2:$BY$180,$B51+1,0),data!$B$12:$B$213,0),3)),"",INDEX(data!$A$12:$AI$213,MATCH(HLOOKUP('II. Sledování projektu'!$L$5,vstupy!$N$2:$BY$180,$B51+1,0),data!$B$12:$B$213,0),3))</f>
        <v>MŠ Gen.Janka</v>
      </c>
      <c r="D51" s="156">
        <f>IF(ISERROR(INDEX(data!$A$12:$AI$213,MATCH(HLOOKUP('II. Sledování projektu'!$L$5,vstupy!$N$2:$BY$180,$B51+1,0),data!$B$12:$B$213,0),35)),"",INDEX(data!$A$12:$AI$213,MATCH(HLOOKUP('II. Sledování projektu'!$L$5,vstupy!$N$2:$BY$180,$B51+1,0),data!$B$12:$B$213,0),35))</f>
        <v>52.760447607205109</v>
      </c>
      <c r="E51" s="49">
        <f>IF(ISERROR(INDEX(data!$A$12:$AI$213,MATCH(HLOOKUP('II. Sledování projektu'!$L$5,vstupy!$N$2:$BY$180,$B51+1,0),data!$B$12:$B$213,0),27)),"",INDEX(data!$A$12:$AI$213,MATCH(HLOOKUP('II. Sledování projektu'!$L$5,vstupy!$N$2:$BY$180,$B51+1,0),data!$B$12:$B$213,0),27))</f>
        <v>649950</v>
      </c>
      <c r="F51" s="54">
        <f>IF(ISERROR(INDEX(data!$A$12:$AI$213,MATCH(HLOOKUP('II. Sledování projektu'!$L$5,vstupy!$N$2:$BY$180,$B51+1,0),data!$B$12:$B$213,0),28)),"",INDEX(data!$A$12:$AI$213,MATCH(HLOOKUP('II. Sledování projektu'!$L$5,vstupy!$N$2:$BY$180,$B51+1,0),data!$B$12:$B$213,0),28))</f>
        <v>72510.039999999994</v>
      </c>
      <c r="G51" s="53">
        <f t="shared" si="3"/>
        <v>0.11156248942226324</v>
      </c>
      <c r="H51" s="53">
        <f>IF(ISERROR(INDEX(data!$A$12:$AI$213,MATCH(HLOOKUP('II. Sledování projektu'!$L$5,vstupy!$N$2:$BY$180,$B51+1,0),data!$B$12:$B$213,0),29)),"",INDEX(data!$A$12:$AI$213,MATCH(HLOOKUP('II. Sledování projektu'!$L$5,vstupy!$N$2:$BY$180,$B51+1,0),data!$B$12:$B$213,0),29))</f>
        <v>0.1789</v>
      </c>
      <c r="I51" s="54">
        <f>IF(ISERROR(INDEX(data!$A$12:$AI$213,MATCH(HLOOKUP('II. Sledování projektu'!$L$5,vstupy!$N$2:$BY$180,$B51+1,0),data!$B$12:$B$213,0),31)),"",INDEX(data!$A$12:$AI$213,MATCH(HLOOKUP('II. Sledování projektu'!$L$5,vstupy!$N$2:$BY$180,$B51+1,0),data!$B$12:$B$213,0),31))</f>
        <v>91436.239999999991</v>
      </c>
      <c r="J51" s="53">
        <f t="shared" si="4"/>
        <v>0.14068196015078083</v>
      </c>
      <c r="K51" s="53">
        <f t="shared" si="6"/>
        <v>0.78637205226819906</v>
      </c>
      <c r="L51" s="54">
        <f>IF(ISERROR(INDEX(data!$A$12:$AI$213,MATCH(HLOOKUP('II. Sledování projektu'!$L$5,vstupy!$N$2:$BY$180,$B51+1,0),data!$B$12:$B$213,0),32)),"",INDEX(data!$A$12:$AI$213,MATCH(HLOOKUP('II. Sledování projektu'!$L$5,vstupy!$N$2:$BY$180,$B51+1,0),data!$B$12:$B$213,0),32))</f>
        <v>27241.31</v>
      </c>
      <c r="M51" s="53">
        <f t="shared" si="7"/>
        <v>0.22954054916030878</v>
      </c>
      <c r="N51" s="54">
        <f>IF(ISERROR(VLOOKUP(C51,data!$C$12:$AD$213,28,0)),0,VLOOKUP(C51,data!$C$12:$AD$213,28,0))</f>
        <v>116276.05500000001</v>
      </c>
    </row>
    <row r="52" spans="2:14" x14ac:dyDescent="0.2">
      <c r="B52" s="19">
        <f t="shared" si="5"/>
        <v>47</v>
      </c>
      <c r="C52" s="19" t="str">
        <f>IF(ISERROR(INDEX(data!$A$12:$AI$213,MATCH(HLOOKUP('II. Sledování projektu'!$L$5,vstupy!$N$2:$BY$180,$B52+1,0),data!$B$12:$B$213,0),3)),"",INDEX(data!$A$12:$AI$213,MATCH(HLOOKUP('II. Sledování projektu'!$L$5,vstupy!$N$2:$BY$180,$B52+1,0),data!$B$12:$B$213,0),3))</f>
        <v>MŠ Harmonie, O-Hrabůvka</v>
      </c>
      <c r="D52" s="156">
        <f>IF(ISERROR(INDEX(data!$A$12:$AI$213,MATCH(HLOOKUP('II. Sledování projektu'!$L$5,vstupy!$N$2:$BY$180,$B52+1,0),data!$B$12:$B$213,0),35)),"",INDEX(data!$A$12:$AI$213,MATCH(HLOOKUP('II. Sledování projektu'!$L$5,vstupy!$N$2:$BY$180,$B52+1,0),data!$B$12:$B$213,0),35))</f>
        <v>87.804668235347151</v>
      </c>
      <c r="E52" s="49">
        <f>IF(ISERROR(INDEX(data!$A$12:$AI$213,MATCH(HLOOKUP('II. Sledování projektu'!$L$5,vstupy!$N$2:$BY$180,$B52+1,0),data!$B$12:$B$213,0),27)),"",INDEX(data!$A$12:$AI$213,MATCH(HLOOKUP('II. Sledování projektu'!$L$5,vstupy!$N$2:$BY$180,$B52+1,0),data!$B$12:$B$213,0),27))</f>
        <v>1701700</v>
      </c>
      <c r="F52" s="54">
        <f>IF(ISERROR(INDEX(data!$A$12:$AI$213,MATCH(HLOOKUP('II. Sledování projektu'!$L$5,vstupy!$N$2:$BY$180,$B52+1,0),data!$B$12:$B$213,0),28)),"",INDEX(data!$A$12:$AI$213,MATCH(HLOOKUP('II. Sledování projektu'!$L$5,vstupy!$N$2:$BY$180,$B52+1,0),data!$B$12:$B$213,0),28))</f>
        <v>1144653.5899999999</v>
      </c>
      <c r="G52" s="53">
        <f t="shared" si="3"/>
        <v>0.67265298818828223</v>
      </c>
      <c r="H52" s="53">
        <f>IF(ISERROR(INDEX(data!$A$12:$AI$213,MATCH(HLOOKUP('II. Sledování projektu'!$L$5,vstupy!$N$2:$BY$180,$B52+1,0),data!$B$12:$B$213,0),29)),"",INDEX(data!$A$12:$AI$213,MATCH(HLOOKUP('II. Sledování projektu'!$L$5,vstupy!$N$2:$BY$180,$B52+1,0),data!$B$12:$B$213,0),29))</f>
        <v>0.21279999999999999</v>
      </c>
      <c r="I52" s="54">
        <f>IF(ISERROR(INDEX(data!$A$12:$AI$213,MATCH(HLOOKUP('II. Sledování projektu'!$L$5,vstupy!$N$2:$BY$180,$B52+1,0),data!$B$12:$B$213,0),31)),"",INDEX(data!$A$12:$AI$213,MATCH(HLOOKUP('II. Sledování projektu'!$L$5,vstupy!$N$2:$BY$180,$B52+1,0),data!$B$12:$B$213,0),31))</f>
        <v>326947.78000000003</v>
      </c>
      <c r="J52" s="53">
        <f t="shared" si="4"/>
        <v>0.19213009343597581</v>
      </c>
      <c r="K52" s="53">
        <f t="shared" si="6"/>
        <v>0.90286698043221714</v>
      </c>
      <c r="L52" s="54">
        <f>IF(ISERROR(INDEX(data!$A$12:$AI$213,MATCH(HLOOKUP('II. Sledování projektu'!$L$5,vstupy!$N$2:$BY$180,$B52+1,0),data!$B$12:$B$213,0),32)),"",INDEX(data!$A$12:$AI$213,MATCH(HLOOKUP('II. Sledování projektu'!$L$5,vstupy!$N$2:$BY$180,$B52+1,0),data!$B$12:$B$213,0),32))</f>
        <v>110690.97</v>
      </c>
      <c r="M52" s="53">
        <f t="shared" si="7"/>
        <v>0.25292771720968493</v>
      </c>
      <c r="N52" s="54">
        <f>IF(ISERROR(VLOOKUP(C52,data!$C$12:$AD$213,28,0)),0,VLOOKUP(C52,data!$C$12:$AD$213,28,0))</f>
        <v>362121.76</v>
      </c>
    </row>
    <row r="53" spans="2:14" x14ac:dyDescent="0.2">
      <c r="B53" s="19">
        <f t="shared" si="5"/>
        <v>48</v>
      </c>
      <c r="C53" s="19" t="str">
        <f>IF(ISERROR(INDEX(data!$A$12:$AI$213,MATCH(HLOOKUP('II. Sledování projektu'!$L$5,vstupy!$N$2:$BY$180,$B53+1,0),data!$B$12:$B$213,0),3)),"",INDEX(data!$A$12:$AI$213,MATCH(HLOOKUP('II. Sledování projektu'!$L$5,vstupy!$N$2:$BY$180,$B53+1,0),data!$B$12:$B$213,0),3))</f>
        <v>MŠ Heřmanice</v>
      </c>
      <c r="D53" s="156">
        <f>IF(ISERROR(INDEX(data!$A$12:$AI$213,MATCH(HLOOKUP('II. Sledování projektu'!$L$5,vstupy!$N$2:$BY$180,$B53+1,0),data!$B$12:$B$213,0),35)),"",INDEX(data!$A$12:$AI$213,MATCH(HLOOKUP('II. Sledování projektu'!$L$5,vstupy!$N$2:$BY$180,$B53+1,0),data!$B$12:$B$213,0),35))</f>
        <v>24.52868531736075</v>
      </c>
      <c r="E53" s="49">
        <f>IF(ISERROR(INDEX(data!$A$12:$AI$213,MATCH(HLOOKUP('II. Sledování projektu'!$L$5,vstupy!$N$2:$BY$180,$B53+1,0),data!$B$12:$B$213,0),27)),"",INDEX(data!$A$12:$AI$213,MATCH(HLOOKUP('II. Sledování projektu'!$L$5,vstupy!$N$2:$BY$180,$B53+1,0),data!$B$12:$B$213,0),27))</f>
        <v>425700</v>
      </c>
      <c r="F53" s="54">
        <f>IF(ISERROR(INDEX(data!$A$12:$AI$213,MATCH(HLOOKUP('II. Sledování projektu'!$L$5,vstupy!$N$2:$BY$180,$B53+1,0),data!$B$12:$B$213,0),28)),"",INDEX(data!$A$12:$AI$213,MATCH(HLOOKUP('II. Sledování projektu'!$L$5,vstupy!$N$2:$BY$180,$B53+1,0),data!$B$12:$B$213,0),28))</f>
        <v>0</v>
      </c>
      <c r="G53" s="53">
        <f t="shared" si="3"/>
        <v>0</v>
      </c>
      <c r="H53" s="53">
        <f>IF(ISERROR(INDEX(data!$A$12:$AI$213,MATCH(HLOOKUP('II. Sledování projektu'!$L$5,vstupy!$N$2:$BY$180,$B53+1,0),data!$B$12:$B$213,0),29)),"",INDEX(data!$A$12:$AI$213,MATCH(HLOOKUP('II. Sledování projektu'!$L$5,vstupy!$N$2:$BY$180,$B53+1,0),data!$B$12:$B$213,0),29))</f>
        <v>8.5099999999999995E-2</v>
      </c>
      <c r="I53" s="54">
        <f>IF(ISERROR(INDEX(data!$A$12:$AI$213,MATCH(HLOOKUP('II. Sledování projektu'!$L$5,vstupy!$N$2:$BY$180,$B53+1,0),data!$B$12:$B$213,0),31)),"",INDEX(data!$A$12:$AI$213,MATCH(HLOOKUP('II. Sledování projektu'!$L$5,vstupy!$N$2:$BY$180,$B53+1,0),data!$B$12:$B$213,0),31))</f>
        <v>14810.04</v>
      </c>
      <c r="J53" s="53">
        <f t="shared" si="4"/>
        <v>3.4789852008456662E-2</v>
      </c>
      <c r="K53" s="53">
        <f t="shared" si="6"/>
        <v>0.4088114219560125</v>
      </c>
      <c r="L53" s="54">
        <f>IF(ISERROR(INDEX(data!$A$12:$AI$213,MATCH(HLOOKUP('II. Sledování projektu'!$L$5,vstupy!$N$2:$BY$180,$B53+1,0),data!$B$12:$B$213,0),32)),"",INDEX(data!$A$12:$AI$213,MATCH(HLOOKUP('II. Sledování projektu'!$L$5,vstupy!$N$2:$BY$180,$B53+1,0),data!$B$12:$B$213,0),32))</f>
        <v>14838</v>
      </c>
      <c r="M53" s="53">
        <f t="shared" si="7"/>
        <v>0.5004715320135833</v>
      </c>
      <c r="N53" s="54">
        <f>IF(ISERROR(VLOOKUP(C53,data!$C$12:$AD$213,28,0)),0,VLOOKUP(C53,data!$C$12:$AD$213,28,0))</f>
        <v>36227.07</v>
      </c>
    </row>
    <row r="54" spans="2:14" x14ac:dyDescent="0.2">
      <c r="B54" s="19">
        <f t="shared" si="5"/>
        <v>49</v>
      </c>
      <c r="C54" s="19" t="str">
        <f>IF(ISERROR(INDEX(data!$A$12:$AI$213,MATCH(HLOOKUP('II. Sledování projektu'!$L$5,vstupy!$N$2:$BY$180,$B54+1,0),data!$B$12:$B$213,0),3)),"",INDEX(data!$A$12:$AI$213,MATCH(HLOOKUP('II. Sledování projektu'!$L$5,vstupy!$N$2:$BY$180,$B54+1,0),data!$B$12:$B$213,0),3))</f>
        <v>MŠ Hornická</v>
      </c>
      <c r="D54" s="156">
        <f>IF(ISERROR(INDEX(data!$A$12:$AI$213,MATCH(HLOOKUP('II. Sledování projektu'!$L$5,vstupy!$N$2:$BY$180,$B54+1,0),data!$B$12:$B$213,0),35)),"",INDEX(data!$A$12:$AI$213,MATCH(HLOOKUP('II. Sledování projektu'!$L$5,vstupy!$N$2:$BY$180,$B54+1,0),data!$B$12:$B$213,0),35))</f>
        <v>3.082006317036257</v>
      </c>
      <c r="E54" s="49">
        <f>IF(ISERROR(INDEX(data!$A$12:$AI$213,MATCH(HLOOKUP('II. Sledování projektu'!$L$5,vstupy!$N$2:$BY$180,$B54+1,0),data!$B$12:$B$213,0),27)),"",INDEX(data!$A$12:$AI$213,MATCH(HLOOKUP('II. Sledování projektu'!$L$5,vstupy!$N$2:$BY$180,$B54+1,0),data!$B$12:$B$213,0),27))</f>
        <v>1002000</v>
      </c>
      <c r="F54" s="54">
        <f>IF(ISERROR(INDEX(data!$A$12:$AI$213,MATCH(HLOOKUP('II. Sledování projektu'!$L$5,vstupy!$N$2:$BY$180,$B54+1,0),data!$B$12:$B$213,0),28)),"",INDEX(data!$A$12:$AI$213,MATCH(HLOOKUP('II. Sledování projektu'!$L$5,vstupy!$N$2:$BY$180,$B54+1,0),data!$B$12:$B$213,0),28))</f>
        <v>0</v>
      </c>
      <c r="G54" s="53">
        <f t="shared" si="3"/>
        <v>0</v>
      </c>
      <c r="H54" s="53">
        <f>IF(ISERROR(INDEX(data!$A$12:$AI$213,MATCH(HLOOKUP('II. Sledování projektu'!$L$5,vstupy!$N$2:$BY$180,$B54+1,0),data!$B$12:$B$213,0),29)),"",INDEX(data!$A$12:$AI$213,MATCH(HLOOKUP('II. Sledování projektu'!$L$5,vstupy!$N$2:$BY$180,$B54+1,0),data!$B$12:$B$213,0),29))</f>
        <v>0.21840000000000001</v>
      </c>
      <c r="I54" s="54">
        <f>IF(ISERROR(INDEX(data!$A$12:$AI$213,MATCH(HLOOKUP('II. Sledování projektu'!$L$5,vstupy!$N$2:$BY$180,$B54+1,0),data!$B$12:$B$213,0),31)),"",INDEX(data!$A$12:$AI$213,MATCH(HLOOKUP('II. Sledování projektu'!$L$5,vstupy!$N$2:$BY$180,$B54+1,0),data!$B$12:$B$213,0),31))</f>
        <v>11240.94</v>
      </c>
      <c r="J54" s="53">
        <f t="shared" si="4"/>
        <v>1.1218502994011977E-2</v>
      </c>
      <c r="K54" s="53">
        <f t="shared" si="6"/>
        <v>5.1366771950604281E-2</v>
      </c>
      <c r="L54" s="54">
        <f>IF(ISERROR(INDEX(data!$A$12:$AI$213,MATCH(HLOOKUP('II. Sledování projektu'!$L$5,vstupy!$N$2:$BY$180,$B54+1,0),data!$B$12:$B$213,0),32)),"",INDEX(data!$A$12:$AI$213,MATCH(HLOOKUP('II. Sledování projektu'!$L$5,vstupy!$N$2:$BY$180,$B54+1,0),data!$B$12:$B$213,0),32))</f>
        <v>9454.44</v>
      </c>
      <c r="M54" s="53">
        <f t="shared" si="7"/>
        <v>0.45683819287203231</v>
      </c>
      <c r="N54" s="54">
        <f>IF(ISERROR(VLOOKUP(C54,data!$C$12:$AD$213,28,0)),0,VLOOKUP(C54,data!$C$12:$AD$213,28,0))</f>
        <v>218836.80000000002</v>
      </c>
    </row>
    <row r="55" spans="2:14" x14ac:dyDescent="0.2">
      <c r="B55" s="19">
        <f t="shared" si="5"/>
        <v>50</v>
      </c>
      <c r="C55" s="19" t="str">
        <f>IF(ISERROR(INDEX(data!$A$12:$AI$213,MATCH(HLOOKUP('II. Sledování projektu'!$L$5,vstupy!$N$2:$BY$180,$B55+1,0),data!$B$12:$B$213,0),3)),"",INDEX(data!$A$12:$AI$213,MATCH(HLOOKUP('II. Sledování projektu'!$L$5,vstupy!$N$2:$BY$180,$B55+1,0),data!$B$12:$B$213,0),3))</f>
        <v>MŠ Klubíčko, O-Hrabová</v>
      </c>
      <c r="D55" s="156">
        <f>IF(ISERROR(INDEX(data!$A$12:$AI$213,MATCH(HLOOKUP('II. Sledování projektu'!$L$5,vstupy!$N$2:$BY$180,$B55+1,0),data!$B$12:$B$213,0),35)),"",INDEX(data!$A$12:$AI$213,MATCH(HLOOKUP('II. Sledování projektu'!$L$5,vstupy!$N$2:$BY$180,$B55+1,0),data!$B$12:$B$213,0),35))</f>
        <v>12.426768353086127</v>
      </c>
      <c r="E55" s="49">
        <f>IF(ISERROR(INDEX(data!$A$12:$AI$213,MATCH(HLOOKUP('II. Sledování projektu'!$L$5,vstupy!$N$2:$BY$180,$B55+1,0),data!$B$12:$B$213,0),27)),"",INDEX(data!$A$12:$AI$213,MATCH(HLOOKUP('II. Sledování projektu'!$L$5,vstupy!$N$2:$BY$180,$B55+1,0),data!$B$12:$B$213,0),27))</f>
        <v>974773</v>
      </c>
      <c r="F55" s="54">
        <f>IF(ISERROR(INDEX(data!$A$12:$AI$213,MATCH(HLOOKUP('II. Sledování projektu'!$L$5,vstupy!$N$2:$BY$180,$B55+1,0),data!$B$12:$B$213,0),28)),"",INDEX(data!$A$12:$AI$213,MATCH(HLOOKUP('II. Sledování projektu'!$L$5,vstupy!$N$2:$BY$180,$B55+1,0),data!$B$12:$B$213,0),28))</f>
        <v>0</v>
      </c>
      <c r="G55" s="53">
        <f t="shared" si="3"/>
        <v>0</v>
      </c>
      <c r="H55" s="53">
        <f>IF(ISERROR(INDEX(data!$A$12:$AI$213,MATCH(HLOOKUP('II. Sledování projektu'!$L$5,vstupy!$N$2:$BY$180,$B55+1,0),data!$B$12:$B$213,0),29)),"",INDEX(data!$A$12:$AI$213,MATCH(HLOOKUP('II. Sledování projektu'!$L$5,vstupy!$N$2:$BY$180,$B55+1,0),data!$B$12:$B$213,0),29))</f>
        <v>0.24940000000000001</v>
      </c>
      <c r="I55" s="54">
        <f>IF(ISERROR(INDEX(data!$A$12:$AI$213,MATCH(HLOOKUP('II. Sledování projektu'!$L$5,vstupy!$N$2:$BY$180,$B55+1,0),data!$B$12:$B$213,0),31)),"",INDEX(data!$A$12:$AI$213,MATCH(HLOOKUP('II. Sledování projektu'!$L$5,vstupy!$N$2:$BY$180,$B55+1,0),data!$B$12:$B$213,0),31))</f>
        <v>50350.86</v>
      </c>
      <c r="J55" s="53">
        <f t="shared" si="4"/>
        <v>5.1653933787661331E-2</v>
      </c>
      <c r="K55" s="53">
        <f t="shared" si="6"/>
        <v>0.20711280588476877</v>
      </c>
      <c r="L55" s="54">
        <f>IF(ISERROR(INDEX(data!$A$12:$AI$213,MATCH(HLOOKUP('II. Sledování projektu'!$L$5,vstupy!$N$2:$BY$180,$B55+1,0),data!$B$12:$B$213,0),32)),"",INDEX(data!$A$12:$AI$213,MATCH(HLOOKUP('II. Sledování projektu'!$L$5,vstupy!$N$2:$BY$180,$B55+1,0),data!$B$12:$B$213,0),32))</f>
        <v>39958.44</v>
      </c>
      <c r="M55" s="53">
        <f t="shared" si="7"/>
        <v>0.44246207201251697</v>
      </c>
      <c r="N55" s="54">
        <f>IF(ISERROR(VLOOKUP(C55,data!$C$12:$AD$213,28,0)),0,VLOOKUP(C55,data!$C$12:$AD$213,28,0))</f>
        <v>243108.38620000001</v>
      </c>
    </row>
    <row r="56" spans="2:14" x14ac:dyDescent="0.2">
      <c r="B56" s="19">
        <f t="shared" si="5"/>
        <v>51</v>
      </c>
      <c r="C56" s="19" t="str">
        <f>IF(ISERROR(INDEX(data!$A$12:$AI$213,MATCH(HLOOKUP('II. Sledování projektu'!$L$5,vstupy!$N$2:$BY$180,$B56+1,0),data!$B$12:$B$213,0),3)),"",INDEX(data!$A$12:$AI$213,MATCH(HLOOKUP('II. Sledování projektu'!$L$5,vstupy!$N$2:$BY$180,$B56+1,0),data!$B$12:$B$213,0),3))</f>
        <v>MŠ Komerční</v>
      </c>
      <c r="D56" s="156">
        <f>IF(ISERROR(INDEX(data!$A$12:$AI$213,MATCH(HLOOKUP('II. Sledování projektu'!$L$5,vstupy!$N$2:$BY$180,$B56+1,0),data!$B$12:$B$213,0),35)),"",INDEX(data!$A$12:$AI$213,MATCH(HLOOKUP('II. Sledování projektu'!$L$5,vstupy!$N$2:$BY$180,$B56+1,0),data!$B$12:$B$213,0),35))</f>
        <v>4.8313155663234406</v>
      </c>
      <c r="E56" s="49">
        <f>IF(ISERROR(INDEX(data!$A$12:$AI$213,MATCH(HLOOKUP('II. Sledování projektu'!$L$5,vstupy!$N$2:$BY$180,$B56+1,0),data!$B$12:$B$213,0),27)),"",INDEX(data!$A$12:$AI$213,MATCH(HLOOKUP('II. Sledování projektu'!$L$5,vstupy!$N$2:$BY$180,$B56+1,0),data!$B$12:$B$213,0),27))</f>
        <v>1270000</v>
      </c>
      <c r="F56" s="54">
        <f>IF(ISERROR(INDEX(data!$A$12:$AI$213,MATCH(HLOOKUP('II. Sledování projektu'!$L$5,vstupy!$N$2:$BY$180,$B56+1,0),data!$B$12:$B$213,0),28)),"",INDEX(data!$A$12:$AI$213,MATCH(HLOOKUP('II. Sledování projektu'!$L$5,vstupy!$N$2:$BY$180,$B56+1,0),data!$B$12:$B$213,0),28))</f>
        <v>0</v>
      </c>
      <c r="G56" s="53">
        <f t="shared" si="3"/>
        <v>0</v>
      </c>
      <c r="H56" s="53">
        <f>IF(ISERROR(INDEX(data!$A$12:$AI$213,MATCH(HLOOKUP('II. Sledování projektu'!$L$5,vstupy!$N$2:$BY$180,$B56+1,0),data!$B$12:$B$213,0),29)),"",INDEX(data!$A$12:$AI$213,MATCH(HLOOKUP('II. Sledování projektu'!$L$5,vstupy!$N$2:$BY$180,$B56+1,0),data!$B$12:$B$213,0),29))</f>
        <v>0.26</v>
      </c>
      <c r="I56" s="54">
        <f>IF(ISERROR(INDEX(data!$A$12:$AI$213,MATCH(HLOOKUP('II. Sledování projektu'!$L$5,vstupy!$N$2:$BY$180,$B56+1,0),data!$B$12:$B$213,0),31)),"",INDEX(data!$A$12:$AI$213,MATCH(HLOOKUP('II. Sledování projektu'!$L$5,vstupy!$N$2:$BY$180,$B56+1,0),data!$B$12:$B$213,0),31))</f>
        <v>26588.34</v>
      </c>
      <c r="J56" s="53">
        <f t="shared" si="4"/>
        <v>2.0935700787401576E-2</v>
      </c>
      <c r="K56" s="53">
        <f t="shared" si="6"/>
        <v>8.0521926105390676E-2</v>
      </c>
      <c r="L56" s="54">
        <f>IF(ISERROR(INDEX(data!$A$12:$AI$213,MATCH(HLOOKUP('II. Sledování projektu'!$L$5,vstupy!$N$2:$BY$180,$B56+1,0),data!$B$12:$B$213,0),32)),"",INDEX(data!$A$12:$AI$213,MATCH(HLOOKUP('II. Sledování projektu'!$L$5,vstupy!$N$2:$BY$180,$B56+1,0),data!$B$12:$B$213,0),32))</f>
        <v>16919.400000000001</v>
      </c>
      <c r="M56" s="53">
        <f t="shared" si="7"/>
        <v>0.38888252986709948</v>
      </c>
      <c r="N56" s="54">
        <f>IF(ISERROR(VLOOKUP(C56,data!$C$12:$AD$213,28,0)),0,VLOOKUP(C56,data!$C$12:$AD$213,28,0))</f>
        <v>330200</v>
      </c>
    </row>
    <row r="57" spans="2:14" x14ac:dyDescent="0.2">
      <c r="B57" s="19">
        <f t="shared" si="5"/>
        <v>52</v>
      </c>
      <c r="C57" s="19" t="str">
        <f>IF(ISERROR(INDEX(data!$A$12:$AI$213,MATCH(HLOOKUP('II. Sledování projektu'!$L$5,vstupy!$N$2:$BY$180,$B57+1,0),data!$B$12:$B$213,0),3)),"",INDEX(data!$A$12:$AI$213,MATCH(HLOOKUP('II. Sledování projektu'!$L$5,vstupy!$N$2:$BY$180,$B57+1,0),data!$B$12:$B$213,0),3))</f>
        <v>MŠ Křižíkova</v>
      </c>
      <c r="D57" s="156">
        <f>IF(ISERROR(INDEX(data!$A$12:$AI$213,MATCH(HLOOKUP('II. Sledování projektu'!$L$5,vstupy!$N$2:$BY$180,$B57+1,0),data!$B$12:$B$213,0),35)),"",INDEX(data!$A$12:$AI$213,MATCH(HLOOKUP('II. Sledování projektu'!$L$5,vstupy!$N$2:$BY$180,$B57+1,0),data!$B$12:$B$213,0),35))</f>
        <v>3.5512149168399167</v>
      </c>
      <c r="E57" s="49">
        <f>IF(ISERROR(INDEX(data!$A$12:$AI$213,MATCH(HLOOKUP('II. Sledování projektu'!$L$5,vstupy!$N$2:$BY$180,$B57+1,0),data!$B$12:$B$213,0),27)),"",INDEX(data!$A$12:$AI$213,MATCH(HLOOKUP('II. Sledování projektu'!$L$5,vstupy!$N$2:$BY$180,$B57+1,0),data!$B$12:$B$213,0),27))</f>
        <v>888000</v>
      </c>
      <c r="F57" s="54">
        <f>IF(ISERROR(INDEX(data!$A$12:$AI$213,MATCH(HLOOKUP('II. Sledování projektu'!$L$5,vstupy!$N$2:$BY$180,$B57+1,0),data!$B$12:$B$213,0),28)),"",INDEX(data!$A$12:$AI$213,MATCH(HLOOKUP('II. Sledování projektu'!$L$5,vstupy!$N$2:$BY$180,$B57+1,0),data!$B$12:$B$213,0),28))</f>
        <v>0</v>
      </c>
      <c r="G57" s="53">
        <f t="shared" si="3"/>
        <v>0</v>
      </c>
      <c r="H57" s="53">
        <f>IF(ISERROR(INDEX(data!$A$12:$AI$213,MATCH(HLOOKUP('II. Sledování projektu'!$L$5,vstupy!$N$2:$BY$180,$B57+1,0),data!$B$12:$B$213,0),29)),"",INDEX(data!$A$12:$AI$213,MATCH(HLOOKUP('II. Sledování projektu'!$L$5,vstupy!$N$2:$BY$180,$B57+1,0),data!$B$12:$B$213,0),29))</f>
        <v>0.20799999999999999</v>
      </c>
      <c r="I57" s="54">
        <f>IF(ISERROR(INDEX(data!$A$12:$AI$213,MATCH(HLOOKUP('II. Sledování projektu'!$L$5,vstupy!$N$2:$BY$180,$B57+1,0),data!$B$12:$B$213,0),31)),"",INDEX(data!$A$12:$AI$213,MATCH(HLOOKUP('II. Sledování projektu'!$L$5,vstupy!$N$2:$BY$180,$B57+1,0),data!$B$12:$B$213,0),31))</f>
        <v>10932.06</v>
      </c>
      <c r="J57" s="53">
        <f t="shared" si="4"/>
        <v>1.2310878378378378E-2</v>
      </c>
      <c r="K57" s="53">
        <f t="shared" si="6"/>
        <v>5.9186915280665275E-2</v>
      </c>
      <c r="L57" s="54">
        <f>IF(ISERROR(INDEX(data!$A$12:$AI$213,MATCH(HLOOKUP('II. Sledování projektu'!$L$5,vstupy!$N$2:$BY$180,$B57+1,0),data!$B$12:$B$213,0),32)),"",INDEX(data!$A$12:$AI$213,MATCH(HLOOKUP('II. Sledování projektu'!$L$5,vstupy!$N$2:$BY$180,$B57+1,0),data!$B$12:$B$213,0),32))</f>
        <v>9969.66</v>
      </c>
      <c r="M57" s="53">
        <f t="shared" si="7"/>
        <v>0.47697797119088758</v>
      </c>
      <c r="N57" s="54">
        <f>IF(ISERROR(VLOOKUP(C57,data!$C$12:$AD$213,28,0)),0,VLOOKUP(C57,data!$C$12:$AD$213,28,0))</f>
        <v>184704</v>
      </c>
    </row>
    <row r="58" spans="2:14" x14ac:dyDescent="0.2">
      <c r="B58" s="19">
        <f t="shared" si="5"/>
        <v>53</v>
      </c>
      <c r="C58" s="19" t="str">
        <f>IF(ISERROR(INDEX(data!$A$12:$AI$213,MATCH(HLOOKUP('II. Sledování projektu'!$L$5,vstupy!$N$2:$BY$180,$B58+1,0),data!$B$12:$B$213,0),3)),"",INDEX(data!$A$12:$AI$213,MATCH(HLOOKUP('II. Sledování projektu'!$L$5,vstupy!$N$2:$BY$180,$B58+1,0),data!$B$12:$B$213,0),3))</f>
        <v>MŠ Lechowiczova</v>
      </c>
      <c r="D58" s="156">
        <f>IF(ISERROR(INDEX(data!$A$12:$AI$213,MATCH(HLOOKUP('II. Sledování projektu'!$L$5,vstupy!$N$2:$BY$180,$B58+1,0),data!$B$12:$B$213,0),35)),"",INDEX(data!$A$12:$AI$213,MATCH(HLOOKUP('II. Sledování projektu'!$L$5,vstupy!$N$2:$BY$180,$B58+1,0),data!$B$12:$B$213,0),35))</f>
        <v>25.169143476472538</v>
      </c>
      <c r="E58" s="49">
        <f>IF(ISERROR(INDEX(data!$A$12:$AI$213,MATCH(HLOOKUP('II. Sledování projektu'!$L$5,vstupy!$N$2:$BY$180,$B58+1,0),data!$B$12:$B$213,0),27)),"",INDEX(data!$A$12:$AI$213,MATCH(HLOOKUP('II. Sledování projektu'!$L$5,vstupy!$N$2:$BY$180,$B58+1,0),data!$B$12:$B$213,0),27))</f>
        <v>825500</v>
      </c>
      <c r="F58" s="54">
        <f>IF(ISERROR(INDEX(data!$A$12:$AI$213,MATCH(HLOOKUP('II. Sledování projektu'!$L$5,vstupy!$N$2:$BY$180,$B58+1,0),data!$B$12:$B$213,0),28)),"",INDEX(data!$A$12:$AI$213,MATCH(HLOOKUP('II. Sledování projektu'!$L$5,vstupy!$N$2:$BY$180,$B58+1,0),data!$B$12:$B$213,0),28))</f>
        <v>84879.98</v>
      </c>
      <c r="G58" s="53">
        <f t="shared" si="3"/>
        <v>0.10282250757116898</v>
      </c>
      <c r="H58" s="53">
        <f>IF(ISERROR(INDEX(data!$A$12:$AI$213,MATCH(HLOOKUP('II. Sledování projektu'!$L$5,vstupy!$N$2:$BY$180,$B58+1,0),data!$B$12:$B$213,0),29)),"",INDEX(data!$A$12:$AI$213,MATCH(HLOOKUP('II. Sledování projektu'!$L$5,vstupy!$N$2:$BY$180,$B58+1,0),data!$B$12:$B$213,0),29))</f>
        <v>0.2094</v>
      </c>
      <c r="I58" s="54">
        <f>IF(ISERROR(INDEX(data!$A$12:$AI$213,MATCH(HLOOKUP('II. Sledování projektu'!$L$5,vstupy!$N$2:$BY$180,$B58+1,0),data!$B$12:$B$213,0),31)),"",INDEX(data!$A$12:$AI$213,MATCH(HLOOKUP('II. Sledování projektu'!$L$5,vstupy!$N$2:$BY$180,$B58+1,0),data!$B$12:$B$213,0),31))</f>
        <v>57700.62</v>
      </c>
      <c r="J58" s="53">
        <f t="shared" si="4"/>
        <v>6.989778316172017E-2</v>
      </c>
      <c r="K58" s="53">
        <f t="shared" si="6"/>
        <v>0.3338003016319015</v>
      </c>
      <c r="L58" s="54">
        <f>IF(ISERROR(INDEX(data!$A$12:$AI$213,MATCH(HLOOKUP('II. Sledování projektu'!$L$5,vstupy!$N$2:$BY$180,$B58+1,0),data!$B$12:$B$213,0),32)),"",INDEX(data!$A$12:$AI$213,MATCH(HLOOKUP('II. Sledování projektu'!$L$5,vstupy!$N$2:$BY$180,$B58+1,0),data!$B$12:$B$213,0),32))</f>
        <v>29317.03</v>
      </c>
      <c r="M58" s="53">
        <f t="shared" si="7"/>
        <v>0.33690900639123211</v>
      </c>
      <c r="N58" s="54">
        <f>IF(ISERROR(VLOOKUP(C58,data!$C$12:$AD$213,28,0)),0,VLOOKUP(C58,data!$C$12:$AD$213,28,0))</f>
        <v>172859.7</v>
      </c>
    </row>
    <row r="59" spans="2:14" x14ac:dyDescent="0.2">
      <c r="B59" s="19">
        <f t="shared" si="5"/>
        <v>54</v>
      </c>
      <c r="C59" s="19" t="str">
        <f>IF(ISERROR(INDEX(data!$A$12:$AI$213,MATCH(HLOOKUP('II. Sledování projektu'!$L$5,vstupy!$N$2:$BY$180,$B59+1,0),data!$B$12:$B$213,0),3)),"",INDEX(data!$A$12:$AI$213,MATCH(HLOOKUP('II. Sledování projektu'!$L$5,vstupy!$N$2:$BY$180,$B59+1,0),data!$B$12:$B$213,0),3))</f>
        <v>MŠ Martinovská</v>
      </c>
      <c r="D59" s="156">
        <f>IF(ISERROR(INDEX(data!$A$12:$AI$213,MATCH(HLOOKUP('II. Sledování projektu'!$L$5,vstupy!$N$2:$BY$180,$B59+1,0),data!$B$12:$B$213,0),35)),"",INDEX(data!$A$12:$AI$213,MATCH(HLOOKUP('II. Sledování projektu'!$L$5,vstupy!$N$2:$BY$180,$B59+1,0),data!$B$12:$B$213,0),35))</f>
        <v>0</v>
      </c>
      <c r="E59" s="49">
        <f>IF(ISERROR(INDEX(data!$A$12:$AI$213,MATCH(HLOOKUP('II. Sledování projektu'!$L$5,vstupy!$N$2:$BY$180,$B59+1,0),data!$B$12:$B$213,0),27)),"",INDEX(data!$A$12:$AI$213,MATCH(HLOOKUP('II. Sledování projektu'!$L$5,vstupy!$N$2:$BY$180,$B59+1,0),data!$B$12:$B$213,0),27))</f>
        <v>307055</v>
      </c>
      <c r="F59" s="54">
        <f>IF(ISERROR(INDEX(data!$A$12:$AI$213,MATCH(HLOOKUP('II. Sledování projektu'!$L$5,vstupy!$N$2:$BY$180,$B59+1,0),data!$B$12:$B$213,0),28)),"",INDEX(data!$A$12:$AI$213,MATCH(HLOOKUP('II. Sledování projektu'!$L$5,vstupy!$N$2:$BY$180,$B59+1,0),data!$B$12:$B$213,0),28))</f>
        <v>0</v>
      </c>
      <c r="G59" s="53">
        <f t="shared" si="3"/>
        <v>0</v>
      </c>
      <c r="H59" s="53">
        <f>IF(ISERROR(INDEX(data!$A$12:$AI$213,MATCH(HLOOKUP('II. Sledování projektu'!$L$5,vstupy!$N$2:$BY$180,$B59+1,0),data!$B$12:$B$213,0),29)),"",INDEX(data!$A$12:$AI$213,MATCH(HLOOKUP('II. Sledování projektu'!$L$5,vstupy!$N$2:$BY$180,$B59+1,0),data!$B$12:$B$213,0),29))</f>
        <v>4.1000000000000002E-2</v>
      </c>
      <c r="I59" s="54">
        <f>IF(ISERROR(INDEX(data!$A$12:$AI$213,MATCH(HLOOKUP('II. Sledování projektu'!$L$5,vstupy!$N$2:$BY$180,$B59+1,0),data!$B$12:$B$213,0),31)),"",INDEX(data!$A$12:$AI$213,MATCH(HLOOKUP('II. Sledování projektu'!$L$5,vstupy!$N$2:$BY$180,$B59+1,0),data!$B$12:$B$213,0),31))</f>
        <v>0</v>
      </c>
      <c r="J59" s="53">
        <f t="shared" si="4"/>
        <v>0</v>
      </c>
      <c r="K59" s="53">
        <f t="shared" si="6"/>
        <v>0</v>
      </c>
      <c r="L59" s="54">
        <f>IF(ISERROR(INDEX(data!$A$12:$AI$213,MATCH(HLOOKUP('II. Sledování projektu'!$L$5,vstupy!$N$2:$BY$180,$B59+1,0),data!$B$12:$B$213,0),32)),"",INDEX(data!$A$12:$AI$213,MATCH(HLOOKUP('II. Sledování projektu'!$L$5,vstupy!$N$2:$BY$180,$B59+1,0),data!$B$12:$B$213,0),32))</f>
        <v>0</v>
      </c>
      <c r="M59" s="53">
        <f t="shared" si="7"/>
        <v>0</v>
      </c>
      <c r="N59" s="54">
        <f>IF(ISERROR(VLOOKUP(C59,data!$C$12:$AD$213,28,0)),0,VLOOKUP(C59,data!$C$12:$AD$213,28,0))</f>
        <v>12589.255000000001</v>
      </c>
    </row>
    <row r="60" spans="2:14" x14ac:dyDescent="0.2">
      <c r="B60" s="19">
        <f t="shared" si="5"/>
        <v>55</v>
      </c>
      <c r="C60" s="19" t="str">
        <f>IF(ISERROR(INDEX(data!$A$12:$AI$213,MATCH(HLOOKUP('II. Sledování projektu'!$L$5,vstupy!$N$2:$BY$180,$B60+1,0),data!$B$12:$B$213,0),3)),"",INDEX(data!$A$12:$AI$213,MATCH(HLOOKUP('II. Sledování projektu'!$L$5,vstupy!$N$2:$BY$180,$B60+1,0),data!$B$12:$B$213,0),3))</f>
        <v>MŠ Na Jízdárně</v>
      </c>
      <c r="D60" s="156">
        <f>IF(ISERROR(INDEX(data!$A$12:$AI$213,MATCH(HLOOKUP('II. Sledování projektu'!$L$5,vstupy!$N$2:$BY$180,$B60+1,0),data!$B$12:$B$213,0),35)),"",INDEX(data!$A$12:$AI$213,MATCH(HLOOKUP('II. Sledování projektu'!$L$5,vstupy!$N$2:$BY$180,$B60+1,0),data!$B$12:$B$213,0),35))</f>
        <v>16.257602018775984</v>
      </c>
      <c r="E60" s="49">
        <f>IF(ISERROR(INDEX(data!$A$12:$AI$213,MATCH(HLOOKUP('II. Sledování projektu'!$L$5,vstupy!$N$2:$BY$180,$B60+1,0),data!$B$12:$B$213,0),27)),"",INDEX(data!$A$12:$AI$213,MATCH(HLOOKUP('II. Sledování projektu'!$L$5,vstupy!$N$2:$BY$180,$B60+1,0),data!$B$12:$B$213,0),27))</f>
        <v>547000</v>
      </c>
      <c r="F60" s="54">
        <f>IF(ISERROR(INDEX(data!$A$12:$AI$213,MATCH(HLOOKUP('II. Sledování projektu'!$L$5,vstupy!$N$2:$BY$180,$B60+1,0),data!$B$12:$B$213,0),28)),"",INDEX(data!$A$12:$AI$213,MATCH(HLOOKUP('II. Sledování projektu'!$L$5,vstupy!$N$2:$BY$180,$B60+1,0),data!$B$12:$B$213,0),28))</f>
        <v>15145.07</v>
      </c>
      <c r="G60" s="53">
        <f t="shared" si="3"/>
        <v>2.7687513711151735E-2</v>
      </c>
      <c r="H60" s="53">
        <f>IF(ISERROR(INDEX(data!$A$12:$AI$213,MATCH(HLOOKUP('II. Sledování projektu'!$L$5,vstupy!$N$2:$BY$180,$B60+1,0),data!$B$12:$B$213,0),29)),"",INDEX(data!$A$12:$AI$213,MATCH(HLOOKUP('II. Sledování projektu'!$L$5,vstupy!$N$2:$BY$180,$B60+1,0),data!$B$12:$B$213,0),29))</f>
        <v>0.1686</v>
      </c>
      <c r="I60" s="54">
        <f>IF(ISERROR(INDEX(data!$A$12:$AI$213,MATCH(HLOOKUP('II. Sledování projektu'!$L$5,vstupy!$N$2:$BY$180,$B60+1,0),data!$B$12:$B$213,0),31)),"",INDEX(data!$A$12:$AI$213,MATCH(HLOOKUP('II. Sledování projektu'!$L$5,vstupy!$N$2:$BY$180,$B60+1,0),data!$B$12:$B$213,0),31))</f>
        <v>22861.19</v>
      </c>
      <c r="J60" s="53">
        <f t="shared" si="4"/>
        <v>4.1793765996343692E-2</v>
      </c>
      <c r="K60" s="53">
        <f t="shared" si="6"/>
        <v>0.24788710555363994</v>
      </c>
      <c r="L60" s="54">
        <f>IF(ISERROR(INDEX(data!$A$12:$AI$213,MATCH(HLOOKUP('II. Sledování projektu'!$L$5,vstupy!$N$2:$BY$180,$B60+1,0),data!$B$12:$B$213,0),32)),"",INDEX(data!$A$12:$AI$213,MATCH(HLOOKUP('II. Sledování projektu'!$L$5,vstupy!$N$2:$BY$180,$B60+1,0),data!$B$12:$B$213,0),32))</f>
        <v>10283.700000000001</v>
      </c>
      <c r="M60" s="53">
        <f t="shared" si="7"/>
        <v>0.31026502124460215</v>
      </c>
      <c r="N60" s="54">
        <f>IF(ISERROR(VLOOKUP(C60,data!$C$12:$AD$213,28,0)),0,VLOOKUP(C60,data!$C$12:$AD$213,28,0))</f>
        <v>92224.2</v>
      </c>
    </row>
    <row r="61" spans="2:14" x14ac:dyDescent="0.2">
      <c r="B61" s="19">
        <f t="shared" si="5"/>
        <v>56</v>
      </c>
      <c r="C61" s="19" t="str">
        <f>IF(ISERROR(INDEX(data!$A$12:$AI$213,MATCH(HLOOKUP('II. Sledování projektu'!$L$5,vstupy!$N$2:$BY$180,$B61+1,0),data!$B$12:$B$213,0),3)),"",INDEX(data!$A$12:$AI$213,MATCH(HLOOKUP('II. Sledování projektu'!$L$5,vstupy!$N$2:$BY$180,$B61+1,0),data!$B$12:$B$213,0),3))</f>
        <v>MŠ O-Bartovice</v>
      </c>
      <c r="D61" s="156">
        <f>IF(ISERROR(INDEX(data!$A$12:$AI$213,MATCH(HLOOKUP('II. Sledování projektu'!$L$5,vstupy!$N$2:$BY$180,$B61+1,0),data!$B$12:$B$213,0),35)),"",INDEX(data!$A$12:$AI$213,MATCH(HLOOKUP('II. Sledování projektu'!$L$5,vstupy!$N$2:$BY$180,$B61+1,0),data!$B$12:$B$213,0),35))</f>
        <v>42.574760502159052</v>
      </c>
      <c r="E61" s="49">
        <f>IF(ISERROR(INDEX(data!$A$12:$AI$213,MATCH(HLOOKUP('II. Sledování projektu'!$L$5,vstupy!$N$2:$BY$180,$B61+1,0),data!$B$12:$B$213,0),27)),"",INDEX(data!$A$12:$AI$213,MATCH(HLOOKUP('II. Sledování projektu'!$L$5,vstupy!$N$2:$BY$180,$B61+1,0),data!$B$12:$B$213,0),27))</f>
        <v>302500</v>
      </c>
      <c r="F61" s="54">
        <f>IF(ISERROR(INDEX(data!$A$12:$AI$213,MATCH(HLOOKUP('II. Sledování projektu'!$L$5,vstupy!$N$2:$BY$180,$B61+1,0),data!$B$12:$B$213,0),28)),"",INDEX(data!$A$12:$AI$213,MATCH(HLOOKUP('II. Sledování projektu'!$L$5,vstupy!$N$2:$BY$180,$B61+1,0),data!$B$12:$B$213,0),28))</f>
        <v>0</v>
      </c>
      <c r="G61" s="53">
        <f t="shared" si="3"/>
        <v>0</v>
      </c>
      <c r="H61" s="53">
        <f>IF(ISERROR(INDEX(data!$A$12:$AI$213,MATCH(HLOOKUP('II. Sledování projektu'!$L$5,vstupy!$N$2:$BY$180,$B61+1,0),data!$B$12:$B$213,0),29)),"",INDEX(data!$A$12:$AI$213,MATCH(HLOOKUP('II. Sledování projektu'!$L$5,vstupy!$N$2:$BY$180,$B61+1,0),data!$B$12:$B$213,0),29))</f>
        <v>0.1734</v>
      </c>
      <c r="I61" s="54">
        <f>IF(ISERROR(INDEX(data!$A$12:$AI$213,MATCH(HLOOKUP('II. Sledování projektu'!$L$5,vstupy!$N$2:$BY$180,$B61+1,0),data!$B$12:$B$213,0),31)),"",INDEX(data!$A$12:$AI$213,MATCH(HLOOKUP('II. Sledování projektu'!$L$5,vstupy!$N$2:$BY$180,$B61+1,0),data!$B$12:$B$213,0),31))</f>
        <v>37219.919999999998</v>
      </c>
      <c r="J61" s="53">
        <f t="shared" si="4"/>
        <v>0.12304105785123966</v>
      </c>
      <c r="K61" s="53">
        <f t="shared" si="6"/>
        <v>0.70957934170265091</v>
      </c>
      <c r="L61" s="54">
        <f>IF(ISERROR(INDEX(data!$A$12:$AI$213,MATCH(HLOOKUP('II. Sledování projektu'!$L$5,vstupy!$N$2:$BY$180,$B61+1,0),data!$B$12:$B$213,0),32)),"",INDEX(data!$A$12:$AI$213,MATCH(HLOOKUP('II. Sledování projektu'!$L$5,vstupy!$N$2:$BY$180,$B61+1,0),data!$B$12:$B$213,0),32))</f>
        <v>33411.54</v>
      </c>
      <c r="M61" s="53">
        <f t="shared" si="7"/>
        <v>0.47304048365983098</v>
      </c>
      <c r="N61" s="54">
        <f>IF(ISERROR(VLOOKUP(C61,data!$C$12:$AD$213,28,0)),0,VLOOKUP(C61,data!$C$12:$AD$213,28,0))</f>
        <v>52453.5</v>
      </c>
    </row>
    <row r="62" spans="2:14" x14ac:dyDescent="0.2">
      <c r="B62" s="19">
        <f t="shared" si="5"/>
        <v>57</v>
      </c>
      <c r="C62" s="19" t="str">
        <f>IF(ISERROR(INDEX(data!$A$12:$AI$213,MATCH(HLOOKUP('II. Sledování projektu'!$L$5,vstupy!$N$2:$BY$180,$B62+1,0),data!$B$12:$B$213,0),3)),"",INDEX(data!$A$12:$AI$213,MATCH(HLOOKUP('II. Sledování projektu'!$L$5,vstupy!$N$2:$BY$180,$B62+1,0),data!$B$12:$B$213,0),3))</f>
        <v>MŠ O-Dubina, A.Gavlase</v>
      </c>
      <c r="D62" s="156">
        <f>IF(ISERROR(INDEX(data!$A$12:$AI$213,MATCH(HLOOKUP('II. Sledování projektu'!$L$5,vstupy!$N$2:$BY$180,$B62+1,0),data!$B$12:$B$213,0),35)),"",INDEX(data!$A$12:$AI$213,MATCH(HLOOKUP('II. Sledování projektu'!$L$5,vstupy!$N$2:$BY$180,$B62+1,0),data!$B$12:$B$213,0),35))</f>
        <v>21.161740098707639</v>
      </c>
      <c r="E62" s="49">
        <f>IF(ISERROR(INDEX(data!$A$12:$AI$213,MATCH(HLOOKUP('II. Sledování projektu'!$L$5,vstupy!$N$2:$BY$180,$B62+1,0),data!$B$12:$B$213,0),27)),"",INDEX(data!$A$12:$AI$213,MATCH(HLOOKUP('II. Sledování projektu'!$L$5,vstupy!$N$2:$BY$180,$B62+1,0),data!$B$12:$B$213,0),27))</f>
        <v>1694270</v>
      </c>
      <c r="F62" s="54">
        <f>IF(ISERROR(INDEX(data!$A$12:$AI$213,MATCH(HLOOKUP('II. Sledování projektu'!$L$5,vstupy!$N$2:$BY$180,$B62+1,0),data!$B$12:$B$213,0),28)),"",INDEX(data!$A$12:$AI$213,MATCH(HLOOKUP('II. Sledování projektu'!$L$5,vstupy!$N$2:$BY$180,$B62+1,0),data!$B$12:$B$213,0),28))</f>
        <v>80196.67</v>
      </c>
      <c r="G62" s="53">
        <f t="shared" si="3"/>
        <v>4.7334055374881216E-2</v>
      </c>
      <c r="H62" s="53">
        <f>IF(ISERROR(INDEX(data!$A$12:$AI$213,MATCH(HLOOKUP('II. Sledování projektu'!$L$5,vstupy!$N$2:$BY$180,$B62+1,0),data!$B$12:$B$213,0),29)),"",INDEX(data!$A$12:$AI$213,MATCH(HLOOKUP('II. Sledování projektu'!$L$5,vstupy!$N$2:$BY$180,$B62+1,0),data!$B$12:$B$213,0),29))</f>
        <v>0.2059</v>
      </c>
      <c r="I62" s="54">
        <f>IF(ISERROR(INDEX(data!$A$12:$AI$213,MATCH(HLOOKUP('II. Sledování projektu'!$L$5,vstupy!$N$2:$BY$180,$B62+1,0),data!$B$12:$B$213,0),31)),"",INDEX(data!$A$12:$AI$213,MATCH(HLOOKUP('II. Sledování projektu'!$L$5,vstupy!$N$2:$BY$180,$B62+1,0),data!$B$12:$B$213,0),31))</f>
        <v>109277.54</v>
      </c>
      <c r="J62" s="53">
        <f t="shared" si="4"/>
        <v>6.4498303103991683E-2</v>
      </c>
      <c r="K62" s="53">
        <f t="shared" si="6"/>
        <v>0.31325062216605964</v>
      </c>
      <c r="L62" s="54">
        <f>IF(ISERROR(INDEX(data!$A$12:$AI$213,MATCH(HLOOKUP('II. Sledování projektu'!$L$5,vstupy!$N$2:$BY$180,$B62+1,0),data!$B$12:$B$213,0),32)),"",INDEX(data!$A$12:$AI$213,MATCH(HLOOKUP('II. Sledování projektu'!$L$5,vstupy!$N$2:$BY$180,$B62+1,0),data!$B$12:$B$213,0),32))</f>
        <v>76291.39</v>
      </c>
      <c r="M62" s="53">
        <f t="shared" si="7"/>
        <v>0.41112157083623863</v>
      </c>
      <c r="N62" s="54">
        <f>IF(ISERROR(VLOOKUP(C62,data!$C$12:$AD$213,28,0)),0,VLOOKUP(C62,data!$C$12:$AD$213,28,0))</f>
        <v>348850.19300000003</v>
      </c>
    </row>
    <row r="63" spans="2:14" x14ac:dyDescent="0.2">
      <c r="B63" s="19">
        <f t="shared" si="5"/>
        <v>58</v>
      </c>
      <c r="C63" s="19" t="str">
        <f>IF(ISERROR(INDEX(data!$A$12:$AI$213,MATCH(HLOOKUP('II. Sledování projektu'!$L$5,vstupy!$N$2:$BY$180,$B63+1,0),data!$B$12:$B$213,0),3)),"",INDEX(data!$A$12:$AI$213,MATCH(HLOOKUP('II. Sledování projektu'!$L$5,vstupy!$N$2:$BY$180,$B63+1,0),data!$B$12:$B$213,0),3))</f>
        <v>MŠ O-Dubina, F.Formana</v>
      </c>
      <c r="D63" s="156">
        <f>IF(ISERROR(INDEX(data!$A$12:$AI$213,MATCH(HLOOKUP('II. Sledování projektu'!$L$5,vstupy!$N$2:$BY$180,$B63+1,0),data!$B$12:$B$213,0),35)),"",INDEX(data!$A$12:$AI$213,MATCH(HLOOKUP('II. Sledování projektu'!$L$5,vstupy!$N$2:$BY$180,$B63+1,0),data!$B$12:$B$213,0),35))</f>
        <v>28.590570102540905</v>
      </c>
      <c r="E63" s="49">
        <f>IF(ISERROR(INDEX(data!$A$12:$AI$213,MATCH(HLOOKUP('II. Sledování projektu'!$L$5,vstupy!$N$2:$BY$180,$B63+1,0),data!$B$12:$B$213,0),27)),"",INDEX(data!$A$12:$AI$213,MATCH(HLOOKUP('II. Sledování projektu'!$L$5,vstupy!$N$2:$BY$180,$B63+1,0),data!$B$12:$B$213,0),27))</f>
        <v>1159100</v>
      </c>
      <c r="F63" s="54">
        <f>IF(ISERROR(INDEX(data!$A$12:$AI$213,MATCH(HLOOKUP('II. Sledování projektu'!$L$5,vstupy!$N$2:$BY$180,$B63+1,0),data!$B$12:$B$213,0),28)),"",INDEX(data!$A$12:$AI$213,MATCH(HLOOKUP('II. Sledování projektu'!$L$5,vstupy!$N$2:$BY$180,$B63+1,0),data!$B$12:$B$213,0),28))</f>
        <v>98207.12</v>
      </c>
      <c r="G63" s="53">
        <f t="shared" si="3"/>
        <v>8.4727046846691398E-2</v>
      </c>
      <c r="H63" s="53">
        <f>IF(ISERROR(INDEX(data!$A$12:$AI$213,MATCH(HLOOKUP('II. Sledování projektu'!$L$5,vstupy!$N$2:$BY$180,$B63+1,0),data!$B$12:$B$213,0),29)),"",INDEX(data!$A$12:$AI$213,MATCH(HLOOKUP('II. Sledování projektu'!$L$5,vstupy!$N$2:$BY$180,$B63+1,0),data!$B$12:$B$213,0),29))</f>
        <v>0.2596</v>
      </c>
      <c r="I63" s="54">
        <f>IF(ISERROR(INDEX(data!$A$12:$AI$213,MATCH(HLOOKUP('II. Sledování projektu'!$L$5,vstupy!$N$2:$BY$180,$B63+1,0),data!$B$12:$B$213,0),31)),"",INDEX(data!$A$12:$AI$213,MATCH(HLOOKUP('II. Sledování projektu'!$L$5,vstupy!$N$2:$BY$180,$B63+1,0),data!$B$12:$B$213,0),31))</f>
        <v>122137.36</v>
      </c>
      <c r="J63" s="53">
        <f t="shared" si="4"/>
        <v>0.10537258217582607</v>
      </c>
      <c r="K63" s="53">
        <f t="shared" si="6"/>
        <v>0.40590362933677226</v>
      </c>
      <c r="L63" s="54">
        <f>IF(ISERROR(INDEX(data!$A$12:$AI$213,MATCH(HLOOKUP('II. Sledování projektu'!$L$5,vstupy!$N$2:$BY$180,$B63+1,0),data!$B$12:$B$213,0),32)),"",INDEX(data!$A$12:$AI$213,MATCH(HLOOKUP('II. Sledování projektu'!$L$5,vstupy!$N$2:$BY$180,$B63+1,0),data!$B$12:$B$213,0),32))</f>
        <v>35325.89</v>
      </c>
      <c r="M63" s="53">
        <f t="shared" si="7"/>
        <v>0.22434371194548569</v>
      </c>
      <c r="N63" s="54">
        <f>IF(ISERROR(VLOOKUP(C63,data!$C$12:$AD$213,28,0)),0,VLOOKUP(C63,data!$C$12:$AD$213,28,0))</f>
        <v>300902.36</v>
      </c>
    </row>
    <row r="64" spans="2:14" x14ac:dyDescent="0.2">
      <c r="B64" s="19">
        <f t="shared" si="5"/>
        <v>59</v>
      </c>
      <c r="C64" s="19" t="str">
        <f>IF(ISERROR(INDEX(data!$A$12:$AI$213,MATCH(HLOOKUP('II. Sledování projektu'!$L$5,vstupy!$N$2:$BY$180,$B64+1,0),data!$B$12:$B$213,0),3)),"",INDEX(data!$A$12:$AI$213,MATCH(HLOOKUP('II. Sledování projektu'!$L$5,vstupy!$N$2:$BY$180,$B64+1,0),data!$B$12:$B$213,0),3))</f>
        <v>MŠ O-Hrabůvka, Adamusova</v>
      </c>
      <c r="D64" s="156">
        <f>IF(ISERROR(INDEX(data!$A$12:$AI$213,MATCH(HLOOKUP('II. Sledování projektu'!$L$5,vstupy!$N$2:$BY$180,$B64+1,0),data!$B$12:$B$213,0),35)),"",INDEX(data!$A$12:$AI$213,MATCH(HLOOKUP('II. Sledování projektu'!$L$5,vstupy!$N$2:$BY$180,$B64+1,0),data!$B$12:$B$213,0),35))</f>
        <v>31.794298831548872</v>
      </c>
      <c r="E64" s="49">
        <f>IF(ISERROR(INDEX(data!$A$12:$AI$213,MATCH(HLOOKUP('II. Sledování projektu'!$L$5,vstupy!$N$2:$BY$180,$B64+1,0),data!$B$12:$B$213,0),27)),"",INDEX(data!$A$12:$AI$213,MATCH(HLOOKUP('II. Sledování projektu'!$L$5,vstupy!$N$2:$BY$180,$B64+1,0),data!$B$12:$B$213,0),27))</f>
        <v>1915674</v>
      </c>
      <c r="F64" s="54">
        <f>IF(ISERROR(INDEX(data!$A$12:$AI$213,MATCH(HLOOKUP('II. Sledování projektu'!$L$5,vstupy!$N$2:$BY$180,$B64+1,0),data!$B$12:$B$213,0),28)),"",INDEX(data!$A$12:$AI$213,MATCH(HLOOKUP('II. Sledování projektu'!$L$5,vstupy!$N$2:$BY$180,$B64+1,0),data!$B$12:$B$213,0),28))</f>
        <v>800071.44000000006</v>
      </c>
      <c r="G64" s="53">
        <f t="shared" si="3"/>
        <v>0.41764488112277981</v>
      </c>
      <c r="H64" s="53">
        <f>IF(ISERROR(INDEX(data!$A$12:$AI$213,MATCH(HLOOKUP('II. Sledování projektu'!$L$5,vstupy!$N$2:$BY$180,$B64+1,0),data!$B$12:$B$213,0),29)),"",INDEX(data!$A$12:$AI$213,MATCH(HLOOKUP('II. Sledování projektu'!$L$5,vstupy!$N$2:$BY$180,$B64+1,0),data!$B$12:$B$213,0),29))</f>
        <v>0.26829999999999998</v>
      </c>
      <c r="I64" s="54">
        <f>IF(ISERROR(INDEX(data!$A$12:$AI$213,MATCH(HLOOKUP('II. Sledování projektu'!$L$5,vstupy!$N$2:$BY$180,$B64+1,0),data!$B$12:$B$213,0),31)),"",INDEX(data!$A$12:$AI$213,MATCH(HLOOKUP('II. Sledování projektu'!$L$5,vstupy!$N$2:$BY$180,$B64+1,0),data!$B$12:$B$213,0),31))</f>
        <v>93475.450000000012</v>
      </c>
      <c r="J64" s="53">
        <f t="shared" si="4"/>
        <v>4.8795071604041194E-2</v>
      </c>
      <c r="K64" s="53">
        <f t="shared" si="6"/>
        <v>0.18186757959016472</v>
      </c>
      <c r="L64" s="54">
        <f>IF(ISERROR(INDEX(data!$A$12:$AI$213,MATCH(HLOOKUP('II. Sledování projektu'!$L$5,vstupy!$N$2:$BY$180,$B64+1,0),data!$B$12:$B$213,0),32)),"",INDEX(data!$A$12:$AI$213,MATCH(HLOOKUP('II. Sledování projektu'!$L$5,vstupy!$N$2:$BY$180,$B64+1,0),data!$B$12:$B$213,0),32))</f>
        <v>56947.72</v>
      </c>
      <c r="M64" s="53">
        <f t="shared" si="7"/>
        <v>0.37858343232628322</v>
      </c>
      <c r="N64" s="54">
        <f>IF(ISERROR(VLOOKUP(C64,data!$C$12:$AD$213,28,0)),0,VLOOKUP(C64,data!$C$12:$AD$213,28,0))</f>
        <v>513975.33419999998</v>
      </c>
    </row>
    <row r="65" spans="2:14" x14ac:dyDescent="0.2">
      <c r="B65" s="19">
        <f t="shared" si="5"/>
        <v>60</v>
      </c>
      <c r="C65" s="19" t="str">
        <f>IF(ISERROR(INDEX(data!$A$12:$AI$213,MATCH(HLOOKUP('II. Sledování projektu'!$L$5,vstupy!$N$2:$BY$180,$B65+1,0),data!$B$12:$B$213,0),3)),"",INDEX(data!$A$12:$AI$213,MATCH(HLOOKUP('II. Sledování projektu'!$L$5,vstupy!$N$2:$BY$180,$B65+1,0),data!$B$12:$B$213,0),3))</f>
        <v>MŠ O-Hulváky, Matrosova</v>
      </c>
      <c r="D65" s="156">
        <f>IF(ISERROR(INDEX(data!$A$12:$AI$213,MATCH(HLOOKUP('II. Sledování projektu'!$L$5,vstupy!$N$2:$BY$180,$B65+1,0),data!$B$12:$B$213,0),35)),"",INDEX(data!$A$12:$AI$213,MATCH(HLOOKUP('II. Sledování projektu'!$L$5,vstupy!$N$2:$BY$180,$B65+1,0),data!$B$12:$B$213,0),35))</f>
        <v>77.978220294007059</v>
      </c>
      <c r="E65" s="49">
        <f>IF(ISERROR(INDEX(data!$A$12:$AI$213,MATCH(HLOOKUP('II. Sledování projektu'!$L$5,vstupy!$N$2:$BY$180,$B65+1,0),data!$B$12:$B$213,0),27)),"",INDEX(data!$A$12:$AI$213,MATCH(HLOOKUP('II. Sledování projektu'!$L$5,vstupy!$N$2:$BY$180,$B65+1,0),data!$B$12:$B$213,0),27))</f>
        <v>521381.5</v>
      </c>
      <c r="F65" s="54">
        <f>IF(ISERROR(INDEX(data!$A$12:$AI$213,MATCH(HLOOKUP('II. Sledování projektu'!$L$5,vstupy!$N$2:$BY$180,$B65+1,0),data!$B$12:$B$213,0),28)),"",INDEX(data!$A$12:$AI$213,MATCH(HLOOKUP('II. Sledování projektu'!$L$5,vstupy!$N$2:$BY$180,$B65+1,0),data!$B$12:$B$213,0),28))</f>
        <v>195009.49</v>
      </c>
      <c r="G65" s="53">
        <f t="shared" si="3"/>
        <v>0.37402456742327833</v>
      </c>
      <c r="H65" s="53">
        <f>IF(ISERROR(INDEX(data!$A$12:$AI$213,MATCH(HLOOKUP('II. Sledování projektu'!$L$5,vstupy!$N$2:$BY$180,$B65+1,0),data!$B$12:$B$213,0),29)),"",INDEX(data!$A$12:$AI$213,MATCH(HLOOKUP('II. Sledování projektu'!$L$5,vstupy!$N$2:$BY$180,$B65+1,0),data!$B$12:$B$213,0),29))</f>
        <v>0.27110000000000001</v>
      </c>
      <c r="I65" s="54">
        <f>IF(ISERROR(INDEX(data!$A$12:$AI$213,MATCH(HLOOKUP('II. Sledování projektu'!$L$5,vstupy!$N$2:$BY$180,$B65+1,0),data!$B$12:$B$213,0),31)),"",INDEX(data!$A$12:$AI$213,MATCH(HLOOKUP('II. Sledování projektu'!$L$5,vstupy!$N$2:$BY$180,$B65+1,0),data!$B$12:$B$213,0),31))</f>
        <v>139643.28</v>
      </c>
      <c r="J65" s="53">
        <f t="shared" si="4"/>
        <v>0.26783320850471298</v>
      </c>
      <c r="K65" s="53">
        <f t="shared" si="6"/>
        <v>0.98794986538071905</v>
      </c>
      <c r="L65" s="54">
        <f>IF(ISERROR(INDEX(data!$A$12:$AI$213,MATCH(HLOOKUP('II. Sledování projektu'!$L$5,vstupy!$N$2:$BY$180,$B65+1,0),data!$B$12:$B$213,0),32)),"",INDEX(data!$A$12:$AI$213,MATCH(HLOOKUP('II. Sledování projektu'!$L$5,vstupy!$N$2:$BY$180,$B65+1,0),data!$B$12:$B$213,0),32))</f>
        <v>69935.7</v>
      </c>
      <c r="M65" s="53">
        <f t="shared" si="7"/>
        <v>0.33369615597900132</v>
      </c>
      <c r="N65" s="54">
        <f>IF(ISERROR(VLOOKUP(C65,data!$C$12:$AD$213,28,0)),0,VLOOKUP(C65,data!$C$12:$AD$213,28,0))</f>
        <v>141346.52465000001</v>
      </c>
    </row>
    <row r="66" spans="2:14" x14ac:dyDescent="0.2">
      <c r="B66" s="19">
        <f t="shared" si="5"/>
        <v>61</v>
      </c>
      <c r="C66" s="19" t="str">
        <f>IF(ISERROR(INDEX(data!$A$12:$AI$213,MATCH(HLOOKUP('II. Sledování projektu'!$L$5,vstupy!$N$2:$BY$180,$B66+1,0),data!$B$12:$B$213,0),3)),"",INDEX(data!$A$12:$AI$213,MATCH(HLOOKUP('II. Sledování projektu'!$L$5,vstupy!$N$2:$BY$180,$B66+1,0),data!$B$12:$B$213,0),3))</f>
        <v>MŠ O-Nová Bělá</v>
      </c>
      <c r="D66" s="156">
        <f>IF(ISERROR(INDEX(data!$A$12:$AI$213,MATCH(HLOOKUP('II. Sledování projektu'!$L$5,vstupy!$N$2:$BY$180,$B66+1,0),data!$B$12:$B$213,0),35)),"",INDEX(data!$A$12:$AI$213,MATCH(HLOOKUP('II. Sledování projektu'!$L$5,vstupy!$N$2:$BY$180,$B66+1,0),data!$B$12:$B$213,0),35))</f>
        <v>13.828835508662008</v>
      </c>
      <c r="E66" s="49">
        <f>IF(ISERROR(INDEX(data!$A$12:$AI$213,MATCH(HLOOKUP('II. Sledování projektu'!$L$5,vstupy!$N$2:$BY$180,$B66+1,0),data!$B$12:$B$213,0),27)),"",INDEX(data!$A$12:$AI$213,MATCH(HLOOKUP('II. Sledování projektu'!$L$5,vstupy!$N$2:$BY$180,$B66+1,0),data!$B$12:$B$213,0),27))</f>
        <v>501950</v>
      </c>
      <c r="F66" s="54">
        <f>IF(ISERROR(INDEX(data!$A$12:$AI$213,MATCH(HLOOKUP('II. Sledování projektu'!$L$5,vstupy!$N$2:$BY$180,$B66+1,0),data!$B$12:$B$213,0),28)),"",INDEX(data!$A$12:$AI$213,MATCH(HLOOKUP('II. Sledování projektu'!$L$5,vstupy!$N$2:$BY$180,$B66+1,0),data!$B$12:$B$213,0),28))</f>
        <v>0</v>
      </c>
      <c r="G66" s="53">
        <f t="shared" si="3"/>
        <v>0</v>
      </c>
      <c r="H66" s="53">
        <f>IF(ISERROR(INDEX(data!$A$12:$AI$213,MATCH(HLOOKUP('II. Sledování projektu'!$L$5,vstupy!$N$2:$BY$180,$B66+1,0),data!$B$12:$B$213,0),29)),"",INDEX(data!$A$12:$AI$213,MATCH(HLOOKUP('II. Sledování projektu'!$L$5,vstupy!$N$2:$BY$180,$B66+1,0),data!$B$12:$B$213,0),29))</f>
        <v>0.1948</v>
      </c>
      <c r="I66" s="54">
        <f>IF(ISERROR(INDEX(data!$A$12:$AI$213,MATCH(HLOOKUP('II. Sledování projektu'!$L$5,vstupy!$N$2:$BY$180,$B66+1,0),data!$B$12:$B$213,0),31)),"",INDEX(data!$A$12:$AI$213,MATCH(HLOOKUP('II. Sledování projektu'!$L$5,vstupy!$N$2:$BY$180,$B66+1,0),data!$B$12:$B$213,0),31))</f>
        <v>22536.36</v>
      </c>
      <c r="J66" s="53">
        <f t="shared" si="4"/>
        <v>4.4897619284789324E-2</v>
      </c>
      <c r="K66" s="53">
        <f t="shared" si="6"/>
        <v>0.23048059181103348</v>
      </c>
      <c r="L66" s="54">
        <f>IF(ISERROR(INDEX(data!$A$12:$AI$213,MATCH(HLOOKUP('II. Sledování projektu'!$L$5,vstupy!$N$2:$BY$180,$B66+1,0),data!$B$12:$B$213,0),32)),"",INDEX(data!$A$12:$AI$213,MATCH(HLOOKUP('II. Sledování projektu'!$L$5,vstupy!$N$2:$BY$180,$B66+1,0),data!$B$12:$B$213,0),32))</f>
        <v>6564.6</v>
      </c>
      <c r="M66" s="53">
        <f t="shared" si="7"/>
        <v>0.22558018704537583</v>
      </c>
      <c r="N66" s="54">
        <f>IF(ISERROR(VLOOKUP(C66,data!$C$12:$AD$213,28,0)),0,VLOOKUP(C66,data!$C$12:$AD$213,28,0))</f>
        <v>97779.86</v>
      </c>
    </row>
    <row r="67" spans="2:14" x14ac:dyDescent="0.2">
      <c r="B67" s="19">
        <f t="shared" si="5"/>
        <v>62</v>
      </c>
      <c r="C67" s="19" t="str">
        <f>IF(ISERROR(INDEX(data!$A$12:$AI$213,MATCH(HLOOKUP('II. Sledování projektu'!$L$5,vstupy!$N$2:$BY$180,$B67+1,0),data!$B$12:$B$213,0),3)),"",INDEX(data!$A$12:$AI$213,MATCH(HLOOKUP('II. Sledování projektu'!$L$5,vstupy!$N$2:$BY$180,$B67+1,0),data!$B$12:$B$213,0),3))</f>
        <v>MŠ O-Petřkovice</v>
      </c>
      <c r="D67" s="156">
        <f>IF(ISERROR(INDEX(data!$A$12:$AI$213,MATCH(HLOOKUP('II. Sledování projektu'!$L$5,vstupy!$N$2:$BY$180,$B67+1,0),data!$B$12:$B$213,0),35)),"",INDEX(data!$A$12:$AI$213,MATCH(HLOOKUP('II. Sledování projektu'!$L$5,vstupy!$N$2:$BY$180,$B67+1,0),data!$B$12:$B$213,0),35))</f>
        <v>50.376413068506395</v>
      </c>
      <c r="E67" s="49">
        <f>IF(ISERROR(INDEX(data!$A$12:$AI$213,MATCH(HLOOKUP('II. Sledování projektu'!$L$5,vstupy!$N$2:$BY$180,$B67+1,0),data!$B$12:$B$213,0),27)),"",INDEX(data!$A$12:$AI$213,MATCH(HLOOKUP('II. Sledování projektu'!$L$5,vstupy!$N$2:$BY$180,$B67+1,0),data!$B$12:$B$213,0),27))</f>
        <v>497680</v>
      </c>
      <c r="F67" s="54">
        <f>IF(ISERROR(INDEX(data!$A$12:$AI$213,MATCH(HLOOKUP('II. Sledování projektu'!$L$5,vstupy!$N$2:$BY$180,$B67+1,0),data!$B$12:$B$213,0),28)),"",INDEX(data!$A$12:$AI$213,MATCH(HLOOKUP('II. Sledování projektu'!$L$5,vstupy!$N$2:$BY$180,$B67+1,0),data!$B$12:$B$213,0),28))</f>
        <v>78240.53</v>
      </c>
      <c r="G67" s="53">
        <f t="shared" si="3"/>
        <v>0.15721051679794246</v>
      </c>
      <c r="H67" s="53">
        <f>IF(ISERROR(INDEX(data!$A$12:$AI$213,MATCH(HLOOKUP('II. Sledování projektu'!$L$5,vstupy!$N$2:$BY$180,$B67+1,0),data!$B$12:$B$213,0),29)),"",INDEX(data!$A$12:$AI$213,MATCH(HLOOKUP('II. Sledování projektu'!$L$5,vstupy!$N$2:$BY$180,$B67+1,0),data!$B$12:$B$213,0),29))</f>
        <v>0.3286</v>
      </c>
      <c r="I67" s="54">
        <f>IF(ISERROR(INDEX(data!$A$12:$AI$213,MATCH(HLOOKUP('II. Sledování projektu'!$L$5,vstupy!$N$2:$BY$180,$B67+1,0),data!$B$12:$B$213,0),31)),"",INDEX(data!$A$12:$AI$213,MATCH(HLOOKUP('II. Sledování projektu'!$L$5,vstupy!$N$2:$BY$180,$B67+1,0),data!$B$12:$B$213,0),31))</f>
        <v>115882.47</v>
      </c>
      <c r="J67" s="53">
        <f t="shared" si="4"/>
        <v>0.23284534238868348</v>
      </c>
      <c r="K67" s="53">
        <f t="shared" si="6"/>
        <v>0.70859812047682125</v>
      </c>
      <c r="L67" s="54">
        <f>IF(ISERROR(INDEX(data!$A$12:$AI$213,MATCH(HLOOKUP('II. Sledování projektu'!$L$5,vstupy!$N$2:$BY$180,$B67+1,0),data!$B$12:$B$213,0),32)),"",INDEX(data!$A$12:$AI$213,MATCH(HLOOKUP('II. Sledování projektu'!$L$5,vstupy!$N$2:$BY$180,$B67+1,0),data!$B$12:$B$213,0),32))</f>
        <v>56737.51</v>
      </c>
      <c r="M67" s="53">
        <f t="shared" si="7"/>
        <v>0.32868448947798512</v>
      </c>
      <c r="N67" s="54">
        <f>IF(ISERROR(VLOOKUP(C67,data!$C$12:$AD$213,28,0)),0,VLOOKUP(C67,data!$C$12:$AD$213,28,0))</f>
        <v>163537.64800000002</v>
      </c>
    </row>
    <row r="68" spans="2:14" x14ac:dyDescent="0.2">
      <c r="B68" s="19">
        <f t="shared" si="5"/>
        <v>63</v>
      </c>
      <c r="C68" s="19" t="str">
        <f>IF(ISERROR(INDEX(data!$A$12:$AI$213,MATCH(HLOOKUP('II. Sledování projektu'!$L$5,vstupy!$N$2:$BY$180,$B68+1,0),data!$B$12:$B$213,0),3)),"",INDEX(data!$A$12:$AI$213,MATCH(HLOOKUP('II. Sledování projektu'!$L$5,vstupy!$N$2:$BY$180,$B68+1,0),data!$B$12:$B$213,0),3))</f>
        <v>MŠ O-Plesná</v>
      </c>
      <c r="D68" s="156">
        <f>IF(ISERROR(INDEX(data!$A$12:$AI$213,MATCH(HLOOKUP('II. Sledování projektu'!$L$5,vstupy!$N$2:$BY$180,$B68+1,0),data!$B$12:$B$213,0),35)),"",INDEX(data!$A$12:$AI$213,MATCH(HLOOKUP('II. Sledování projektu'!$L$5,vstupy!$N$2:$BY$180,$B68+1,0),data!$B$12:$B$213,0),35))</f>
        <v>23.698987178796024</v>
      </c>
      <c r="E68" s="49">
        <f>IF(ISERROR(INDEX(data!$A$12:$AI$213,MATCH(HLOOKUP('II. Sledování projektu'!$L$5,vstupy!$N$2:$BY$180,$B68+1,0),data!$B$12:$B$213,0),27)),"",INDEX(data!$A$12:$AI$213,MATCH(HLOOKUP('II. Sledování projektu'!$L$5,vstupy!$N$2:$BY$180,$B68+1,0),data!$B$12:$B$213,0),27))</f>
        <v>327500</v>
      </c>
      <c r="F68" s="54">
        <f>IF(ISERROR(INDEX(data!$A$12:$AI$213,MATCH(HLOOKUP('II. Sledování projektu'!$L$5,vstupy!$N$2:$BY$180,$B68+1,0),data!$B$12:$B$213,0),28)),"",INDEX(data!$A$12:$AI$213,MATCH(HLOOKUP('II. Sledování projektu'!$L$5,vstupy!$N$2:$BY$180,$B68+1,0),data!$B$12:$B$213,0),28))</f>
        <v>2641.18</v>
      </c>
      <c r="G68" s="53">
        <f t="shared" si="3"/>
        <v>8.0646717557251897E-3</v>
      </c>
      <c r="H68" s="53">
        <f>IF(ISERROR(INDEX(data!$A$12:$AI$213,MATCH(HLOOKUP('II. Sledování projektu'!$L$5,vstupy!$N$2:$BY$180,$B68+1,0),data!$B$12:$B$213,0),29)),"",INDEX(data!$A$12:$AI$213,MATCH(HLOOKUP('II. Sledování projektu'!$L$5,vstupy!$N$2:$BY$180,$B68+1,0),data!$B$12:$B$213,0),29))</f>
        <v>0.2747</v>
      </c>
      <c r="I68" s="54">
        <f>IF(ISERROR(INDEX(data!$A$12:$AI$213,MATCH(HLOOKUP('II. Sledování projektu'!$L$5,vstupy!$N$2:$BY$180,$B68+1,0),data!$B$12:$B$213,0),31)),"",INDEX(data!$A$12:$AI$213,MATCH(HLOOKUP('II. Sledování projektu'!$L$5,vstupy!$N$2:$BY$180,$B68+1,0),data!$B$12:$B$213,0),31))</f>
        <v>34929.75</v>
      </c>
      <c r="J68" s="53">
        <f t="shared" si="4"/>
        <v>0.1066557251908397</v>
      </c>
      <c r="K68" s="53">
        <f t="shared" si="6"/>
        <v>0.38826255985016273</v>
      </c>
      <c r="L68" s="54">
        <f>IF(ISERROR(INDEX(data!$A$12:$AI$213,MATCH(HLOOKUP('II. Sledování projektu'!$L$5,vstupy!$N$2:$BY$180,$B68+1,0),data!$B$12:$B$213,0),32)),"",INDEX(data!$A$12:$AI$213,MATCH(HLOOKUP('II. Sledování projektu'!$L$5,vstupy!$N$2:$BY$180,$B68+1,0),data!$B$12:$B$213,0),32))</f>
        <v>27715.51</v>
      </c>
      <c r="M68" s="53">
        <f t="shared" si="7"/>
        <v>0.44241990535277531</v>
      </c>
      <c r="N68" s="54">
        <f>IF(ISERROR(VLOOKUP(C68,data!$C$12:$AD$213,28,0)),0,VLOOKUP(C68,data!$C$12:$AD$213,28,0))</f>
        <v>89964.25</v>
      </c>
    </row>
    <row r="69" spans="2:14" x14ac:dyDescent="0.2">
      <c r="B69" s="19">
        <f t="shared" si="5"/>
        <v>64</v>
      </c>
      <c r="C69" s="19" t="str">
        <f>IF(ISERROR(INDEX(data!$A$12:$AI$213,MATCH(HLOOKUP('II. Sledování projektu'!$L$5,vstupy!$N$2:$BY$180,$B69+1,0),data!$B$12:$B$213,0),3)),"",INDEX(data!$A$12:$AI$213,MATCH(HLOOKUP('II. Sledování projektu'!$L$5,vstupy!$N$2:$BY$180,$B69+1,0),data!$B$12:$B$213,0),3))</f>
        <v>MŠ O-Poruba, Dětská</v>
      </c>
      <c r="D69" s="156">
        <f>IF(ISERROR(INDEX(data!$A$12:$AI$213,MATCH(HLOOKUP('II. Sledování projektu'!$L$5,vstupy!$N$2:$BY$180,$B69+1,0),data!$B$12:$B$213,0),35)),"",INDEX(data!$A$12:$AI$213,MATCH(HLOOKUP('II. Sledování projektu'!$L$5,vstupy!$N$2:$BY$180,$B69+1,0),data!$B$12:$B$213,0),35))</f>
        <v>82.738241213618011</v>
      </c>
      <c r="E69" s="49">
        <f>IF(ISERROR(INDEX(data!$A$12:$AI$213,MATCH(HLOOKUP('II. Sledování projektu'!$L$5,vstupy!$N$2:$BY$180,$B69+1,0),data!$B$12:$B$213,0),27)),"",INDEX(data!$A$12:$AI$213,MATCH(HLOOKUP('II. Sledování projektu'!$L$5,vstupy!$N$2:$BY$180,$B69+1,0),data!$B$12:$B$213,0),27))</f>
        <v>1202439.8500000001</v>
      </c>
      <c r="F69" s="54">
        <f>IF(ISERROR(INDEX(data!$A$12:$AI$213,MATCH(HLOOKUP('II. Sledování projektu'!$L$5,vstupy!$N$2:$BY$180,$B69+1,0),data!$B$12:$B$213,0),28)),"",INDEX(data!$A$12:$AI$213,MATCH(HLOOKUP('II. Sledování projektu'!$L$5,vstupy!$N$2:$BY$180,$B69+1,0),data!$B$12:$B$213,0),28))</f>
        <v>563684.49</v>
      </c>
      <c r="G69" s="53">
        <f t="shared" si="3"/>
        <v>0.46878393958749781</v>
      </c>
      <c r="H69" s="53">
        <f>IF(ISERROR(INDEX(data!$A$12:$AI$213,MATCH(HLOOKUP('II. Sledování projektu'!$L$5,vstupy!$N$2:$BY$180,$B69+1,0),data!$B$12:$B$213,0),29)),"",INDEX(data!$A$12:$AI$213,MATCH(HLOOKUP('II. Sledování projektu'!$L$5,vstupy!$N$2:$BY$180,$B69+1,0),data!$B$12:$B$213,0),29))</f>
        <v>0.23039999999999999</v>
      </c>
      <c r="I69" s="54">
        <f>IF(ISERROR(INDEX(data!$A$12:$AI$213,MATCH(HLOOKUP('II. Sledování projektu'!$L$5,vstupy!$N$2:$BY$180,$B69+1,0),data!$B$12:$B$213,0),31)),"",INDEX(data!$A$12:$AI$213,MATCH(HLOOKUP('II. Sledování projektu'!$L$5,vstupy!$N$2:$BY$180,$B69+1,0),data!$B$12:$B$213,0),31))</f>
        <v>273805.57</v>
      </c>
      <c r="J69" s="53">
        <f t="shared" si="4"/>
        <v>0.22770832985949357</v>
      </c>
      <c r="K69" s="53">
        <f t="shared" si="6"/>
        <v>0.98831740390405198</v>
      </c>
      <c r="L69" s="54">
        <f>IF(ISERROR(INDEX(data!$A$12:$AI$213,MATCH(HLOOKUP('II. Sledování projektu'!$L$5,vstupy!$N$2:$BY$180,$B69+1,0),data!$B$12:$B$213,0),32)),"",INDEX(data!$A$12:$AI$213,MATCH(HLOOKUP('II. Sledování projektu'!$L$5,vstupy!$N$2:$BY$180,$B69+1,0),data!$B$12:$B$213,0),32))</f>
        <v>93726.63</v>
      </c>
      <c r="M69" s="53">
        <f t="shared" si="7"/>
        <v>0.25501610471136948</v>
      </c>
      <c r="N69" s="54">
        <f>IF(ISERROR(VLOOKUP(C69,data!$C$12:$AD$213,28,0)),0,VLOOKUP(C69,data!$C$12:$AD$213,28,0))</f>
        <v>277042.14144000004</v>
      </c>
    </row>
    <row r="70" spans="2:14" x14ac:dyDescent="0.2">
      <c r="B70" s="19">
        <f t="shared" si="5"/>
        <v>65</v>
      </c>
      <c r="C70" s="19" t="str">
        <f>IF(ISERROR(INDEX(data!$A$12:$AI$213,MATCH(HLOOKUP('II. Sledování projektu'!$L$5,vstupy!$N$2:$BY$180,$B70+1,0),data!$B$12:$B$213,0),3)),"",INDEX(data!$A$12:$AI$213,MATCH(HLOOKUP('II. Sledování projektu'!$L$5,vstupy!$N$2:$BY$180,$B70+1,0),data!$B$12:$B$213,0),3))</f>
        <v>MŠ O-Poruba, Dvorní</v>
      </c>
      <c r="D70" s="156">
        <f>IF(ISERROR(INDEX(data!$A$12:$AI$213,MATCH(HLOOKUP('II. Sledování projektu'!$L$5,vstupy!$N$2:$BY$180,$B70+1,0),data!$B$12:$B$213,0),35)),"",INDEX(data!$A$12:$AI$213,MATCH(HLOOKUP('II. Sledování projektu'!$L$5,vstupy!$N$2:$BY$180,$B70+1,0),data!$B$12:$B$213,0),35))</f>
        <v>75.21790844155845</v>
      </c>
      <c r="E70" s="49">
        <f>IF(ISERROR(INDEX(data!$A$12:$AI$213,MATCH(HLOOKUP('II. Sledování projektu'!$L$5,vstupy!$N$2:$BY$180,$B70+1,0),data!$B$12:$B$213,0),27)),"",INDEX(data!$A$12:$AI$213,MATCH(HLOOKUP('II. Sledování projektu'!$L$5,vstupy!$N$2:$BY$180,$B70+1,0),data!$B$12:$B$213,0),27))</f>
        <v>1540000</v>
      </c>
      <c r="F70" s="54">
        <f>IF(ISERROR(INDEX(data!$A$12:$AI$213,MATCH(HLOOKUP('II. Sledování projektu'!$L$5,vstupy!$N$2:$BY$180,$B70+1,0),data!$B$12:$B$213,0),28)),"",INDEX(data!$A$12:$AI$213,MATCH(HLOOKUP('II. Sledování projektu'!$L$5,vstupy!$N$2:$BY$180,$B70+1,0),data!$B$12:$B$213,0),28))</f>
        <v>468711.58</v>
      </c>
      <c r="G70" s="53">
        <f t="shared" si="3"/>
        <v>0.30435816883116884</v>
      </c>
      <c r="H70" s="53">
        <f>IF(ISERROR(INDEX(data!$A$12:$AI$213,MATCH(HLOOKUP('II. Sledování projektu'!$L$5,vstupy!$N$2:$BY$180,$B70+1,0),data!$B$12:$B$213,0),29)),"",INDEX(data!$A$12:$AI$213,MATCH(HLOOKUP('II. Sledování projektu'!$L$5,vstupy!$N$2:$BY$180,$B70+1,0),data!$B$12:$B$213,0),29))</f>
        <v>0.35039999999999999</v>
      </c>
      <c r="I70" s="54">
        <f>IF(ISERROR(INDEX(data!$A$12:$AI$213,MATCH(HLOOKUP('II. Sledování projektu'!$L$5,vstupy!$N$2:$BY$180,$B70+1,0),data!$B$12:$B$213,0),31)),"",INDEX(data!$A$12:$AI$213,MATCH(HLOOKUP('II. Sledování projektu'!$L$5,vstupy!$N$2:$BY$180,$B70+1,0),data!$B$12:$B$213,0),31))</f>
        <v>555761.47</v>
      </c>
      <c r="J70" s="53">
        <f t="shared" si="4"/>
        <v>0.36088407142857143</v>
      </c>
      <c r="K70" s="53">
        <f t="shared" si="6"/>
        <v>1.0299202951728637</v>
      </c>
      <c r="L70" s="54">
        <f>IF(ISERROR(INDEX(data!$A$12:$AI$213,MATCH(HLOOKUP('II. Sledování projektu'!$L$5,vstupy!$N$2:$BY$180,$B70+1,0),data!$B$12:$B$213,0),32)),"",INDEX(data!$A$12:$AI$213,MATCH(HLOOKUP('II. Sledování projektu'!$L$5,vstupy!$N$2:$BY$180,$B70+1,0),data!$B$12:$B$213,0),32))</f>
        <v>175571.45</v>
      </c>
      <c r="M70" s="53">
        <f t="shared" ref="M70:M101" si="8">IF(ISERROR(L70/I70),0,IF(uspora="A",L70/I70,L70/(I70+L70)))</f>
        <v>0.24007048663965522</v>
      </c>
      <c r="N70" s="54">
        <f>IF(ISERROR(VLOOKUP(C70,data!$C$12:$AD$213,28,0)),0,VLOOKUP(C70,data!$C$12:$AD$213,28,0))</f>
        <v>539616</v>
      </c>
    </row>
    <row r="71" spans="2:14" x14ac:dyDescent="0.2">
      <c r="B71" s="19">
        <f t="shared" si="5"/>
        <v>66</v>
      </c>
      <c r="C71" s="19" t="str">
        <f>IF(ISERROR(INDEX(data!$A$12:$AI$213,MATCH(HLOOKUP('II. Sledování projektu'!$L$5,vstupy!$N$2:$BY$180,$B71+1,0),data!$B$12:$B$213,0),3)),"",INDEX(data!$A$12:$AI$213,MATCH(HLOOKUP('II. Sledování projektu'!$L$5,vstupy!$N$2:$BY$180,$B71+1,0),data!$B$12:$B$213,0),3))</f>
        <v>MŠ O-Poruba, J.Šoupala</v>
      </c>
      <c r="D71" s="156">
        <f>IF(ISERROR(INDEX(data!$A$12:$AI$213,MATCH(HLOOKUP('II. Sledování projektu'!$L$5,vstupy!$N$2:$BY$180,$B71+1,0),data!$B$12:$B$213,0),35)),"",INDEX(data!$A$12:$AI$213,MATCH(HLOOKUP('II. Sledování projektu'!$L$5,vstupy!$N$2:$BY$180,$B71+1,0),data!$B$12:$B$213,0),35))</f>
        <v>85.438929840142094</v>
      </c>
      <c r="E71" s="49">
        <f>IF(ISERROR(INDEX(data!$A$12:$AI$213,MATCH(HLOOKUP('II. Sledování projektu'!$L$5,vstupy!$N$2:$BY$180,$B71+1,0),data!$B$12:$B$213,0),27)),"",INDEX(data!$A$12:$AI$213,MATCH(HLOOKUP('II. Sledování projektu'!$L$5,vstupy!$N$2:$BY$180,$B71+1,0),data!$B$12:$B$213,0),27))</f>
        <v>1689000</v>
      </c>
      <c r="F71" s="54">
        <f>IF(ISERROR(INDEX(data!$A$12:$AI$213,MATCH(HLOOKUP('II. Sledování projektu'!$L$5,vstupy!$N$2:$BY$180,$B71+1,0),data!$B$12:$B$213,0),28)),"",INDEX(data!$A$12:$AI$213,MATCH(HLOOKUP('II. Sledování projektu'!$L$5,vstupy!$N$2:$BY$180,$B71+1,0),data!$B$12:$B$213,0),28))</f>
        <v>859327.05</v>
      </c>
      <c r="G71" s="53">
        <f t="shared" ref="G71:G134" si="9">IF(ISERROR(F71/E71),0,F71/E71)</f>
        <v>0.50877859680284199</v>
      </c>
      <c r="H71" s="53">
        <f>IF(ISERROR(INDEX(data!$A$12:$AI$213,MATCH(HLOOKUP('II. Sledování projektu'!$L$5,vstupy!$N$2:$BY$180,$B71+1,0),data!$B$12:$B$213,0),29)),"",INDEX(data!$A$12:$AI$213,MATCH(HLOOKUP('II. Sledování projektu'!$L$5,vstupy!$N$2:$BY$180,$B71+1,0),data!$B$12:$B$213,0),29))</f>
        <v>0.24890000000000001</v>
      </c>
      <c r="I71" s="54">
        <f>IF(ISERROR(INDEX(data!$A$12:$AI$213,MATCH(HLOOKUP('II. Sledování projektu'!$L$5,vstupy!$N$2:$BY$180,$B71+1,0),data!$B$12:$B$213,0),31)),"",INDEX(data!$A$12:$AI$213,MATCH(HLOOKUP('II. Sledování projektu'!$L$5,vstupy!$N$2:$BY$180,$B71+1,0),data!$B$12:$B$213,0),31))</f>
        <v>514108.32</v>
      </c>
      <c r="J71" s="53">
        <f t="shared" ref="J71:J134" si="10">IF(ISERROR(I71/(E71)),0,I71/(E71))</f>
        <v>0.30438621669626997</v>
      </c>
      <c r="K71" s="53">
        <f t="shared" si="6"/>
        <v>1.2229257400412614</v>
      </c>
      <c r="L71" s="54">
        <f>IF(ISERROR(INDEX(data!$A$12:$AI$213,MATCH(HLOOKUP('II. Sledování projektu'!$L$5,vstupy!$N$2:$BY$180,$B71+1,0),data!$B$12:$B$213,0),32)),"",INDEX(data!$A$12:$AI$213,MATCH(HLOOKUP('II. Sledování projektu'!$L$5,vstupy!$N$2:$BY$180,$B71+1,0),data!$B$12:$B$213,0),32))</f>
        <v>107894.57</v>
      </c>
      <c r="M71" s="53">
        <f t="shared" si="8"/>
        <v>0.17346313294460738</v>
      </c>
      <c r="N71" s="54">
        <f>IF(ISERROR(VLOOKUP(C71,data!$C$12:$AD$213,28,0)),0,VLOOKUP(C71,data!$C$12:$AD$213,28,0))</f>
        <v>420392.10000000003</v>
      </c>
    </row>
    <row r="72" spans="2:14" x14ac:dyDescent="0.2">
      <c r="B72" s="19">
        <f t="shared" ref="B72:B135" si="11">B71+1</f>
        <v>67</v>
      </c>
      <c r="C72" s="19" t="str">
        <f>IF(ISERROR(INDEX(data!$A$12:$AI$213,MATCH(HLOOKUP('II. Sledování projektu'!$L$5,vstupy!$N$2:$BY$180,$B72+1,0),data!$B$12:$B$213,0),3)),"",INDEX(data!$A$12:$AI$213,MATCH(HLOOKUP('II. Sledování projektu'!$L$5,vstupy!$N$2:$BY$180,$B72+1,0),data!$B$12:$B$213,0),3))</f>
        <v>MŠ O-Poruba, Nezvalovo nám.</v>
      </c>
      <c r="D72" s="156">
        <f>IF(ISERROR(INDEX(data!$A$12:$AI$213,MATCH(HLOOKUP('II. Sledování projektu'!$L$5,vstupy!$N$2:$BY$180,$B72+1,0),data!$B$12:$B$213,0),35)),"",INDEX(data!$A$12:$AI$213,MATCH(HLOOKUP('II. Sledování projektu'!$L$5,vstupy!$N$2:$BY$180,$B72+1,0),data!$B$12:$B$213,0),35))</f>
        <v>92.311880908865277</v>
      </c>
      <c r="E72" s="49">
        <f>IF(ISERROR(INDEX(data!$A$12:$AI$213,MATCH(HLOOKUP('II. Sledování projektu'!$L$5,vstupy!$N$2:$BY$180,$B72+1,0),data!$B$12:$B$213,0),27)),"",INDEX(data!$A$12:$AI$213,MATCH(HLOOKUP('II. Sledování projektu'!$L$5,vstupy!$N$2:$BY$180,$B72+1,0),data!$B$12:$B$213,0),27))</f>
        <v>1422000</v>
      </c>
      <c r="F72" s="54">
        <f>IF(ISERROR(INDEX(data!$A$12:$AI$213,MATCH(HLOOKUP('II. Sledování projektu'!$L$5,vstupy!$N$2:$BY$180,$B72+1,0),data!$B$12:$B$213,0),28)),"",INDEX(data!$A$12:$AI$213,MATCH(HLOOKUP('II. Sledování projektu'!$L$5,vstupy!$N$2:$BY$180,$B72+1,0),data!$B$12:$B$213,0),28))</f>
        <v>1687737.47</v>
      </c>
      <c r="G72" s="53">
        <f t="shared" si="9"/>
        <v>1.1868758579465541</v>
      </c>
      <c r="H72" s="53">
        <f>IF(ISERROR(INDEX(data!$A$12:$AI$213,MATCH(HLOOKUP('II. Sledování projektu'!$L$5,vstupy!$N$2:$BY$180,$B72+1,0),data!$B$12:$B$213,0),29)),"",INDEX(data!$A$12:$AI$213,MATCH(HLOOKUP('II. Sledování projektu'!$L$5,vstupy!$N$2:$BY$180,$B72+1,0),data!$B$12:$B$213,0),29))</f>
        <v>0.14960000000000001</v>
      </c>
      <c r="I72" s="54">
        <f>IF(ISERROR(INDEX(data!$A$12:$AI$213,MATCH(HLOOKUP('II. Sledování projektu'!$L$5,vstupy!$N$2:$BY$180,$B72+1,0),data!$B$12:$B$213,0),31)),"",INDEX(data!$A$12:$AI$213,MATCH(HLOOKUP('II. Sledování projektu'!$L$5,vstupy!$N$2:$BY$180,$B72+1,0),data!$B$12:$B$213,0),31))</f>
        <v>185472.82</v>
      </c>
      <c r="J72" s="53">
        <f t="shared" si="10"/>
        <v>0.13043095639943741</v>
      </c>
      <c r="K72" s="53">
        <f t="shared" ref="K72:K135" si="12">IF(ISERROR(I72/(N72)),0,I72/(N72))</f>
        <v>0.87186468181442123</v>
      </c>
      <c r="L72" s="54">
        <f>IF(ISERROR(INDEX(data!$A$12:$AI$213,MATCH(HLOOKUP('II. Sledování projektu'!$L$5,vstupy!$N$2:$BY$180,$B72+1,0),data!$B$12:$B$213,0),32)),"",INDEX(data!$A$12:$AI$213,MATCH(HLOOKUP('II. Sledování projektu'!$L$5,vstupy!$N$2:$BY$180,$B72+1,0),data!$B$12:$B$213,0),32))</f>
        <v>47588.35</v>
      </c>
      <c r="M72" s="53">
        <f t="shared" si="8"/>
        <v>0.20418823950810852</v>
      </c>
      <c r="N72" s="54">
        <f>IF(ISERROR(VLOOKUP(C72,data!$C$12:$AD$213,28,0)),0,VLOOKUP(C72,data!$C$12:$AD$213,28,0))</f>
        <v>212731.2</v>
      </c>
    </row>
    <row r="73" spans="2:14" x14ac:dyDescent="0.2">
      <c r="B73" s="19">
        <f t="shared" si="11"/>
        <v>68</v>
      </c>
      <c r="C73" s="19" t="str">
        <f>IF(ISERROR(INDEX(data!$A$12:$AI$213,MATCH(HLOOKUP('II. Sledování projektu'!$L$5,vstupy!$N$2:$BY$180,$B73+1,0),data!$B$12:$B$213,0),3)),"",INDEX(data!$A$12:$AI$213,MATCH(HLOOKUP('II. Sledování projektu'!$L$5,vstupy!$N$2:$BY$180,$B73+1,0),data!$B$12:$B$213,0),3))</f>
        <v>MŠ O-Poruba, Oty Synka</v>
      </c>
      <c r="D73" s="156">
        <f>IF(ISERROR(INDEX(data!$A$12:$AI$213,MATCH(HLOOKUP('II. Sledování projektu'!$L$5,vstupy!$N$2:$BY$180,$B73+1,0),data!$B$12:$B$213,0),35)),"",INDEX(data!$A$12:$AI$213,MATCH(HLOOKUP('II. Sledování projektu'!$L$5,vstupy!$N$2:$BY$180,$B73+1,0),data!$B$12:$B$213,0),35))</f>
        <v>61.009258025555575</v>
      </c>
      <c r="E73" s="49">
        <f>IF(ISERROR(INDEX(data!$A$12:$AI$213,MATCH(HLOOKUP('II. Sledování projektu'!$L$5,vstupy!$N$2:$BY$180,$B73+1,0),data!$B$12:$B$213,0),27)),"",INDEX(data!$A$12:$AI$213,MATCH(HLOOKUP('II. Sledování projektu'!$L$5,vstupy!$N$2:$BY$180,$B73+1,0),data!$B$12:$B$213,0),27))</f>
        <v>1731000</v>
      </c>
      <c r="F73" s="54">
        <f>IF(ISERROR(INDEX(data!$A$12:$AI$213,MATCH(HLOOKUP('II. Sledování projektu'!$L$5,vstupy!$N$2:$BY$180,$B73+1,0),data!$B$12:$B$213,0),28)),"",INDEX(data!$A$12:$AI$213,MATCH(HLOOKUP('II. Sledování projektu'!$L$5,vstupy!$N$2:$BY$180,$B73+1,0),data!$B$12:$B$213,0),28))</f>
        <v>405980.73</v>
      </c>
      <c r="G73" s="53">
        <f t="shared" si="9"/>
        <v>0.2345353726169844</v>
      </c>
      <c r="H73" s="53">
        <f>IF(ISERROR(INDEX(data!$A$12:$AI$213,MATCH(HLOOKUP('II. Sledování projektu'!$L$5,vstupy!$N$2:$BY$180,$B73+1,0),data!$B$12:$B$213,0),29)),"",INDEX(data!$A$12:$AI$213,MATCH(HLOOKUP('II. Sledování projektu'!$L$5,vstupy!$N$2:$BY$180,$B73+1,0),data!$B$12:$B$213,0),29))</f>
        <v>0.27629999999999999</v>
      </c>
      <c r="I73" s="54">
        <f>IF(ISERROR(INDEX(data!$A$12:$AI$213,MATCH(HLOOKUP('II. Sledování projektu'!$L$5,vstupy!$N$2:$BY$180,$B73+1,0),data!$B$12:$B$213,0),31)),"",INDEX(data!$A$12:$AI$213,MATCH(HLOOKUP('II. Sledování projektu'!$L$5,vstupy!$N$2:$BY$180,$B73+1,0),data!$B$12:$B$213,0),31))</f>
        <v>392843.29</v>
      </c>
      <c r="J73" s="53">
        <f t="shared" si="10"/>
        <v>0.22694586366262276</v>
      </c>
      <c r="K73" s="53">
        <f t="shared" si="12"/>
        <v>0.82137482324510591</v>
      </c>
      <c r="L73" s="54">
        <f>IF(ISERROR(INDEX(data!$A$12:$AI$213,MATCH(HLOOKUP('II. Sledování projektu'!$L$5,vstupy!$N$2:$BY$180,$B73+1,0),data!$B$12:$B$213,0),32)),"",INDEX(data!$A$12:$AI$213,MATCH(HLOOKUP('II. Sledování projektu'!$L$5,vstupy!$N$2:$BY$180,$B73+1,0),data!$B$12:$B$213,0),32))</f>
        <v>92831.86</v>
      </c>
      <c r="M73" s="53">
        <f t="shared" si="8"/>
        <v>0.19113981845684302</v>
      </c>
      <c r="N73" s="54">
        <f>IF(ISERROR(VLOOKUP(C73,data!$C$12:$AD$213,28,0)),0,VLOOKUP(C73,data!$C$12:$AD$213,28,0))</f>
        <v>478275.3</v>
      </c>
    </row>
    <row r="74" spans="2:14" x14ac:dyDescent="0.2">
      <c r="B74" s="19">
        <f t="shared" si="11"/>
        <v>69</v>
      </c>
      <c r="C74" s="19" t="str">
        <f>IF(ISERROR(INDEX(data!$A$12:$AI$213,MATCH(HLOOKUP('II. Sledování projektu'!$L$5,vstupy!$N$2:$BY$180,$B74+1,0),data!$B$12:$B$213,0),3)),"",INDEX(data!$A$12:$AI$213,MATCH(HLOOKUP('II. Sledování projektu'!$L$5,vstupy!$N$2:$BY$180,$B74+1,0),data!$B$12:$B$213,0),3))</f>
        <v>MŠ O-Poruba, Sokolovská</v>
      </c>
      <c r="D74" s="156">
        <f>IF(ISERROR(INDEX(data!$A$12:$AI$213,MATCH(HLOOKUP('II. Sledování projektu'!$L$5,vstupy!$N$2:$BY$180,$B74+1,0),data!$B$12:$B$213,0),35)),"",INDEX(data!$A$12:$AI$213,MATCH(HLOOKUP('II. Sledování projektu'!$L$5,vstupy!$N$2:$BY$180,$B74+1,0),data!$B$12:$B$213,0),35))</f>
        <v>38.808230066577458</v>
      </c>
      <c r="E74" s="49">
        <f>IF(ISERROR(INDEX(data!$A$12:$AI$213,MATCH(HLOOKUP('II. Sledování projektu'!$L$5,vstupy!$N$2:$BY$180,$B74+1,0),data!$B$12:$B$213,0),27)),"",INDEX(data!$A$12:$AI$213,MATCH(HLOOKUP('II. Sledování projektu'!$L$5,vstupy!$N$2:$BY$180,$B74+1,0),data!$B$12:$B$213,0),27))</f>
        <v>1673000</v>
      </c>
      <c r="F74" s="54">
        <f>IF(ISERROR(INDEX(data!$A$12:$AI$213,MATCH(HLOOKUP('II. Sledování projektu'!$L$5,vstupy!$N$2:$BY$180,$B74+1,0),data!$B$12:$B$213,0),28)),"",INDEX(data!$A$12:$AI$213,MATCH(HLOOKUP('II. Sledování projektu'!$L$5,vstupy!$N$2:$BY$180,$B74+1,0),data!$B$12:$B$213,0),28))</f>
        <v>465796.25</v>
      </c>
      <c r="G74" s="53">
        <f t="shared" si="9"/>
        <v>0.2784197549312612</v>
      </c>
      <c r="H74" s="53">
        <f>IF(ISERROR(INDEX(data!$A$12:$AI$213,MATCH(HLOOKUP('II. Sledování projektu'!$L$5,vstupy!$N$2:$BY$180,$B74+1,0),data!$B$12:$B$213,0),29)),"",INDEX(data!$A$12:$AI$213,MATCH(HLOOKUP('II. Sledování projektu'!$L$5,vstupy!$N$2:$BY$180,$B74+1,0),data!$B$12:$B$213,0),29))</f>
        <v>0.23119999999999999</v>
      </c>
      <c r="I74" s="54">
        <f>IF(ISERROR(INDEX(data!$A$12:$AI$213,MATCH(HLOOKUP('II. Sledování projektu'!$L$5,vstupy!$N$2:$BY$180,$B74+1,0),data!$B$12:$B$213,0),31)),"",INDEX(data!$A$12:$AI$213,MATCH(HLOOKUP('II. Sledování projektu'!$L$5,vstupy!$N$2:$BY$180,$B74+1,0),data!$B$12:$B$213,0),31))</f>
        <v>160438.76</v>
      </c>
      <c r="J74" s="53">
        <f t="shared" si="10"/>
        <v>9.5898840406455479E-2</v>
      </c>
      <c r="K74" s="53">
        <f t="shared" si="12"/>
        <v>0.41478737200023996</v>
      </c>
      <c r="L74" s="54">
        <f>IF(ISERROR(INDEX(data!$A$12:$AI$213,MATCH(HLOOKUP('II. Sledování projektu'!$L$5,vstupy!$N$2:$BY$180,$B74+1,0),data!$B$12:$B$213,0),32)),"",INDEX(data!$A$12:$AI$213,MATCH(HLOOKUP('II. Sledování projektu'!$L$5,vstupy!$N$2:$BY$180,$B74+1,0),data!$B$12:$B$213,0),32))</f>
        <v>42346.22</v>
      </c>
      <c r="M74" s="53">
        <f t="shared" si="8"/>
        <v>0.20882325702820789</v>
      </c>
      <c r="N74" s="54">
        <f>IF(ISERROR(VLOOKUP(C74,data!$C$12:$AD$213,28,0)),0,VLOOKUP(C74,data!$C$12:$AD$213,28,0))</f>
        <v>386797.6</v>
      </c>
    </row>
    <row r="75" spans="2:14" x14ac:dyDescent="0.2">
      <c r="B75" s="19">
        <f t="shared" si="11"/>
        <v>70</v>
      </c>
      <c r="C75" s="19" t="str">
        <f>IF(ISERROR(INDEX(data!$A$12:$AI$213,MATCH(HLOOKUP('II. Sledování projektu'!$L$5,vstupy!$N$2:$BY$180,$B75+1,0),data!$B$12:$B$213,0),3)),"",INDEX(data!$A$12:$AI$213,MATCH(HLOOKUP('II. Sledování projektu'!$L$5,vstupy!$N$2:$BY$180,$B75+1,0),data!$B$12:$B$213,0),3))</f>
        <v>MŠ O-Poruba, Ukrajinská</v>
      </c>
      <c r="D75" s="156">
        <f>IF(ISERROR(INDEX(data!$A$12:$AI$213,MATCH(HLOOKUP('II. Sledování projektu'!$L$5,vstupy!$N$2:$BY$180,$B75+1,0),data!$B$12:$B$213,0),35)),"",INDEX(data!$A$12:$AI$213,MATCH(HLOOKUP('II. Sledování projektu'!$L$5,vstupy!$N$2:$BY$180,$B75+1,0),data!$B$12:$B$213,0),35))</f>
        <v>84.686104276473031</v>
      </c>
      <c r="E75" s="49">
        <f>IF(ISERROR(INDEX(data!$A$12:$AI$213,MATCH(HLOOKUP('II. Sledování projektu'!$L$5,vstupy!$N$2:$BY$180,$B75+1,0),data!$B$12:$B$213,0),27)),"",INDEX(data!$A$12:$AI$213,MATCH(HLOOKUP('II. Sledování projektu'!$L$5,vstupy!$N$2:$BY$180,$B75+1,0),data!$B$12:$B$213,0),27))</f>
        <v>971195</v>
      </c>
      <c r="F75" s="54">
        <f>IF(ISERROR(INDEX(data!$A$12:$AI$213,MATCH(HLOOKUP('II. Sledování projektu'!$L$5,vstupy!$N$2:$BY$180,$B75+1,0),data!$B$12:$B$213,0),28)),"",INDEX(data!$A$12:$AI$213,MATCH(HLOOKUP('II. Sledování projektu'!$L$5,vstupy!$N$2:$BY$180,$B75+1,0),data!$B$12:$B$213,0),28))</f>
        <v>709950.76</v>
      </c>
      <c r="G75" s="53">
        <f t="shared" si="9"/>
        <v>0.73100742899211801</v>
      </c>
      <c r="H75" s="53">
        <f>IF(ISERROR(INDEX(data!$A$12:$AI$213,MATCH(HLOOKUP('II. Sledování projektu'!$L$5,vstupy!$N$2:$BY$180,$B75+1,0),data!$B$12:$B$213,0),29)),"",INDEX(data!$A$12:$AI$213,MATCH(HLOOKUP('II. Sledování projektu'!$L$5,vstupy!$N$2:$BY$180,$B75+1,0),data!$B$12:$B$213,0),29))</f>
        <v>0.25240000000000001</v>
      </c>
      <c r="I75" s="54">
        <f>IF(ISERROR(INDEX(data!$A$12:$AI$213,MATCH(HLOOKUP('II. Sledování projektu'!$L$5,vstupy!$N$2:$BY$180,$B75+1,0),data!$B$12:$B$213,0),31)),"",INDEX(data!$A$12:$AI$213,MATCH(HLOOKUP('II. Sledování projektu'!$L$5,vstupy!$N$2:$BY$180,$B75+1,0),data!$B$12:$B$213,0),31))</f>
        <v>196658.23</v>
      </c>
      <c r="J75" s="53">
        <f t="shared" si="10"/>
        <v>0.20249098275835442</v>
      </c>
      <c r="K75" s="53">
        <f t="shared" si="12"/>
        <v>0.80226221378111884</v>
      </c>
      <c r="L75" s="54">
        <f>IF(ISERROR(INDEX(data!$A$12:$AI$213,MATCH(HLOOKUP('II. Sledování projektu'!$L$5,vstupy!$N$2:$BY$180,$B75+1,0),data!$B$12:$B$213,0),32)),"",INDEX(data!$A$12:$AI$213,MATCH(HLOOKUP('II. Sledování projektu'!$L$5,vstupy!$N$2:$BY$180,$B75+1,0),data!$B$12:$B$213,0),32))</f>
        <v>49348.52</v>
      </c>
      <c r="M75" s="53">
        <f t="shared" si="8"/>
        <v>0.20059823561751861</v>
      </c>
      <c r="N75" s="54">
        <f>IF(ISERROR(VLOOKUP(C75,data!$C$12:$AD$213,28,0)),0,VLOOKUP(C75,data!$C$12:$AD$213,28,0))</f>
        <v>245129.61800000002</v>
      </c>
    </row>
    <row r="76" spans="2:14" x14ac:dyDescent="0.2">
      <c r="B76" s="19">
        <f t="shared" si="11"/>
        <v>71</v>
      </c>
      <c r="C76" s="19" t="str">
        <f>IF(ISERROR(INDEX(data!$A$12:$AI$213,MATCH(HLOOKUP('II. Sledování projektu'!$L$5,vstupy!$N$2:$BY$180,$B76+1,0),data!$B$12:$B$213,0),3)),"",INDEX(data!$A$12:$AI$213,MATCH(HLOOKUP('II. Sledování projektu'!$L$5,vstupy!$N$2:$BY$180,$B76+1,0),data!$B$12:$B$213,0),3))</f>
        <v>MŠ O-Poruba, V.Makovského</v>
      </c>
      <c r="D76" s="156">
        <f>IF(ISERROR(INDEX(data!$A$12:$AI$213,MATCH(HLOOKUP('II. Sledování projektu'!$L$5,vstupy!$N$2:$BY$180,$B76+1,0),data!$B$12:$B$213,0),35)),"",INDEX(data!$A$12:$AI$213,MATCH(HLOOKUP('II. Sledování projektu'!$L$5,vstupy!$N$2:$BY$180,$B76+1,0),data!$B$12:$B$213,0),35))</f>
        <v>84.180122936120213</v>
      </c>
      <c r="E76" s="49">
        <f>IF(ISERROR(INDEX(data!$A$12:$AI$213,MATCH(HLOOKUP('II. Sledování projektu'!$L$5,vstupy!$N$2:$BY$180,$B76+1,0),data!$B$12:$B$213,0),27)),"",INDEX(data!$A$12:$AI$213,MATCH(HLOOKUP('II. Sledování projektu'!$L$5,vstupy!$N$2:$BY$180,$B76+1,0),data!$B$12:$B$213,0),27))</f>
        <v>1177500</v>
      </c>
      <c r="F76" s="54">
        <f>IF(ISERROR(INDEX(data!$A$12:$AI$213,MATCH(HLOOKUP('II. Sledování projektu'!$L$5,vstupy!$N$2:$BY$180,$B76+1,0),data!$B$12:$B$213,0),28)),"",INDEX(data!$A$12:$AI$213,MATCH(HLOOKUP('II. Sledování projektu'!$L$5,vstupy!$N$2:$BY$180,$B76+1,0),data!$B$12:$B$213,0),28))</f>
        <v>1321169.6099999999</v>
      </c>
      <c r="G76" s="53">
        <f t="shared" si="9"/>
        <v>1.122012407643312</v>
      </c>
      <c r="H76" s="53">
        <f>IF(ISERROR(INDEX(data!$A$12:$AI$213,MATCH(HLOOKUP('II. Sledování projektu'!$L$5,vstupy!$N$2:$BY$180,$B76+1,0),data!$B$12:$B$213,0),29)),"",INDEX(data!$A$12:$AI$213,MATCH(HLOOKUP('II. Sledování projektu'!$L$5,vstupy!$N$2:$BY$180,$B76+1,0),data!$B$12:$B$213,0),29))</f>
        <v>0.25750000000000001</v>
      </c>
      <c r="I76" s="54">
        <f>IF(ISERROR(INDEX(data!$A$12:$AI$213,MATCH(HLOOKUP('II. Sledování projektu'!$L$5,vstupy!$N$2:$BY$180,$B76+1,0),data!$B$12:$B$213,0),31)),"",INDEX(data!$A$12:$AI$213,MATCH(HLOOKUP('II. Sledování projektu'!$L$5,vstupy!$N$2:$BY$180,$B76+1,0),data!$B$12:$B$213,0),31))</f>
        <v>223261.49</v>
      </c>
      <c r="J76" s="53">
        <f t="shared" si="10"/>
        <v>0.18960636093418259</v>
      </c>
      <c r="K76" s="53">
        <f t="shared" si="12"/>
        <v>0.73633538226867024</v>
      </c>
      <c r="L76" s="54">
        <f>IF(ISERROR(INDEX(data!$A$12:$AI$213,MATCH(HLOOKUP('II. Sledování projektu'!$L$5,vstupy!$N$2:$BY$180,$B76+1,0),data!$B$12:$B$213,0),32)),"",INDEX(data!$A$12:$AI$213,MATCH(HLOOKUP('II. Sledování projektu'!$L$5,vstupy!$N$2:$BY$180,$B76+1,0),data!$B$12:$B$213,0),32))</f>
        <v>81234.47</v>
      </c>
      <c r="M76" s="53">
        <f t="shared" si="8"/>
        <v>0.26678340822649999</v>
      </c>
      <c r="N76" s="54">
        <f>IF(ISERROR(VLOOKUP(C76,data!$C$12:$AD$213,28,0)),0,VLOOKUP(C76,data!$C$12:$AD$213,28,0))</f>
        <v>303206.25</v>
      </c>
    </row>
    <row r="77" spans="2:14" x14ac:dyDescent="0.2">
      <c r="B77" s="19">
        <f t="shared" si="11"/>
        <v>72</v>
      </c>
      <c r="C77" s="19" t="str">
        <f>IF(ISERROR(INDEX(data!$A$12:$AI$213,MATCH(HLOOKUP('II. Sledování projektu'!$L$5,vstupy!$N$2:$BY$180,$B77+1,0),data!$B$12:$B$213,0),3)),"",INDEX(data!$A$12:$AI$213,MATCH(HLOOKUP('II. Sledování projektu'!$L$5,vstupy!$N$2:$BY$180,$B77+1,0),data!$B$12:$B$213,0),3))</f>
        <v>MŠ O-Radvanice</v>
      </c>
      <c r="D77" s="156">
        <f>IF(ISERROR(INDEX(data!$A$12:$AI$213,MATCH(HLOOKUP('II. Sledování projektu'!$L$5,vstupy!$N$2:$BY$180,$B77+1,0),data!$B$12:$B$213,0),35)),"",INDEX(data!$A$12:$AI$213,MATCH(HLOOKUP('II. Sledování projektu'!$L$5,vstupy!$N$2:$BY$180,$B77+1,0),data!$B$12:$B$213,0),35))</f>
        <v>22.499759384028543</v>
      </c>
      <c r="E77" s="49">
        <f>IF(ISERROR(INDEX(data!$A$12:$AI$213,MATCH(HLOOKUP('II. Sledování projektu'!$L$5,vstupy!$N$2:$BY$180,$B77+1,0),data!$B$12:$B$213,0),27)),"",INDEX(data!$A$12:$AI$213,MATCH(HLOOKUP('II. Sledování projektu'!$L$5,vstupy!$N$2:$BY$180,$B77+1,0),data!$B$12:$B$213,0),27))</f>
        <v>942850</v>
      </c>
      <c r="F77" s="54">
        <f>IF(ISERROR(INDEX(data!$A$12:$AI$213,MATCH(HLOOKUP('II. Sledování projektu'!$L$5,vstupy!$N$2:$BY$180,$B77+1,0),data!$B$12:$B$213,0),28)),"",INDEX(data!$A$12:$AI$213,MATCH(HLOOKUP('II. Sledování projektu'!$L$5,vstupy!$N$2:$BY$180,$B77+1,0),data!$B$12:$B$213,0),28))</f>
        <v>15799.92</v>
      </c>
      <c r="G77" s="53">
        <f t="shared" si="9"/>
        <v>1.6757617860741369E-2</v>
      </c>
      <c r="H77" s="53">
        <f>IF(ISERROR(INDEX(data!$A$12:$AI$213,MATCH(HLOOKUP('II. Sledování projektu'!$L$5,vstupy!$N$2:$BY$180,$B77+1,0),data!$B$12:$B$213,0),29)),"",INDEX(data!$A$12:$AI$213,MATCH(HLOOKUP('II. Sledování projektu'!$L$5,vstupy!$N$2:$BY$180,$B77+1,0),data!$B$12:$B$213,0),29))</f>
        <v>0.3372</v>
      </c>
      <c r="I77" s="54">
        <f>IF(ISERROR(INDEX(data!$A$12:$AI$213,MATCH(HLOOKUP('II. Sledování projektu'!$L$5,vstupy!$N$2:$BY$180,$B77+1,0),data!$B$12:$B$213,0),31)),"",INDEX(data!$A$12:$AI$213,MATCH(HLOOKUP('II. Sledování projektu'!$L$5,vstupy!$N$2:$BY$180,$B77+1,0),data!$B$12:$B$213,0),31))</f>
        <v>114782.33</v>
      </c>
      <c r="J77" s="53">
        <f t="shared" si="10"/>
        <v>0.12173975711937211</v>
      </c>
      <c r="K77" s="53">
        <f t="shared" si="12"/>
        <v>0.36103130818319129</v>
      </c>
      <c r="L77" s="54">
        <f>IF(ISERROR(INDEX(data!$A$12:$AI$213,MATCH(HLOOKUP('II. Sledování projektu'!$L$5,vstupy!$N$2:$BY$180,$B77+1,0),data!$B$12:$B$213,0),32)),"",INDEX(data!$A$12:$AI$213,MATCH(HLOOKUP('II. Sledování projektu'!$L$5,vstupy!$N$2:$BY$180,$B77+1,0),data!$B$12:$B$213,0),32))</f>
        <v>80178.100000000006</v>
      </c>
      <c r="M77" s="53">
        <f t="shared" si="8"/>
        <v>0.41125319635374219</v>
      </c>
      <c r="N77" s="54">
        <f>IF(ISERROR(VLOOKUP(C77,data!$C$12:$AD$213,28,0)),0,VLOOKUP(C77,data!$C$12:$AD$213,28,0))</f>
        <v>317929.02</v>
      </c>
    </row>
    <row r="78" spans="2:14" x14ac:dyDescent="0.2">
      <c r="B78" s="19">
        <f t="shared" si="11"/>
        <v>73</v>
      </c>
      <c r="C78" s="19" t="str">
        <f>IF(ISERROR(INDEX(data!$A$12:$AI$213,MATCH(HLOOKUP('II. Sledování projektu'!$L$5,vstupy!$N$2:$BY$180,$B78+1,0),data!$B$12:$B$213,0),3)),"",INDEX(data!$A$12:$AI$213,MATCH(HLOOKUP('II. Sledování projektu'!$L$5,vstupy!$N$2:$BY$180,$B78+1,0),data!$B$12:$B$213,0),3))</f>
        <v>MŠ O-Stará Bělá</v>
      </c>
      <c r="D78" s="156">
        <f>IF(ISERROR(INDEX(data!$A$12:$AI$213,MATCH(HLOOKUP('II. Sledování projektu'!$L$5,vstupy!$N$2:$BY$180,$B78+1,0),data!$B$12:$B$213,0),35)),"",INDEX(data!$A$12:$AI$213,MATCH(HLOOKUP('II. Sledování projektu'!$L$5,vstupy!$N$2:$BY$180,$B78+1,0),data!$B$12:$B$213,0),35))</f>
        <v>8.5519944558676908</v>
      </c>
      <c r="E78" s="49">
        <f>IF(ISERROR(INDEX(data!$A$12:$AI$213,MATCH(HLOOKUP('II. Sledování projektu'!$L$5,vstupy!$N$2:$BY$180,$B78+1,0),data!$B$12:$B$213,0),27)),"",INDEX(data!$A$12:$AI$213,MATCH(HLOOKUP('II. Sledování projektu'!$L$5,vstupy!$N$2:$BY$180,$B78+1,0),data!$B$12:$B$213,0),27))</f>
        <v>775500</v>
      </c>
      <c r="F78" s="54">
        <f>IF(ISERROR(INDEX(data!$A$12:$AI$213,MATCH(HLOOKUP('II. Sledování projektu'!$L$5,vstupy!$N$2:$BY$180,$B78+1,0),data!$B$12:$B$213,0),28)),"",INDEX(data!$A$12:$AI$213,MATCH(HLOOKUP('II. Sledování projektu'!$L$5,vstupy!$N$2:$BY$180,$B78+1,0),data!$B$12:$B$213,0),28))</f>
        <v>2209.42</v>
      </c>
      <c r="G78" s="53">
        <f t="shared" si="9"/>
        <v>2.8490264345583495E-3</v>
      </c>
      <c r="H78" s="53">
        <f>IF(ISERROR(INDEX(data!$A$12:$AI$213,MATCH(HLOOKUP('II. Sledování projektu'!$L$5,vstupy!$N$2:$BY$180,$B78+1,0),data!$B$12:$B$213,0),29)),"",INDEX(data!$A$12:$AI$213,MATCH(HLOOKUP('II. Sledování projektu'!$L$5,vstupy!$N$2:$BY$180,$B78+1,0),data!$B$12:$B$213,0),29))</f>
        <v>0.1142</v>
      </c>
      <c r="I78" s="54">
        <f>IF(ISERROR(INDEX(data!$A$12:$AI$213,MATCH(HLOOKUP('II. Sledování projektu'!$L$5,vstupy!$N$2:$BY$180,$B78+1,0),data!$B$12:$B$213,0),31)),"",INDEX(data!$A$12:$AI$213,MATCH(HLOOKUP('II. Sledování projektu'!$L$5,vstupy!$N$2:$BY$180,$B78+1,0),data!$B$12:$B$213,0),31))</f>
        <v>12412.78</v>
      </c>
      <c r="J78" s="53">
        <f t="shared" si="10"/>
        <v>1.6006163765312702E-2</v>
      </c>
      <c r="K78" s="53">
        <f t="shared" si="12"/>
        <v>0.14015905223566291</v>
      </c>
      <c r="L78" s="54">
        <f>IF(ISERROR(INDEX(data!$A$12:$AI$213,MATCH(HLOOKUP('II. Sledování projektu'!$L$5,vstupy!$N$2:$BY$180,$B78+1,0),data!$B$12:$B$213,0),32)),"",INDEX(data!$A$12:$AI$213,MATCH(HLOOKUP('II. Sledování projektu'!$L$5,vstupy!$N$2:$BY$180,$B78+1,0),data!$B$12:$B$213,0),32))</f>
        <v>8682.74</v>
      </c>
      <c r="M78" s="53">
        <f t="shared" si="8"/>
        <v>0.41159165547945725</v>
      </c>
      <c r="N78" s="54">
        <f>IF(ISERROR(VLOOKUP(C78,data!$C$12:$AD$213,28,0)),0,VLOOKUP(C78,data!$C$12:$AD$213,28,0))</f>
        <v>88562.099999999991</v>
      </c>
    </row>
    <row r="79" spans="2:14" x14ac:dyDescent="0.2">
      <c r="B79" s="19">
        <f t="shared" si="11"/>
        <v>74</v>
      </c>
      <c r="C79" s="19" t="str">
        <f>IF(ISERROR(INDEX(data!$A$12:$AI$213,MATCH(HLOOKUP('II. Sledování projektu'!$L$5,vstupy!$N$2:$BY$180,$B79+1,0),data!$B$12:$B$213,0),3)),"",INDEX(data!$A$12:$AI$213,MATCH(HLOOKUP('II. Sledování projektu'!$L$5,vstupy!$N$2:$BY$180,$B79+1,0),data!$B$12:$B$213,0),3))</f>
        <v>MŠ O-Vítkovice</v>
      </c>
      <c r="D79" s="156">
        <f>IF(ISERROR(INDEX(data!$A$12:$AI$213,MATCH(HLOOKUP('II. Sledování projektu'!$L$5,vstupy!$N$2:$BY$180,$B79+1,0),data!$B$12:$B$213,0),35)),"",INDEX(data!$A$12:$AI$213,MATCH(HLOOKUP('II. Sledování projektu'!$L$5,vstupy!$N$2:$BY$180,$B79+1,0),data!$B$12:$B$213,0),35))</f>
        <v>37.992299005379763</v>
      </c>
      <c r="E79" s="49">
        <f>IF(ISERROR(INDEX(data!$A$12:$AI$213,MATCH(HLOOKUP('II. Sledování projektu'!$L$5,vstupy!$N$2:$BY$180,$B79+1,0),data!$B$12:$B$213,0),27)),"",INDEX(data!$A$12:$AI$213,MATCH(HLOOKUP('II. Sledování projektu'!$L$5,vstupy!$N$2:$BY$180,$B79+1,0),data!$B$12:$B$213,0),27))</f>
        <v>973750</v>
      </c>
      <c r="F79" s="54">
        <f>IF(ISERROR(INDEX(data!$A$12:$AI$213,MATCH(HLOOKUP('II. Sledování projektu'!$L$5,vstupy!$N$2:$BY$180,$B79+1,0),data!$B$12:$B$213,0),28)),"",INDEX(data!$A$12:$AI$213,MATCH(HLOOKUP('II. Sledování projektu'!$L$5,vstupy!$N$2:$BY$180,$B79+1,0),data!$B$12:$B$213,0),28))</f>
        <v>12996.13</v>
      </c>
      <c r="G79" s="53">
        <f t="shared" si="9"/>
        <v>1.3346474967907572E-2</v>
      </c>
      <c r="H79" s="53">
        <f>IF(ISERROR(INDEX(data!$A$12:$AI$213,MATCH(HLOOKUP('II. Sledování projektu'!$L$5,vstupy!$N$2:$BY$180,$B79+1,0),data!$B$12:$B$213,0),29)),"",INDEX(data!$A$12:$AI$213,MATCH(HLOOKUP('II. Sledování projektu'!$L$5,vstupy!$N$2:$BY$180,$B79+1,0),data!$B$12:$B$213,0),29))</f>
        <v>0.26200000000000001</v>
      </c>
      <c r="I79" s="54">
        <f>IF(ISERROR(INDEX(data!$A$12:$AI$213,MATCH(HLOOKUP('II. Sledování projektu'!$L$5,vstupy!$N$2:$BY$180,$B79+1,0),data!$B$12:$B$213,0),31)),"",INDEX(data!$A$12:$AI$213,MATCH(HLOOKUP('II. Sledování projektu'!$L$5,vstupy!$N$2:$BY$180,$B79+1,0),data!$B$12:$B$213,0),31))</f>
        <v>158707.35</v>
      </c>
      <c r="J79" s="53">
        <f t="shared" si="10"/>
        <v>0.16298572528883185</v>
      </c>
      <c r="K79" s="53">
        <f t="shared" si="12"/>
        <v>0.62208292094973983</v>
      </c>
      <c r="L79" s="54">
        <f>IF(ISERROR(INDEX(data!$A$12:$AI$213,MATCH(HLOOKUP('II. Sledování projektu'!$L$5,vstupy!$N$2:$BY$180,$B79+1,0),data!$B$12:$B$213,0),32)),"",INDEX(data!$A$12:$AI$213,MATCH(HLOOKUP('II. Sledování projektu'!$L$5,vstupy!$N$2:$BY$180,$B79+1,0),data!$B$12:$B$213,0),32))</f>
        <v>112784.09</v>
      </c>
      <c r="M79" s="53">
        <f t="shared" si="8"/>
        <v>0.41542411060915951</v>
      </c>
      <c r="N79" s="54">
        <f>IF(ISERROR(VLOOKUP(C79,data!$C$12:$AD$213,28,0)),0,VLOOKUP(C79,data!$C$12:$AD$213,28,0))</f>
        <v>255122.5</v>
      </c>
    </row>
    <row r="80" spans="2:14" x14ac:dyDescent="0.2">
      <c r="B80" s="19">
        <f t="shared" si="11"/>
        <v>75</v>
      </c>
      <c r="C80" s="19" t="str">
        <f>IF(ISERROR(INDEX(data!$A$12:$AI$213,MATCH(HLOOKUP('II. Sledování projektu'!$L$5,vstupy!$N$2:$BY$180,$B80+1,0),data!$B$12:$B$213,0),3)),"",INDEX(data!$A$12:$AI$213,MATCH(HLOOKUP('II. Sledování projektu'!$L$5,vstupy!$N$2:$BY$180,$B80+1,0),data!$B$12:$B$213,0),3))</f>
        <v>MŠ Poděbradova</v>
      </c>
      <c r="D80" s="156">
        <f>IF(ISERROR(INDEX(data!$A$12:$AI$213,MATCH(HLOOKUP('II. Sledování projektu'!$L$5,vstupy!$N$2:$BY$180,$B80+1,0),data!$B$12:$B$213,0),35)),"",INDEX(data!$A$12:$AI$213,MATCH(HLOOKUP('II. Sledování projektu'!$L$5,vstupy!$N$2:$BY$180,$B80+1,0),data!$B$12:$B$213,0),35))</f>
        <v>34.758440913604773</v>
      </c>
      <c r="E80" s="49">
        <f>IF(ISERROR(INDEX(data!$A$12:$AI$213,MATCH(HLOOKUP('II. Sledování projektu'!$L$5,vstupy!$N$2:$BY$180,$B80+1,0),data!$B$12:$B$213,0),27)),"",INDEX(data!$A$12:$AI$213,MATCH(HLOOKUP('II. Sledování projektu'!$L$5,vstupy!$N$2:$BY$180,$B80+1,0),data!$B$12:$B$213,0),27))</f>
        <v>503500</v>
      </c>
      <c r="F80" s="54">
        <f>IF(ISERROR(INDEX(data!$A$12:$AI$213,MATCH(HLOOKUP('II. Sledování projektu'!$L$5,vstupy!$N$2:$BY$180,$B80+1,0),data!$B$12:$B$213,0),28)),"",INDEX(data!$A$12:$AI$213,MATCH(HLOOKUP('II. Sledování projektu'!$L$5,vstupy!$N$2:$BY$180,$B80+1,0),data!$B$12:$B$213,0),28))</f>
        <v>0</v>
      </c>
      <c r="G80" s="53">
        <f t="shared" si="9"/>
        <v>0</v>
      </c>
      <c r="H80" s="53">
        <f>IF(ISERROR(INDEX(data!$A$12:$AI$213,MATCH(HLOOKUP('II. Sledování projektu'!$L$5,vstupy!$N$2:$BY$180,$B80+1,0),data!$B$12:$B$213,0),29)),"",INDEX(data!$A$12:$AI$213,MATCH(HLOOKUP('II. Sledování projektu'!$L$5,vstupy!$N$2:$BY$180,$B80+1,0),data!$B$12:$B$213,0),29))</f>
        <v>0.24</v>
      </c>
      <c r="I80" s="54">
        <f>IF(ISERROR(INDEX(data!$A$12:$AI$213,MATCH(HLOOKUP('II. Sledování projektu'!$L$5,vstupy!$N$2:$BY$180,$B80+1,0),data!$B$12:$B$213,0),31)),"",INDEX(data!$A$12:$AI$213,MATCH(HLOOKUP('II. Sledování projektu'!$L$5,vstupy!$N$2:$BY$180,$B80+1,0),data!$B$12:$B$213,0),31))</f>
        <v>70003.5</v>
      </c>
      <c r="J80" s="53">
        <f t="shared" si="10"/>
        <v>0.13903376365441908</v>
      </c>
      <c r="K80" s="53">
        <f t="shared" si="12"/>
        <v>0.57930734856007948</v>
      </c>
      <c r="L80" s="54">
        <f>IF(ISERROR(INDEX(data!$A$12:$AI$213,MATCH(HLOOKUP('II. Sledování projektu'!$L$5,vstupy!$N$2:$BY$180,$B80+1,0),data!$B$12:$B$213,0),32)),"",INDEX(data!$A$12:$AI$213,MATCH(HLOOKUP('II. Sledování projektu'!$L$5,vstupy!$N$2:$BY$180,$B80+1,0),data!$B$12:$B$213,0),32))</f>
        <v>55393.38</v>
      </c>
      <c r="M80" s="53">
        <f t="shared" si="8"/>
        <v>0.44174448359480711</v>
      </c>
      <c r="N80" s="54">
        <f>IF(ISERROR(VLOOKUP(C80,data!$C$12:$AD$213,28,0)),0,VLOOKUP(C80,data!$C$12:$AD$213,28,0))</f>
        <v>120840</v>
      </c>
    </row>
    <row r="81" spans="2:14" x14ac:dyDescent="0.2">
      <c r="B81" s="19">
        <f t="shared" si="11"/>
        <v>76</v>
      </c>
      <c r="C81" s="19" t="str">
        <f>IF(ISERROR(INDEX(data!$A$12:$AI$213,MATCH(HLOOKUP('II. Sledování projektu'!$L$5,vstupy!$N$2:$BY$180,$B81+1,0),data!$B$12:$B$213,0),3)),"",INDEX(data!$A$12:$AI$213,MATCH(HLOOKUP('II. Sledování projektu'!$L$5,vstupy!$N$2:$BY$180,$B81+1,0),data!$B$12:$B$213,0),3))</f>
        <v>MŠ Polanka</v>
      </c>
      <c r="D81" s="156">
        <f>IF(ISERROR(INDEX(data!$A$12:$AI$213,MATCH(HLOOKUP('II. Sledování projektu'!$L$5,vstupy!$N$2:$BY$180,$B81+1,0),data!$B$12:$B$213,0),35)),"",INDEX(data!$A$12:$AI$213,MATCH(HLOOKUP('II. Sledování projektu'!$L$5,vstupy!$N$2:$BY$180,$B81+1,0),data!$B$12:$B$213,0),35))</f>
        <v>12.689538282822177</v>
      </c>
      <c r="E81" s="49">
        <f>IF(ISERROR(INDEX(data!$A$12:$AI$213,MATCH(HLOOKUP('II. Sledování projektu'!$L$5,vstupy!$N$2:$BY$180,$B81+1,0),data!$B$12:$B$213,0),27)),"",INDEX(data!$A$12:$AI$213,MATCH(HLOOKUP('II. Sledování projektu'!$L$5,vstupy!$N$2:$BY$180,$B81+1,0),data!$B$12:$B$213,0),27))</f>
        <v>874415.5</v>
      </c>
      <c r="F81" s="54">
        <f>IF(ISERROR(INDEX(data!$A$12:$AI$213,MATCH(HLOOKUP('II. Sledování projektu'!$L$5,vstupy!$N$2:$BY$180,$B81+1,0),data!$B$12:$B$213,0),28)),"",INDEX(data!$A$12:$AI$213,MATCH(HLOOKUP('II. Sledování projektu'!$L$5,vstupy!$N$2:$BY$180,$B81+1,0),data!$B$12:$B$213,0),28))</f>
        <v>14241.96</v>
      </c>
      <c r="G81" s="53">
        <f t="shared" si="9"/>
        <v>1.6287405701294177E-2</v>
      </c>
      <c r="H81" s="53">
        <f>IF(ISERROR(INDEX(data!$A$12:$AI$213,MATCH(HLOOKUP('II. Sledování projektu'!$L$5,vstupy!$N$2:$BY$180,$B81+1,0),data!$B$12:$B$213,0),29)),"",INDEX(data!$A$12:$AI$213,MATCH(HLOOKUP('II. Sledování projektu'!$L$5,vstupy!$N$2:$BY$180,$B81+1,0),data!$B$12:$B$213,0),29))</f>
        <v>0.23899999999999999</v>
      </c>
      <c r="I81" s="54">
        <f>IF(ISERROR(INDEX(data!$A$12:$AI$213,MATCH(HLOOKUP('II. Sledování projektu'!$L$5,vstupy!$N$2:$BY$180,$B81+1,0),data!$B$12:$B$213,0),31)),"",INDEX(data!$A$12:$AI$213,MATCH(HLOOKUP('II. Sledování projektu'!$L$5,vstupy!$N$2:$BY$180,$B81+1,0),data!$B$12:$B$213,0),31))</f>
        <v>41362.259999999995</v>
      </c>
      <c r="J81" s="53">
        <f t="shared" si="10"/>
        <v>4.7302752524400582E-2</v>
      </c>
      <c r="K81" s="53">
        <f t="shared" si="12"/>
        <v>0.19791946662929114</v>
      </c>
      <c r="L81" s="54">
        <f>IF(ISERROR(INDEX(data!$A$12:$AI$213,MATCH(HLOOKUP('II. Sledování projektu'!$L$5,vstupy!$N$2:$BY$180,$B81+1,0),data!$B$12:$B$213,0),32)),"",INDEX(data!$A$12:$AI$213,MATCH(HLOOKUP('II. Sledování projektu'!$L$5,vstupy!$N$2:$BY$180,$B81+1,0),data!$B$12:$B$213,0),32))</f>
        <v>26093.73</v>
      </c>
      <c r="M81" s="53">
        <f t="shared" si="8"/>
        <v>0.38682598832216386</v>
      </c>
      <c r="N81" s="54">
        <f>IF(ISERROR(VLOOKUP(C81,data!$C$12:$AD$213,28,0)),0,VLOOKUP(C81,data!$C$12:$AD$213,28,0))</f>
        <v>208985.3045</v>
      </c>
    </row>
    <row r="82" spans="2:14" x14ac:dyDescent="0.2">
      <c r="B82" s="19">
        <f t="shared" si="11"/>
        <v>77</v>
      </c>
      <c r="C82" s="19" t="str">
        <f>IF(ISERROR(INDEX(data!$A$12:$AI$213,MATCH(HLOOKUP('II. Sledování projektu'!$L$5,vstupy!$N$2:$BY$180,$B82+1,0),data!$B$12:$B$213,0),3)),"",INDEX(data!$A$12:$AI$213,MATCH(HLOOKUP('II. Sledování projektu'!$L$5,vstupy!$N$2:$BY$180,$B82+1,0),data!$B$12:$B$213,0),3))</f>
        <v>MŠ Repinova</v>
      </c>
      <c r="D82" s="156">
        <f>IF(ISERROR(INDEX(data!$A$12:$AI$213,MATCH(HLOOKUP('II. Sledování projektu'!$L$5,vstupy!$N$2:$BY$180,$B82+1,0),data!$B$12:$B$213,0),35)),"",INDEX(data!$A$12:$AI$213,MATCH(HLOOKUP('II. Sledování projektu'!$L$5,vstupy!$N$2:$BY$180,$B82+1,0),data!$B$12:$B$213,0),35))</f>
        <v>8.4480120623669031</v>
      </c>
      <c r="E82" s="49">
        <f>IF(ISERROR(INDEX(data!$A$12:$AI$213,MATCH(HLOOKUP('II. Sledování projektu'!$L$5,vstupy!$N$2:$BY$180,$B82+1,0),data!$B$12:$B$213,0),27)),"",INDEX(data!$A$12:$AI$213,MATCH(HLOOKUP('II. Sledování projektu'!$L$5,vstupy!$N$2:$BY$180,$B82+1,0),data!$B$12:$B$213,0),27))</f>
        <v>724000</v>
      </c>
      <c r="F82" s="54">
        <f>IF(ISERROR(INDEX(data!$A$12:$AI$213,MATCH(HLOOKUP('II. Sledování projektu'!$L$5,vstupy!$N$2:$BY$180,$B82+1,0),data!$B$12:$B$213,0),28)),"",INDEX(data!$A$12:$AI$213,MATCH(HLOOKUP('II. Sledování projektu'!$L$5,vstupy!$N$2:$BY$180,$B82+1,0),data!$B$12:$B$213,0),28))</f>
        <v>4455.84</v>
      </c>
      <c r="G82" s="53">
        <f t="shared" si="9"/>
        <v>6.1544751381215476E-3</v>
      </c>
      <c r="H82" s="53">
        <f>IF(ISERROR(INDEX(data!$A$12:$AI$213,MATCH(HLOOKUP('II. Sledování projektu'!$L$5,vstupy!$N$2:$BY$180,$B82+1,0),data!$B$12:$B$213,0),29)),"",INDEX(data!$A$12:$AI$213,MATCH(HLOOKUP('II. Sledování projektu'!$L$5,vstupy!$N$2:$BY$180,$B82+1,0),data!$B$12:$B$213,0),29))</f>
        <v>0.1484</v>
      </c>
      <c r="I82" s="54">
        <f>IF(ISERROR(INDEX(data!$A$12:$AI$213,MATCH(HLOOKUP('II. Sledování projektu'!$L$5,vstupy!$N$2:$BY$180,$B82+1,0),data!$B$12:$B$213,0),31)),"",INDEX(data!$A$12:$AI$213,MATCH(HLOOKUP('II. Sledování projektu'!$L$5,vstupy!$N$2:$BY$180,$B82+1,0),data!$B$12:$B$213,0),31))</f>
        <v>14576.76</v>
      </c>
      <c r="J82" s="53">
        <f t="shared" si="10"/>
        <v>2.013364640883978E-2</v>
      </c>
      <c r="K82" s="53">
        <f t="shared" si="12"/>
        <v>0.13567147175768043</v>
      </c>
      <c r="L82" s="54">
        <f>IF(ISERROR(INDEX(data!$A$12:$AI$213,MATCH(HLOOKUP('II. Sledování projektu'!$L$5,vstupy!$N$2:$BY$180,$B82+1,0),data!$B$12:$B$213,0),32)),"",INDEX(data!$A$12:$AI$213,MATCH(HLOOKUP('II. Sledování projektu'!$L$5,vstupy!$N$2:$BY$180,$B82+1,0),data!$B$12:$B$213,0),32))</f>
        <v>13252.470000000001</v>
      </c>
      <c r="M82" s="53">
        <f t="shared" si="8"/>
        <v>0.47620685157296838</v>
      </c>
      <c r="N82" s="54">
        <f>IF(ISERROR(VLOOKUP(C82,data!$C$12:$AD$213,28,0)),0,VLOOKUP(C82,data!$C$12:$AD$213,28,0))</f>
        <v>107441.60000000001</v>
      </c>
    </row>
    <row r="83" spans="2:14" x14ac:dyDescent="0.2">
      <c r="B83" s="19">
        <f t="shared" si="11"/>
        <v>78</v>
      </c>
      <c r="C83" s="19" t="str">
        <f>IF(ISERROR(INDEX(data!$A$12:$AI$213,MATCH(HLOOKUP('II. Sledování projektu'!$L$5,vstupy!$N$2:$BY$180,$B83+1,0),data!$B$12:$B$213,0),3)),"",INDEX(data!$A$12:$AI$213,MATCH(HLOOKUP('II. Sledování projektu'!$L$5,vstupy!$N$2:$BY$180,$B83+1,0),data!$B$12:$B$213,0),3))</f>
        <v>MŠ Sládečkova</v>
      </c>
      <c r="D83" s="156">
        <f>IF(ISERROR(INDEX(data!$A$12:$AI$213,MATCH(HLOOKUP('II. Sledování projektu'!$L$5,vstupy!$N$2:$BY$180,$B83+1,0),data!$B$12:$B$213,0),35)),"",INDEX(data!$A$12:$AI$213,MATCH(HLOOKUP('II. Sledování projektu'!$L$5,vstupy!$N$2:$BY$180,$B83+1,0),data!$B$12:$B$213,0),35))</f>
        <v>38.646437638903777</v>
      </c>
      <c r="E83" s="49">
        <f>IF(ISERROR(INDEX(data!$A$12:$AI$213,MATCH(HLOOKUP('II. Sledování projektu'!$L$5,vstupy!$N$2:$BY$180,$B83+1,0),data!$B$12:$B$213,0),27)),"",INDEX(data!$A$12:$AI$213,MATCH(HLOOKUP('II. Sledování projektu'!$L$5,vstupy!$N$2:$BY$180,$B83+1,0),data!$B$12:$B$213,0),27))</f>
        <v>357400</v>
      </c>
      <c r="F83" s="54">
        <f>IF(ISERROR(INDEX(data!$A$12:$AI$213,MATCH(HLOOKUP('II. Sledování projektu'!$L$5,vstupy!$N$2:$BY$180,$B83+1,0),data!$B$12:$B$213,0),28)),"",INDEX(data!$A$12:$AI$213,MATCH(HLOOKUP('II. Sledování projektu'!$L$5,vstupy!$N$2:$BY$180,$B83+1,0),data!$B$12:$B$213,0),28))</f>
        <v>0</v>
      </c>
      <c r="G83" s="53">
        <f t="shared" si="9"/>
        <v>0</v>
      </c>
      <c r="H83" s="53">
        <f>IF(ISERROR(INDEX(data!$A$12:$AI$213,MATCH(HLOOKUP('II. Sledování projektu'!$L$5,vstupy!$N$2:$BY$180,$B83+1,0),data!$B$12:$B$213,0),29)),"",INDEX(data!$A$12:$AI$213,MATCH(HLOOKUP('II. Sledování projektu'!$L$5,vstupy!$N$2:$BY$180,$B83+1,0),data!$B$12:$B$213,0),29))</f>
        <v>0.26350000000000001</v>
      </c>
      <c r="I83" s="54">
        <f>IF(ISERROR(INDEX(data!$A$12:$AI$213,MATCH(HLOOKUP('II. Sledování projektu'!$L$5,vstupy!$N$2:$BY$180,$B83+1,0),data!$B$12:$B$213,0),31)),"",INDEX(data!$A$12:$AI$213,MATCH(HLOOKUP('II. Sledování projektu'!$L$5,vstupy!$N$2:$BY$180,$B83+1,0),data!$B$12:$B$213,0),31))</f>
        <v>60658.74</v>
      </c>
      <c r="J83" s="53">
        <f t="shared" si="10"/>
        <v>0.16972227196418577</v>
      </c>
      <c r="K83" s="53">
        <f t="shared" si="12"/>
        <v>0.64410729398172961</v>
      </c>
      <c r="L83" s="54">
        <f>IF(ISERROR(INDEX(data!$A$12:$AI$213,MATCH(HLOOKUP('II. Sledování projektu'!$L$5,vstupy!$N$2:$BY$180,$B83+1,0),data!$B$12:$B$213,0),32)),"",INDEX(data!$A$12:$AI$213,MATCH(HLOOKUP('II. Sledování projektu'!$L$5,vstupy!$N$2:$BY$180,$B83+1,0),data!$B$12:$B$213,0),32))</f>
        <v>44163.6</v>
      </c>
      <c r="M83" s="53">
        <f t="shared" si="8"/>
        <v>0.42131858533209621</v>
      </c>
      <c r="N83" s="54">
        <f>IF(ISERROR(VLOOKUP(C83,data!$C$12:$AD$213,28,0)),0,VLOOKUP(C83,data!$C$12:$AD$213,28,0))</f>
        <v>94174.900000000009</v>
      </c>
    </row>
    <row r="84" spans="2:14" x14ac:dyDescent="0.2">
      <c r="B84" s="19">
        <f t="shared" si="11"/>
        <v>79</v>
      </c>
      <c r="C84" s="19" t="str">
        <f>IF(ISERROR(INDEX(data!$A$12:$AI$213,MATCH(HLOOKUP('II. Sledování projektu'!$L$5,vstupy!$N$2:$BY$180,$B84+1,0),data!$B$12:$B$213,0),3)),"",INDEX(data!$A$12:$AI$213,MATCH(HLOOKUP('II. Sledování projektu'!$L$5,vstupy!$N$2:$BY$180,$B84+1,0),data!$B$12:$B$213,0),3))</f>
        <v>MŠ Staňkova</v>
      </c>
      <c r="D84" s="156">
        <f>IF(ISERROR(INDEX(data!$A$12:$AI$213,MATCH(HLOOKUP('II. Sledování projektu'!$L$5,vstupy!$N$2:$BY$180,$B84+1,0),data!$B$12:$B$213,0),35)),"",INDEX(data!$A$12:$AI$213,MATCH(HLOOKUP('II. Sledování projektu'!$L$5,vstupy!$N$2:$BY$180,$B84+1,0),data!$B$12:$B$213,0),35))</f>
        <v>33.176332325577647</v>
      </c>
      <c r="E84" s="49">
        <f>IF(ISERROR(INDEX(data!$A$12:$AI$213,MATCH(HLOOKUP('II. Sledování projektu'!$L$5,vstupy!$N$2:$BY$180,$B84+1,0),data!$B$12:$B$213,0),27)),"",INDEX(data!$A$12:$AI$213,MATCH(HLOOKUP('II. Sledování projektu'!$L$5,vstupy!$N$2:$BY$180,$B84+1,0),data!$B$12:$B$213,0),27))</f>
        <v>1506324</v>
      </c>
      <c r="F84" s="54">
        <f>IF(ISERROR(INDEX(data!$A$12:$AI$213,MATCH(HLOOKUP('II. Sledování projektu'!$L$5,vstupy!$N$2:$BY$180,$B84+1,0),data!$B$12:$B$213,0),28)),"",INDEX(data!$A$12:$AI$213,MATCH(HLOOKUP('II. Sledování projektu'!$L$5,vstupy!$N$2:$BY$180,$B84+1,0),data!$B$12:$B$213,0),28))</f>
        <v>519965.63</v>
      </c>
      <c r="G84" s="53">
        <f t="shared" si="9"/>
        <v>0.3451884388750362</v>
      </c>
      <c r="H84" s="53">
        <f>IF(ISERROR(INDEX(data!$A$12:$AI$213,MATCH(HLOOKUP('II. Sledování projektu'!$L$5,vstupy!$N$2:$BY$180,$B84+1,0),data!$B$12:$B$213,0),29)),"",INDEX(data!$A$12:$AI$213,MATCH(HLOOKUP('II. Sledování projektu'!$L$5,vstupy!$N$2:$BY$180,$B84+1,0),data!$B$12:$B$213,0),29))</f>
        <v>0.2737</v>
      </c>
      <c r="I84" s="54">
        <f>IF(ISERROR(INDEX(data!$A$12:$AI$213,MATCH(HLOOKUP('II. Sledování projektu'!$L$5,vstupy!$N$2:$BY$180,$B84+1,0),data!$B$12:$B$213,0),31)),"",INDEX(data!$A$12:$AI$213,MATCH(HLOOKUP('II. Sledování projektu'!$L$5,vstupy!$N$2:$BY$180,$B84+1,0),data!$B$12:$B$213,0),31))</f>
        <v>109370.63</v>
      </c>
      <c r="J84" s="53">
        <f t="shared" si="10"/>
        <v>7.2607639525095538E-2</v>
      </c>
      <c r="K84" s="53">
        <f t="shared" si="12"/>
        <v>0.26528183969709729</v>
      </c>
      <c r="L84" s="54">
        <f>IF(ISERROR(INDEX(data!$A$12:$AI$213,MATCH(HLOOKUP('II. Sledování projektu'!$L$5,vstupy!$N$2:$BY$180,$B84+1,0),data!$B$12:$B$213,0),32)),"",INDEX(data!$A$12:$AI$213,MATCH(HLOOKUP('II. Sledování projektu'!$L$5,vstupy!$N$2:$BY$180,$B84+1,0),data!$B$12:$B$213,0),32))</f>
        <v>50061.770000000004</v>
      </c>
      <c r="M84" s="53">
        <f t="shared" si="8"/>
        <v>0.31399997741989705</v>
      </c>
      <c r="N84" s="54">
        <f>IF(ISERROR(VLOOKUP(C84,data!$C$12:$AD$213,28,0)),0,VLOOKUP(C84,data!$C$12:$AD$213,28,0))</f>
        <v>412280.87880000001</v>
      </c>
    </row>
    <row r="85" spans="2:14" x14ac:dyDescent="0.2">
      <c r="B85" s="19">
        <f t="shared" si="11"/>
        <v>80</v>
      </c>
      <c r="C85" s="19" t="str">
        <f>IF(ISERROR(INDEX(data!$A$12:$AI$213,MATCH(HLOOKUP('II. Sledování projektu'!$L$5,vstupy!$N$2:$BY$180,$B85+1,0),data!$B$12:$B$213,0),3)),"",INDEX(data!$A$12:$AI$213,MATCH(HLOOKUP('II. Sledování projektu'!$L$5,vstupy!$N$2:$BY$180,$B85+1,0),data!$B$12:$B$213,0),3))</f>
        <v>MŠ Šafaříkova</v>
      </c>
      <c r="D85" s="156">
        <f>IF(ISERROR(INDEX(data!$A$12:$AI$213,MATCH(HLOOKUP('II. Sledování projektu'!$L$5,vstupy!$N$2:$BY$180,$B85+1,0),data!$B$12:$B$213,0),35)),"",INDEX(data!$A$12:$AI$213,MATCH(HLOOKUP('II. Sledování projektu'!$L$5,vstupy!$N$2:$BY$180,$B85+1,0),data!$B$12:$B$213,0),35))</f>
        <v>3.1908257814886469</v>
      </c>
      <c r="E85" s="49">
        <f>IF(ISERROR(INDEX(data!$A$12:$AI$213,MATCH(HLOOKUP('II. Sledování projektu'!$L$5,vstupy!$N$2:$BY$180,$B85+1,0),data!$B$12:$B$213,0),27)),"",INDEX(data!$A$12:$AI$213,MATCH(HLOOKUP('II. Sledování projektu'!$L$5,vstupy!$N$2:$BY$180,$B85+1,0),data!$B$12:$B$213,0),27))</f>
        <v>560000</v>
      </c>
      <c r="F85" s="54">
        <f>IF(ISERROR(INDEX(data!$A$12:$AI$213,MATCH(HLOOKUP('II. Sledování projektu'!$L$5,vstupy!$N$2:$BY$180,$B85+1,0),data!$B$12:$B$213,0),28)),"",INDEX(data!$A$12:$AI$213,MATCH(HLOOKUP('II. Sledování projektu'!$L$5,vstupy!$N$2:$BY$180,$B85+1,0),data!$B$12:$B$213,0),28))</f>
        <v>0</v>
      </c>
      <c r="G85" s="53">
        <f t="shared" si="9"/>
        <v>0</v>
      </c>
      <c r="H85" s="53">
        <f>IF(ISERROR(INDEX(data!$A$12:$AI$213,MATCH(HLOOKUP('II. Sledování projektu'!$L$5,vstupy!$N$2:$BY$180,$B85+1,0),data!$B$12:$B$213,0),29)),"",INDEX(data!$A$12:$AI$213,MATCH(HLOOKUP('II. Sledování projektu'!$L$5,vstupy!$N$2:$BY$180,$B85+1,0),data!$B$12:$B$213,0),29))</f>
        <v>0.14030000000000001</v>
      </c>
      <c r="I85" s="54">
        <f>IF(ISERROR(INDEX(data!$A$12:$AI$213,MATCH(HLOOKUP('II. Sledování projektu'!$L$5,vstupy!$N$2:$BY$180,$B85+1,0),data!$B$12:$B$213,0),31)),"",INDEX(data!$A$12:$AI$213,MATCH(HLOOKUP('II. Sledování projektu'!$L$5,vstupy!$N$2:$BY$180,$B85+1,0),data!$B$12:$B$213,0),31))</f>
        <v>4178.28</v>
      </c>
      <c r="J85" s="53">
        <f t="shared" si="10"/>
        <v>7.4612142857142854E-3</v>
      </c>
      <c r="K85" s="53">
        <f t="shared" si="12"/>
        <v>5.3180429691477446E-2</v>
      </c>
      <c r="L85" s="54">
        <f>IF(ISERROR(INDEX(data!$A$12:$AI$213,MATCH(HLOOKUP('II. Sledování projektu'!$L$5,vstupy!$N$2:$BY$180,$B85+1,0),data!$B$12:$B$213,0),32)),"",INDEX(data!$A$12:$AI$213,MATCH(HLOOKUP('II. Sledování projektu'!$L$5,vstupy!$N$2:$BY$180,$B85+1,0),data!$B$12:$B$213,0),32))</f>
        <v>6167.1</v>
      </c>
      <c r="M85" s="53">
        <f t="shared" si="8"/>
        <v>0.59612116712967522</v>
      </c>
      <c r="N85" s="54">
        <f>IF(ISERROR(VLOOKUP(C85,data!$C$12:$AD$213,28,0)),0,VLOOKUP(C85,data!$C$12:$AD$213,28,0))</f>
        <v>78568</v>
      </c>
    </row>
    <row r="86" spans="2:14" x14ac:dyDescent="0.2">
      <c r="B86" s="19">
        <f t="shared" si="11"/>
        <v>81</v>
      </c>
      <c r="C86" s="19" t="str">
        <f>IF(ISERROR(INDEX(data!$A$12:$AI$213,MATCH(HLOOKUP('II. Sledování projektu'!$L$5,vstupy!$N$2:$BY$180,$B86+1,0),data!$B$12:$B$213,0),3)),"",INDEX(data!$A$12:$AI$213,MATCH(HLOOKUP('II. Sledování projektu'!$L$5,vstupy!$N$2:$BY$180,$B86+1,0),data!$B$12:$B$213,0),3))</f>
        <v>MŠ Špálova</v>
      </c>
      <c r="D86" s="156">
        <f>IF(ISERROR(INDEX(data!$A$12:$AI$213,MATCH(HLOOKUP('II. Sledování projektu'!$L$5,vstupy!$N$2:$BY$180,$B86+1,0),data!$B$12:$B$213,0),35)),"",INDEX(data!$A$12:$AI$213,MATCH(HLOOKUP('II. Sledování projektu'!$L$5,vstupy!$N$2:$BY$180,$B86+1,0),data!$B$12:$B$213,0),35))</f>
        <v>5.942132111787588</v>
      </c>
      <c r="E86" s="49">
        <f>IF(ISERROR(INDEX(data!$A$12:$AI$213,MATCH(HLOOKUP('II. Sledování projektu'!$L$5,vstupy!$N$2:$BY$180,$B86+1,0),data!$B$12:$B$213,0),27)),"",INDEX(data!$A$12:$AI$213,MATCH(HLOOKUP('II. Sledování projektu'!$L$5,vstupy!$N$2:$BY$180,$B86+1,0),data!$B$12:$B$213,0),27))</f>
        <v>535500</v>
      </c>
      <c r="F86" s="54">
        <f>IF(ISERROR(INDEX(data!$A$12:$AI$213,MATCH(HLOOKUP('II. Sledování projektu'!$L$5,vstupy!$N$2:$BY$180,$B86+1,0),data!$B$12:$B$213,0),28)),"",INDEX(data!$A$12:$AI$213,MATCH(HLOOKUP('II. Sledování projektu'!$L$5,vstupy!$N$2:$BY$180,$B86+1,0),data!$B$12:$B$213,0),28))</f>
        <v>0</v>
      </c>
      <c r="G86" s="53">
        <f t="shared" si="9"/>
        <v>0</v>
      </c>
      <c r="H86" s="53">
        <f>IF(ISERROR(INDEX(data!$A$12:$AI$213,MATCH(HLOOKUP('II. Sledování projektu'!$L$5,vstupy!$N$2:$BY$180,$B86+1,0),data!$B$12:$B$213,0),29)),"",INDEX(data!$A$12:$AI$213,MATCH(HLOOKUP('II. Sledování projektu'!$L$5,vstupy!$N$2:$BY$180,$B86+1,0),data!$B$12:$B$213,0),29))</f>
        <v>0.18729999999999999</v>
      </c>
      <c r="I86" s="54">
        <f>IF(ISERROR(INDEX(data!$A$12:$AI$213,MATCH(HLOOKUP('II. Sledování projektu'!$L$5,vstupy!$N$2:$BY$180,$B86+1,0),data!$B$12:$B$213,0),31)),"",INDEX(data!$A$12:$AI$213,MATCH(HLOOKUP('II. Sledování projektu'!$L$5,vstupy!$N$2:$BY$180,$B86+1,0),data!$B$12:$B$213,0),31))</f>
        <v>9933.18</v>
      </c>
      <c r="J86" s="53">
        <f t="shared" si="10"/>
        <v>1.8549355742296918E-2</v>
      </c>
      <c r="K86" s="53">
        <f t="shared" si="12"/>
        <v>9.9035535196459801E-2</v>
      </c>
      <c r="L86" s="54">
        <f>IF(ISERROR(INDEX(data!$A$12:$AI$213,MATCH(HLOOKUP('II. Sledování projektu'!$L$5,vstupy!$N$2:$BY$180,$B86+1,0),data!$B$12:$B$213,0),32)),"",INDEX(data!$A$12:$AI$213,MATCH(HLOOKUP('II. Sledování projektu'!$L$5,vstupy!$N$2:$BY$180,$B86+1,0),data!$B$12:$B$213,0),32))</f>
        <v>8859.9</v>
      </c>
      <c r="M86" s="53">
        <f t="shared" si="8"/>
        <v>0.47144480840820124</v>
      </c>
      <c r="N86" s="54">
        <f>IF(ISERROR(VLOOKUP(C86,data!$C$12:$AD$213,28,0)),0,VLOOKUP(C86,data!$C$12:$AD$213,28,0))</f>
        <v>100299.15</v>
      </c>
    </row>
    <row r="87" spans="2:14" x14ac:dyDescent="0.2">
      <c r="B87" s="19">
        <f t="shared" si="11"/>
        <v>82</v>
      </c>
      <c r="C87" s="19" t="str">
        <f>IF(ISERROR(INDEX(data!$A$12:$AI$213,MATCH(HLOOKUP('II. Sledování projektu'!$L$5,vstupy!$N$2:$BY$180,$B87+1,0),data!$B$12:$B$213,0),3)),"",INDEX(data!$A$12:$AI$213,MATCH(HLOOKUP('II. Sledování projektu'!$L$5,vstupy!$N$2:$BY$180,$B87+1,0),data!$B$12:$B$213,0),3))</f>
        <v>MŠ U Dvoru</v>
      </c>
      <c r="D87" s="156">
        <f>IF(ISERROR(INDEX(data!$A$12:$AI$213,MATCH(HLOOKUP('II. Sledování projektu'!$L$5,vstupy!$N$2:$BY$180,$B87+1,0),data!$B$12:$B$213,0),35)),"",INDEX(data!$A$12:$AI$213,MATCH(HLOOKUP('II. Sledování projektu'!$L$5,vstupy!$N$2:$BY$180,$B87+1,0),data!$B$12:$B$213,0),35))</f>
        <v>14.496014912310725</v>
      </c>
      <c r="E87" s="49">
        <f>IF(ISERROR(INDEX(data!$A$12:$AI$213,MATCH(HLOOKUP('II. Sledování projektu'!$L$5,vstupy!$N$2:$BY$180,$B87+1,0),data!$B$12:$B$213,0),27)),"",INDEX(data!$A$12:$AI$213,MATCH(HLOOKUP('II. Sledování projektu'!$L$5,vstupy!$N$2:$BY$180,$B87+1,0),data!$B$12:$B$213,0),27))</f>
        <v>299786.82500000001</v>
      </c>
      <c r="F87" s="54">
        <f>IF(ISERROR(INDEX(data!$A$12:$AI$213,MATCH(HLOOKUP('II. Sledování projektu'!$L$5,vstupy!$N$2:$BY$180,$B87+1,0),data!$B$12:$B$213,0),28)),"",INDEX(data!$A$12:$AI$213,MATCH(HLOOKUP('II. Sledování projektu'!$L$5,vstupy!$N$2:$BY$180,$B87+1,0),data!$B$12:$B$213,0),28))</f>
        <v>0</v>
      </c>
      <c r="G87" s="53">
        <f t="shared" si="9"/>
        <v>0</v>
      </c>
      <c r="H87" s="53">
        <f>IF(ISERROR(INDEX(data!$A$12:$AI$213,MATCH(HLOOKUP('II. Sledování projektu'!$L$5,vstupy!$N$2:$BY$180,$B87+1,0),data!$B$12:$B$213,0),29)),"",INDEX(data!$A$12:$AI$213,MATCH(HLOOKUP('II. Sledování projektu'!$L$5,vstupy!$N$2:$BY$180,$B87+1,0),data!$B$12:$B$213,0),29))</f>
        <v>5.67E-2</v>
      </c>
      <c r="I87" s="54">
        <f>IF(ISERROR(INDEX(data!$A$12:$AI$213,MATCH(HLOOKUP('II. Sledování projektu'!$L$5,vstupy!$N$2:$BY$180,$B87+1,0),data!$B$12:$B$213,0),31)),"",INDEX(data!$A$12:$AI$213,MATCH(HLOOKUP('II. Sledování projektu'!$L$5,vstupy!$N$2:$BY$180,$B87+1,0),data!$B$12:$B$213,0),31))</f>
        <v>4106.7</v>
      </c>
      <c r="J87" s="53">
        <f t="shared" si="10"/>
        <v>1.3698734092133635E-2</v>
      </c>
      <c r="K87" s="53">
        <f t="shared" si="12"/>
        <v>0.24160024853851209</v>
      </c>
      <c r="L87" s="54">
        <f>IF(ISERROR(INDEX(data!$A$12:$AI$213,MATCH(HLOOKUP('II. Sledování projektu'!$L$5,vstupy!$N$2:$BY$180,$B87+1,0),data!$B$12:$B$213,0),32)),"",INDEX(data!$A$12:$AI$213,MATCH(HLOOKUP('II. Sledování projektu'!$L$5,vstupy!$N$2:$BY$180,$B87+1,0),data!$B$12:$B$213,0),32))</f>
        <v>733.32</v>
      </c>
      <c r="M87" s="53">
        <f t="shared" si="8"/>
        <v>0.15151177061251817</v>
      </c>
      <c r="N87" s="54">
        <f>IF(ISERROR(VLOOKUP(C87,data!$C$12:$AD$213,28,0)),0,VLOOKUP(C87,data!$C$12:$AD$213,28,0))</f>
        <v>16997.9129775</v>
      </c>
    </row>
    <row r="88" spans="2:14" x14ac:dyDescent="0.2">
      <c r="B88" s="19">
        <f t="shared" si="11"/>
        <v>83</v>
      </c>
      <c r="C88" s="19" t="str">
        <f>IF(ISERROR(INDEX(data!$A$12:$AI$213,MATCH(HLOOKUP('II. Sledování projektu'!$L$5,vstupy!$N$2:$BY$180,$B88+1,0),data!$B$12:$B$213,0),3)),"",INDEX(data!$A$12:$AI$213,MATCH(HLOOKUP('II. Sledování projektu'!$L$5,vstupy!$N$2:$BY$180,$B88+1,0),data!$B$12:$B$213,0),3))</f>
        <v>MŠ Varenská</v>
      </c>
      <c r="D88" s="156">
        <f>IF(ISERROR(INDEX(data!$A$12:$AI$213,MATCH(HLOOKUP('II. Sledování projektu'!$L$5,vstupy!$N$2:$BY$180,$B88+1,0),data!$B$12:$B$213,0),35)),"",INDEX(data!$A$12:$AI$213,MATCH(HLOOKUP('II. Sledování projektu'!$L$5,vstupy!$N$2:$BY$180,$B88+1,0),data!$B$12:$B$213,0),35))</f>
        <v>60.302454090017704</v>
      </c>
      <c r="E88" s="49">
        <f>IF(ISERROR(INDEX(data!$A$12:$AI$213,MATCH(HLOOKUP('II. Sledování projektu'!$L$5,vstupy!$N$2:$BY$180,$B88+1,0),data!$B$12:$B$213,0),27)),"",INDEX(data!$A$12:$AI$213,MATCH(HLOOKUP('II. Sledování projektu'!$L$5,vstupy!$N$2:$BY$180,$B88+1,0),data!$B$12:$B$213,0),27))</f>
        <v>790500</v>
      </c>
      <c r="F88" s="54">
        <f>IF(ISERROR(INDEX(data!$A$12:$AI$213,MATCH(HLOOKUP('II. Sledování projektu'!$L$5,vstupy!$N$2:$BY$180,$B88+1,0),data!$B$12:$B$213,0),28)),"",INDEX(data!$A$12:$AI$213,MATCH(HLOOKUP('II. Sledování projektu'!$L$5,vstupy!$N$2:$BY$180,$B88+1,0),data!$B$12:$B$213,0),28))</f>
        <v>825166.25</v>
      </c>
      <c r="G88" s="53">
        <f t="shared" si="9"/>
        <v>1.0438535736875396</v>
      </c>
      <c r="H88" s="53">
        <f>IF(ISERROR(INDEX(data!$A$12:$AI$213,MATCH(HLOOKUP('II. Sledování projektu'!$L$5,vstupy!$N$2:$BY$180,$B88+1,0),data!$B$12:$B$213,0),29)),"",INDEX(data!$A$12:$AI$213,MATCH(HLOOKUP('II. Sledování projektu'!$L$5,vstupy!$N$2:$BY$180,$B88+1,0),data!$B$12:$B$213,0),29))</f>
        <v>0.19120000000000001</v>
      </c>
      <c r="I88" s="54">
        <f>IF(ISERROR(INDEX(data!$A$12:$AI$213,MATCH(HLOOKUP('II. Sledování projektu'!$L$5,vstupy!$N$2:$BY$180,$B88+1,0),data!$B$12:$B$213,0),31)),"",INDEX(data!$A$12:$AI$213,MATCH(HLOOKUP('II. Sledování projektu'!$L$5,vstupy!$N$2:$BY$180,$B88+1,0),data!$B$12:$B$213,0),31))</f>
        <v>51143.100000000006</v>
      </c>
      <c r="J88" s="53">
        <f t="shared" si="10"/>
        <v>6.4697153700189761E-2</v>
      </c>
      <c r="K88" s="53">
        <f t="shared" si="12"/>
        <v>0.33837423483362844</v>
      </c>
      <c r="L88" s="54">
        <f>IF(ISERROR(INDEX(data!$A$12:$AI$213,MATCH(HLOOKUP('II. Sledování projektu'!$L$5,vstupy!$N$2:$BY$180,$B88+1,0),data!$B$12:$B$213,0),32)),"",INDEX(data!$A$12:$AI$213,MATCH(HLOOKUP('II. Sledování projektu'!$L$5,vstupy!$N$2:$BY$180,$B88+1,0),data!$B$12:$B$213,0),32))</f>
        <v>17968.379999999997</v>
      </c>
      <c r="M88" s="53">
        <f t="shared" si="8"/>
        <v>0.25999124892130793</v>
      </c>
      <c r="N88" s="54">
        <f>IF(ISERROR(VLOOKUP(C88,data!$C$12:$AD$213,28,0)),0,VLOOKUP(C88,data!$C$12:$AD$213,28,0))</f>
        <v>151143.6</v>
      </c>
    </row>
    <row r="89" spans="2:14" x14ac:dyDescent="0.2">
      <c r="B89" s="19">
        <f t="shared" si="11"/>
        <v>84</v>
      </c>
      <c r="C89" s="19" t="str">
        <f>IF(ISERROR(INDEX(data!$A$12:$AI$213,MATCH(HLOOKUP('II. Sledování projektu'!$L$5,vstupy!$N$2:$BY$180,$B89+1,0),data!$B$12:$B$213,0),3)),"",INDEX(data!$A$12:$AI$213,MATCH(HLOOKUP('II. Sledování projektu'!$L$5,vstupy!$N$2:$BY$180,$B89+1,0),data!$B$12:$B$213,0),3))</f>
        <v>MŠ Volgogradská</v>
      </c>
      <c r="D89" s="156">
        <f>IF(ISERROR(INDEX(data!$A$12:$AI$213,MATCH(HLOOKUP('II. Sledování projektu'!$L$5,vstupy!$N$2:$BY$180,$B89+1,0),data!$B$12:$B$213,0),35)),"",INDEX(data!$A$12:$AI$213,MATCH(HLOOKUP('II. Sledování projektu'!$L$5,vstupy!$N$2:$BY$180,$B89+1,0),data!$B$12:$B$213,0),35))</f>
        <v>9.3922840835948751</v>
      </c>
      <c r="E89" s="49">
        <f>IF(ISERROR(INDEX(data!$A$12:$AI$213,MATCH(HLOOKUP('II. Sledování projektu'!$L$5,vstupy!$N$2:$BY$180,$B89+1,0),data!$B$12:$B$213,0),27)),"",INDEX(data!$A$12:$AI$213,MATCH(HLOOKUP('II. Sledování projektu'!$L$5,vstupy!$N$2:$BY$180,$B89+1,0),data!$B$12:$B$213,0),27))</f>
        <v>1885500</v>
      </c>
      <c r="F89" s="54">
        <f>IF(ISERROR(INDEX(data!$A$12:$AI$213,MATCH(HLOOKUP('II. Sledování projektu'!$L$5,vstupy!$N$2:$BY$180,$B89+1,0),data!$B$12:$B$213,0),28)),"",INDEX(data!$A$12:$AI$213,MATCH(HLOOKUP('II. Sledování projektu'!$L$5,vstupy!$N$2:$BY$180,$B89+1,0),data!$B$12:$B$213,0),28))</f>
        <v>24614.46</v>
      </c>
      <c r="G89" s="53">
        <f t="shared" si="9"/>
        <v>1.3054606205250596E-2</v>
      </c>
      <c r="H89" s="53">
        <f>IF(ISERROR(INDEX(data!$A$12:$AI$213,MATCH(HLOOKUP('II. Sledování projektu'!$L$5,vstupy!$N$2:$BY$180,$B89+1,0),data!$B$12:$B$213,0),29)),"",INDEX(data!$A$12:$AI$213,MATCH(HLOOKUP('II. Sledování projektu'!$L$5,vstupy!$N$2:$BY$180,$B89+1,0),data!$B$12:$B$213,0),29))</f>
        <v>0.20949999999999999</v>
      </c>
      <c r="I89" s="54">
        <f>IF(ISERROR(INDEX(data!$A$12:$AI$213,MATCH(HLOOKUP('II. Sledování projektu'!$L$5,vstupy!$N$2:$BY$180,$B89+1,0),data!$B$12:$B$213,0),31)),"",INDEX(data!$A$12:$AI$213,MATCH(HLOOKUP('II. Sledování projektu'!$L$5,vstupy!$N$2:$BY$180,$B89+1,0),data!$B$12:$B$213,0),31))</f>
        <v>57537.18</v>
      </c>
      <c r="J89" s="53">
        <f t="shared" si="10"/>
        <v>3.0515608591885443E-2</v>
      </c>
      <c r="K89" s="53">
        <f t="shared" si="12"/>
        <v>0.14565922955553909</v>
      </c>
      <c r="L89" s="54">
        <f>IF(ISERROR(INDEX(data!$A$12:$AI$213,MATCH(HLOOKUP('II. Sledování projektu'!$L$5,vstupy!$N$2:$BY$180,$B89+1,0),data!$B$12:$B$213,0),32)),"",INDEX(data!$A$12:$AI$213,MATCH(HLOOKUP('II. Sledování projektu'!$L$5,vstupy!$N$2:$BY$180,$B89+1,0),data!$B$12:$B$213,0),32))</f>
        <v>31686.75</v>
      </c>
      <c r="M89" s="53">
        <f t="shared" si="8"/>
        <v>0.355137349363562</v>
      </c>
      <c r="N89" s="54">
        <f>IF(ISERROR(VLOOKUP(C89,data!$C$12:$AD$213,28,0)),0,VLOOKUP(C89,data!$C$12:$AD$213,28,0))</f>
        <v>395012.25</v>
      </c>
    </row>
    <row r="90" spans="2:14" x14ac:dyDescent="0.2">
      <c r="B90" s="19">
        <f t="shared" si="11"/>
        <v>85</v>
      </c>
      <c r="C90" s="19" t="str">
        <f>IF(ISERROR(INDEX(data!$A$12:$AI$213,MATCH(HLOOKUP('II. Sledování projektu'!$L$5,vstupy!$N$2:$BY$180,$B90+1,0),data!$B$12:$B$213,0),3)),"",INDEX(data!$A$12:$AI$213,MATCH(HLOOKUP('II. Sledování projektu'!$L$5,vstupy!$N$2:$BY$180,$B90+1,0),data!$B$12:$B$213,0),3))</f>
        <v>MŠ Za Školou</v>
      </c>
      <c r="D90" s="156">
        <f>IF(ISERROR(INDEX(data!$A$12:$AI$213,MATCH(HLOOKUP('II. Sledování projektu'!$L$5,vstupy!$N$2:$BY$180,$B90+1,0),data!$B$12:$B$213,0),35)),"",INDEX(data!$A$12:$AI$213,MATCH(HLOOKUP('II. Sledování projektu'!$L$5,vstupy!$N$2:$BY$180,$B90+1,0),data!$B$12:$B$213,0),35))</f>
        <v>10.563295548609734</v>
      </c>
      <c r="E90" s="49">
        <f>IF(ISERROR(INDEX(data!$A$12:$AI$213,MATCH(HLOOKUP('II. Sledování projektu'!$L$5,vstupy!$N$2:$BY$180,$B90+1,0),data!$B$12:$B$213,0),27)),"",INDEX(data!$A$12:$AI$213,MATCH(HLOOKUP('II. Sledování projektu'!$L$5,vstupy!$N$2:$BY$180,$B90+1,0),data!$B$12:$B$213,0),27))</f>
        <v>2190250</v>
      </c>
      <c r="F90" s="54">
        <f>IF(ISERROR(INDEX(data!$A$12:$AI$213,MATCH(HLOOKUP('II. Sledování projektu'!$L$5,vstupy!$N$2:$BY$180,$B90+1,0),data!$B$12:$B$213,0),28)),"",INDEX(data!$A$12:$AI$213,MATCH(HLOOKUP('II. Sledování projektu'!$L$5,vstupy!$N$2:$BY$180,$B90+1,0),data!$B$12:$B$213,0),28))</f>
        <v>30060.23</v>
      </c>
      <c r="G90" s="53">
        <f t="shared" si="9"/>
        <v>1.3724565688848304E-2</v>
      </c>
      <c r="H90" s="53">
        <f>IF(ISERROR(INDEX(data!$A$12:$AI$213,MATCH(HLOOKUP('II. Sledování projektu'!$L$5,vstupy!$N$2:$BY$180,$B90+1,0),data!$B$12:$B$213,0),29)),"",INDEX(data!$A$12:$AI$213,MATCH(HLOOKUP('II. Sledování projektu'!$L$5,vstupy!$N$2:$BY$180,$B90+1,0),data!$B$12:$B$213,0),29))</f>
        <v>0.29199999999999998</v>
      </c>
      <c r="I90" s="54">
        <f>IF(ISERROR(INDEX(data!$A$12:$AI$213,MATCH(HLOOKUP('II. Sledování projektu'!$L$5,vstupy!$N$2:$BY$180,$B90+1,0),data!$B$12:$B$213,0),31)),"",INDEX(data!$A$12:$AI$213,MATCH(HLOOKUP('II. Sledování projektu'!$L$5,vstupy!$N$2:$BY$180,$B90+1,0),data!$B$12:$B$213,0),31))</f>
        <v>105281.8</v>
      </c>
      <c r="J90" s="53">
        <f t="shared" si="10"/>
        <v>4.8068394018947608E-2</v>
      </c>
      <c r="K90" s="53">
        <f t="shared" si="12"/>
        <v>0.16461778773612196</v>
      </c>
      <c r="L90" s="54">
        <f>IF(ISERROR(INDEX(data!$A$12:$AI$213,MATCH(HLOOKUP('II. Sledování projektu'!$L$5,vstupy!$N$2:$BY$180,$B90+1,0),data!$B$12:$B$213,0),32)),"",INDEX(data!$A$12:$AI$213,MATCH(HLOOKUP('II. Sledování projektu'!$L$5,vstupy!$N$2:$BY$180,$B90+1,0),data!$B$12:$B$213,0),32))</f>
        <v>67618.37</v>
      </c>
      <c r="M90" s="53">
        <f t="shared" si="8"/>
        <v>0.39108330547043418</v>
      </c>
      <c r="N90" s="54">
        <f>IF(ISERROR(VLOOKUP(C90,data!$C$12:$AD$213,28,0)),0,VLOOKUP(C90,data!$C$12:$AD$213,28,0))</f>
        <v>639553</v>
      </c>
    </row>
    <row r="91" spans="2:14" x14ac:dyDescent="0.2">
      <c r="B91" s="19">
        <f t="shared" si="11"/>
        <v>86</v>
      </c>
      <c r="C91" s="19" t="str">
        <f>IF(ISERROR(INDEX(data!$A$12:$AI$213,MATCH(HLOOKUP('II. Sledování projektu'!$L$5,vstupy!$N$2:$BY$180,$B91+1,0),data!$B$12:$B$213,0),3)),"",INDEX(data!$A$12:$AI$213,MATCH(HLOOKUP('II. Sledování projektu'!$L$5,vstupy!$N$2:$BY$180,$B91+1,0),data!$B$12:$B$213,0),3))</f>
        <v>MŠ Zámostní</v>
      </c>
      <c r="D91" s="156">
        <f>IF(ISERROR(INDEX(data!$A$12:$AI$213,MATCH(HLOOKUP('II. Sledování projektu'!$L$5,vstupy!$N$2:$BY$180,$B91+1,0),data!$B$12:$B$213,0),35)),"",INDEX(data!$A$12:$AI$213,MATCH(HLOOKUP('II. Sledování projektu'!$L$5,vstupy!$N$2:$BY$180,$B91+1,0),data!$B$12:$B$213,0),35))</f>
        <v>0</v>
      </c>
      <c r="E91" s="49">
        <f>IF(ISERROR(INDEX(data!$A$12:$AI$213,MATCH(HLOOKUP('II. Sledování projektu'!$L$5,vstupy!$N$2:$BY$180,$B91+1,0),data!$B$12:$B$213,0),27)),"",INDEX(data!$A$12:$AI$213,MATCH(HLOOKUP('II. Sledování projektu'!$L$5,vstupy!$N$2:$BY$180,$B91+1,0),data!$B$12:$B$213,0),27))</f>
        <v>720250</v>
      </c>
      <c r="F91" s="54">
        <f>IF(ISERROR(INDEX(data!$A$12:$AI$213,MATCH(HLOOKUP('II. Sledování projektu'!$L$5,vstupy!$N$2:$BY$180,$B91+1,0),data!$B$12:$B$213,0),28)),"",INDEX(data!$A$12:$AI$213,MATCH(HLOOKUP('II. Sledování projektu'!$L$5,vstupy!$N$2:$BY$180,$B91+1,0),data!$B$12:$B$213,0),28))</f>
        <v>0</v>
      </c>
      <c r="G91" s="53">
        <f t="shared" si="9"/>
        <v>0</v>
      </c>
      <c r="H91" s="53">
        <f>IF(ISERROR(INDEX(data!$A$12:$AI$213,MATCH(HLOOKUP('II. Sledování projektu'!$L$5,vstupy!$N$2:$BY$180,$B91+1,0),data!$B$12:$B$213,0),29)),"",INDEX(data!$A$12:$AI$213,MATCH(HLOOKUP('II. Sledování projektu'!$L$5,vstupy!$N$2:$BY$180,$B91+1,0),data!$B$12:$B$213,0),29))</f>
        <v>5.2900000000000003E-2</v>
      </c>
      <c r="I91" s="54">
        <f>IF(ISERROR(INDEX(data!$A$12:$AI$213,MATCH(HLOOKUP('II. Sledování projektu'!$L$5,vstupy!$N$2:$BY$180,$B91+1,0),data!$B$12:$B$213,0),31)),"",INDEX(data!$A$12:$AI$213,MATCH(HLOOKUP('II. Sledování projektu'!$L$5,vstupy!$N$2:$BY$180,$B91+1,0),data!$B$12:$B$213,0),31))</f>
        <v>0</v>
      </c>
      <c r="J91" s="53">
        <f t="shared" si="10"/>
        <v>0</v>
      </c>
      <c r="K91" s="53">
        <f t="shared" si="12"/>
        <v>0</v>
      </c>
      <c r="L91" s="54">
        <f>IF(ISERROR(INDEX(data!$A$12:$AI$213,MATCH(HLOOKUP('II. Sledování projektu'!$L$5,vstupy!$N$2:$BY$180,$B91+1,0),data!$B$12:$B$213,0),32)),"",INDEX(data!$A$12:$AI$213,MATCH(HLOOKUP('II. Sledování projektu'!$L$5,vstupy!$N$2:$BY$180,$B91+1,0),data!$B$12:$B$213,0),32))</f>
        <v>0</v>
      </c>
      <c r="M91" s="53">
        <f t="shared" si="8"/>
        <v>0</v>
      </c>
      <c r="N91" s="54">
        <f>IF(ISERROR(VLOOKUP(C91,data!$C$12:$AD$213,28,0)),0,VLOOKUP(C91,data!$C$12:$AD$213,28,0))</f>
        <v>38101.224999999999</v>
      </c>
    </row>
    <row r="92" spans="2:14" x14ac:dyDescent="0.2">
      <c r="B92" s="19">
        <f t="shared" si="11"/>
        <v>87</v>
      </c>
      <c r="C92" s="19" t="str">
        <f>IF(ISERROR(INDEX(data!$A$12:$AI$213,MATCH(HLOOKUP('II. Sledování projektu'!$L$5,vstupy!$N$2:$BY$180,$B92+1,0),data!$B$12:$B$213,0),3)),"",INDEX(data!$A$12:$AI$213,MATCH(HLOOKUP('II. Sledování projektu'!$L$5,vstupy!$N$2:$BY$180,$B92+1,0),data!$B$12:$B$213,0),3))</f>
        <v>MŠ Zelená</v>
      </c>
      <c r="D92" s="156">
        <f>IF(ISERROR(INDEX(data!$A$12:$AI$213,MATCH(HLOOKUP('II. Sledování projektu'!$L$5,vstupy!$N$2:$BY$180,$B92+1,0),data!$B$12:$B$213,0),35)),"",INDEX(data!$A$12:$AI$213,MATCH(HLOOKUP('II. Sledování projektu'!$L$5,vstupy!$N$2:$BY$180,$B92+1,0),data!$B$12:$B$213,0),35))</f>
        <v>72.522499599679747</v>
      </c>
      <c r="E92" s="49">
        <f>IF(ISERROR(INDEX(data!$A$12:$AI$213,MATCH(HLOOKUP('II. Sledování projektu'!$L$5,vstupy!$N$2:$BY$180,$B92+1,0),data!$B$12:$B$213,0),27)),"",INDEX(data!$A$12:$AI$213,MATCH(HLOOKUP('II. Sledování projektu'!$L$5,vstupy!$N$2:$BY$180,$B92+1,0),data!$B$12:$B$213,0),27))</f>
        <v>936750</v>
      </c>
      <c r="F92" s="54">
        <f>IF(ISERROR(INDEX(data!$A$12:$AI$213,MATCH(HLOOKUP('II. Sledování projektu'!$L$5,vstupy!$N$2:$BY$180,$B92+1,0),data!$B$12:$B$213,0),28)),"",INDEX(data!$A$12:$AI$213,MATCH(HLOOKUP('II. Sledování projektu'!$L$5,vstupy!$N$2:$BY$180,$B92+1,0),data!$B$12:$B$213,0),28))</f>
        <v>234609.03</v>
      </c>
      <c r="G92" s="53">
        <f t="shared" si="9"/>
        <v>0.25044999199359486</v>
      </c>
      <c r="H92" s="53">
        <f>IF(ISERROR(INDEX(data!$A$12:$AI$213,MATCH(HLOOKUP('II. Sledování projektu'!$L$5,vstupy!$N$2:$BY$180,$B92+1,0),data!$B$12:$B$213,0),29)),"",INDEX(data!$A$12:$AI$213,MATCH(HLOOKUP('II. Sledování projektu'!$L$5,vstupy!$N$2:$BY$180,$B92+1,0),data!$B$12:$B$213,0),29))</f>
        <v>0.2046</v>
      </c>
      <c r="I92" s="54">
        <f>IF(ISERROR(INDEX(data!$A$12:$AI$213,MATCH(HLOOKUP('II. Sledování projektu'!$L$5,vstupy!$N$2:$BY$180,$B92+1,0),data!$B$12:$B$213,0),31)),"",INDEX(data!$A$12:$AI$213,MATCH(HLOOKUP('II. Sledování projektu'!$L$5,vstupy!$N$2:$BY$180,$B92+1,0),data!$B$12:$B$213,0),31))</f>
        <v>224295.97</v>
      </c>
      <c r="J92" s="53">
        <f t="shared" si="10"/>
        <v>0.23944058713637578</v>
      </c>
      <c r="K92" s="53">
        <f t="shared" si="12"/>
        <v>1.1702863496401552</v>
      </c>
      <c r="L92" s="54">
        <f>IF(ISERROR(INDEX(data!$A$12:$AI$213,MATCH(HLOOKUP('II. Sledování projektu'!$L$5,vstupy!$N$2:$BY$180,$B92+1,0),data!$B$12:$B$213,0),32)),"",INDEX(data!$A$12:$AI$213,MATCH(HLOOKUP('II. Sledování projektu'!$L$5,vstupy!$N$2:$BY$180,$B92+1,0),data!$B$12:$B$213,0),32))</f>
        <v>59466.009999999995</v>
      </c>
      <c r="M92" s="53">
        <f t="shared" si="8"/>
        <v>0.20956299360471053</v>
      </c>
      <c r="N92" s="54">
        <f>IF(ISERROR(VLOOKUP(C92,data!$C$12:$AD$213,28,0)),0,VLOOKUP(C92,data!$C$12:$AD$213,28,0))</f>
        <v>191659.05000000002</v>
      </c>
    </row>
    <row r="93" spans="2:14" x14ac:dyDescent="0.2">
      <c r="B93" s="19">
        <f t="shared" si="11"/>
        <v>88</v>
      </c>
      <c r="C93" s="19" t="str">
        <f>IF(ISERROR(INDEX(data!$A$12:$AI$213,MATCH(HLOOKUP('II. Sledování projektu'!$L$5,vstupy!$N$2:$BY$180,$B93+1,0),data!$B$12:$B$213,0),3)),"",INDEX(data!$A$12:$AI$213,MATCH(HLOOKUP('II. Sledování projektu'!$L$5,vstupy!$N$2:$BY$180,$B93+1,0),data!$B$12:$B$213,0),3))</f>
        <v>Ostravské městské lesy</v>
      </c>
      <c r="D93" s="156">
        <f>IF(ISERROR(INDEX(data!$A$12:$AI$213,MATCH(HLOOKUP('II. Sledování projektu'!$L$5,vstupy!$N$2:$BY$180,$B93+1,0),data!$B$12:$B$213,0),35)),"",INDEX(data!$A$12:$AI$213,MATCH(HLOOKUP('II. Sledování projektu'!$L$5,vstupy!$N$2:$BY$180,$B93+1,0),data!$B$12:$B$213,0),35))</f>
        <v>46.74446885897391</v>
      </c>
      <c r="E93" s="49">
        <f>IF(ISERROR(INDEX(data!$A$12:$AI$213,MATCH(HLOOKUP('II. Sledování projektu'!$L$5,vstupy!$N$2:$BY$180,$B93+1,0),data!$B$12:$B$213,0),27)),"",INDEX(data!$A$12:$AI$213,MATCH(HLOOKUP('II. Sledování projektu'!$L$5,vstupy!$N$2:$BY$180,$B93+1,0),data!$B$12:$B$213,0),27))</f>
        <v>25757886</v>
      </c>
      <c r="F93" s="54">
        <f>IF(ISERROR(INDEX(data!$A$12:$AI$213,MATCH(HLOOKUP('II. Sledování projektu'!$L$5,vstupy!$N$2:$BY$180,$B93+1,0),data!$B$12:$B$213,0),28)),"",INDEX(data!$A$12:$AI$213,MATCH(HLOOKUP('II. Sledování projektu'!$L$5,vstupy!$N$2:$BY$180,$B93+1,0),data!$B$12:$B$213,0),28))</f>
        <v>25605924.940000001</v>
      </c>
      <c r="G93" s="53">
        <f t="shared" si="9"/>
        <v>0.99410040637651709</v>
      </c>
      <c r="H93" s="53">
        <f>IF(ISERROR(INDEX(data!$A$12:$AI$213,MATCH(HLOOKUP('II. Sledování projektu'!$L$5,vstupy!$N$2:$BY$180,$B93+1,0),data!$B$12:$B$213,0),29)),"",INDEX(data!$A$12:$AI$213,MATCH(HLOOKUP('II. Sledování projektu'!$L$5,vstupy!$N$2:$BY$180,$B93+1,0),data!$B$12:$B$213,0),29))</f>
        <v>0.03</v>
      </c>
      <c r="I93" s="54">
        <f>IF(ISERROR(INDEX(data!$A$12:$AI$213,MATCH(HLOOKUP('II. Sledování projektu'!$L$5,vstupy!$N$2:$BY$180,$B93+1,0),data!$B$12:$B$213,0),31)),"",INDEX(data!$A$12:$AI$213,MATCH(HLOOKUP('II. Sledování projektu'!$L$5,vstupy!$N$2:$BY$180,$B93+1,0),data!$B$12:$B$213,0),31))</f>
        <v>86861.63</v>
      </c>
      <c r="J93" s="53">
        <f t="shared" si="10"/>
        <v>3.3722344294869542E-3</v>
      </c>
      <c r="K93" s="53">
        <f t="shared" si="12"/>
        <v>0.11240781431623181</v>
      </c>
      <c r="L93" s="54">
        <f>IF(ISERROR(INDEX(data!$A$12:$AI$213,MATCH(HLOOKUP('II. Sledování projektu'!$L$5,vstupy!$N$2:$BY$180,$B93+1,0),data!$B$12:$B$213,0),32)),"",INDEX(data!$A$12:$AI$213,MATCH(HLOOKUP('II. Sledování projektu'!$L$5,vstupy!$N$2:$BY$180,$B93+1,0),data!$B$12:$B$213,0),32))</f>
        <v>104135.55</v>
      </c>
      <c r="M93" s="53">
        <f t="shared" si="8"/>
        <v>0.54522035351516707</v>
      </c>
      <c r="N93" s="54">
        <f>IF(ISERROR(VLOOKUP(C93,data!$C$12:$AD$213,28,0)),0,VLOOKUP(C93,data!$C$12:$AD$213,28,0))</f>
        <v>772736.58</v>
      </c>
    </row>
    <row r="94" spans="2:14" x14ac:dyDescent="0.2">
      <c r="B94" s="19">
        <f t="shared" si="11"/>
        <v>89</v>
      </c>
      <c r="C94" s="19" t="str">
        <f>IF(ISERROR(INDEX(data!$A$12:$AI$213,MATCH(HLOOKUP('II. Sledování projektu'!$L$5,vstupy!$N$2:$BY$180,$B94+1,0),data!$B$12:$B$213,0),3)),"",INDEX(data!$A$12:$AI$213,MATCH(HLOOKUP('II. Sledování projektu'!$L$5,vstupy!$N$2:$BY$180,$B94+1,0),data!$B$12:$B$213,0),3))</f>
        <v>Ostravské muzeum</v>
      </c>
      <c r="D94" s="156">
        <f>IF(ISERROR(INDEX(data!$A$12:$AI$213,MATCH(HLOOKUP('II. Sledování projektu'!$L$5,vstupy!$N$2:$BY$180,$B94+1,0),data!$B$12:$B$213,0),35)),"",INDEX(data!$A$12:$AI$213,MATCH(HLOOKUP('II. Sledování projektu'!$L$5,vstupy!$N$2:$BY$180,$B94+1,0),data!$B$12:$B$213,0),35))</f>
        <v>92.906337442660544</v>
      </c>
      <c r="E94" s="49">
        <f>IF(ISERROR(INDEX(data!$A$12:$AI$213,MATCH(HLOOKUP('II. Sledování projektu'!$L$5,vstupy!$N$2:$BY$180,$B94+1,0),data!$B$12:$B$213,0),27)),"",INDEX(data!$A$12:$AI$213,MATCH(HLOOKUP('II. Sledování projektu'!$L$5,vstupy!$N$2:$BY$180,$B94+1,0),data!$B$12:$B$213,0),27))</f>
        <v>1744000</v>
      </c>
      <c r="F94" s="54">
        <f>IF(ISERROR(INDEX(data!$A$12:$AI$213,MATCH(HLOOKUP('II. Sledování projektu'!$L$5,vstupy!$N$2:$BY$180,$B94+1,0),data!$B$12:$B$213,0),28)),"",INDEX(data!$A$12:$AI$213,MATCH(HLOOKUP('II. Sledování projektu'!$L$5,vstupy!$N$2:$BY$180,$B94+1,0),data!$B$12:$B$213,0),28))</f>
        <v>1147773.05</v>
      </c>
      <c r="G94" s="53">
        <f t="shared" si="9"/>
        <v>0.65812674885321099</v>
      </c>
      <c r="H94" s="53">
        <f>IF(ISERROR(INDEX(data!$A$12:$AI$213,MATCH(HLOOKUP('II. Sledování projektu'!$L$5,vstupy!$N$2:$BY$180,$B94+1,0),data!$B$12:$B$213,0),29)),"",INDEX(data!$A$12:$AI$213,MATCH(HLOOKUP('II. Sledování projektu'!$L$5,vstupy!$N$2:$BY$180,$B94+1,0),data!$B$12:$B$213,0),29))</f>
        <v>0.14015691912963066</v>
      </c>
      <c r="I94" s="54">
        <f>IF(ISERROR(INDEX(data!$A$12:$AI$213,MATCH(HLOOKUP('II. Sledování projektu'!$L$5,vstupy!$N$2:$BY$180,$B94+1,0),data!$B$12:$B$213,0),31)),"",INDEX(data!$A$12:$AI$213,MATCH(HLOOKUP('II. Sledování projektu'!$L$5,vstupy!$N$2:$BY$180,$B94+1,0),data!$B$12:$B$213,0),31))</f>
        <v>276957.61</v>
      </c>
      <c r="J94" s="53">
        <f t="shared" si="10"/>
        <v>0.15880596903669725</v>
      </c>
      <c r="K94" s="53">
        <f t="shared" si="12"/>
        <v>1.1330583607493407</v>
      </c>
      <c r="L94" s="54">
        <f>IF(ISERROR(INDEX(data!$A$12:$AI$213,MATCH(HLOOKUP('II. Sledování projektu'!$L$5,vstupy!$N$2:$BY$180,$B94+1,0),data!$B$12:$B$213,0),32)),"",INDEX(data!$A$12:$AI$213,MATCH(HLOOKUP('II. Sledování projektu'!$L$5,vstupy!$N$2:$BY$180,$B94+1,0),data!$B$12:$B$213,0),32))</f>
        <v>209503.67</v>
      </c>
      <c r="M94" s="53">
        <f t="shared" si="8"/>
        <v>0.43066874716113068</v>
      </c>
      <c r="N94" s="54">
        <f>IF(ISERROR(VLOOKUP(C94,data!$C$12:$AD$213,28,0)),0,VLOOKUP(C94,data!$C$12:$AD$213,28,0))</f>
        <v>244433.66696207586</v>
      </c>
    </row>
    <row r="95" spans="2:14" x14ac:dyDescent="0.2">
      <c r="B95" s="19">
        <f t="shared" si="11"/>
        <v>90</v>
      </c>
      <c r="C95" s="19" t="str">
        <f>IF(ISERROR(INDEX(data!$A$12:$AI$213,MATCH(HLOOKUP('II. Sledování projektu'!$L$5,vstupy!$N$2:$BY$180,$B95+1,0),data!$B$12:$B$213,0),3)),"",INDEX(data!$A$12:$AI$213,MATCH(HLOOKUP('II. Sledování projektu'!$L$5,vstupy!$N$2:$BY$180,$B95+1,0),data!$B$12:$B$213,0),3))</f>
        <v>Ostravské výstavy, a.s.</v>
      </c>
      <c r="D95" s="156">
        <f>IF(ISERROR(INDEX(data!$A$12:$AI$213,MATCH(HLOOKUP('II. Sledování projektu'!$L$5,vstupy!$N$2:$BY$180,$B95+1,0),data!$B$12:$B$213,0),35)),"",INDEX(data!$A$12:$AI$213,MATCH(HLOOKUP('II. Sledování projektu'!$L$5,vstupy!$N$2:$BY$180,$B95+1,0),data!$B$12:$B$213,0),35))</f>
        <v>64.9520871061018</v>
      </c>
      <c r="E95" s="49">
        <f>IF(ISERROR(INDEX(data!$A$12:$AI$213,MATCH(HLOOKUP('II. Sledování projektu'!$L$5,vstupy!$N$2:$BY$180,$B95+1,0),data!$B$12:$B$213,0),27)),"",INDEX(data!$A$12:$AI$213,MATCH(HLOOKUP('II. Sledování projektu'!$L$5,vstupy!$N$2:$BY$180,$B95+1,0),data!$B$12:$B$213,0),27))</f>
        <v>11984500</v>
      </c>
      <c r="F95" s="54">
        <f>IF(ISERROR(INDEX(data!$A$12:$AI$213,MATCH(HLOOKUP('II. Sledování projektu'!$L$5,vstupy!$N$2:$BY$180,$B95+1,0),data!$B$12:$B$213,0),28)),"",INDEX(data!$A$12:$AI$213,MATCH(HLOOKUP('II. Sledování projektu'!$L$5,vstupy!$N$2:$BY$180,$B95+1,0),data!$B$12:$B$213,0),28))</f>
        <v>2856465.0200000005</v>
      </c>
      <c r="G95" s="53">
        <f t="shared" si="9"/>
        <v>0.23834661604572577</v>
      </c>
      <c r="H95" s="53">
        <f>IF(ISERROR(INDEX(data!$A$12:$AI$213,MATCH(HLOOKUP('II. Sledování projektu'!$L$5,vstupy!$N$2:$BY$180,$B95+1,0),data!$B$12:$B$213,0),29)),"",INDEX(data!$A$12:$AI$213,MATCH(HLOOKUP('II. Sledování projektu'!$L$5,vstupy!$N$2:$BY$180,$B95+1,0),data!$B$12:$B$213,0),29))</f>
        <v>0.13</v>
      </c>
      <c r="I95" s="54">
        <f>IF(ISERROR(INDEX(data!$A$12:$AI$213,MATCH(HLOOKUP('II. Sledování projektu'!$L$5,vstupy!$N$2:$BY$180,$B95+1,0),data!$B$12:$B$213,0),31)),"",INDEX(data!$A$12:$AI$213,MATCH(HLOOKUP('II. Sledování projektu'!$L$5,vstupy!$N$2:$BY$180,$B95+1,0),data!$B$12:$B$213,0),31))</f>
        <v>1377122.58</v>
      </c>
      <c r="J95" s="53">
        <f t="shared" si="10"/>
        <v>0.11490863865826693</v>
      </c>
      <c r="K95" s="53">
        <f t="shared" si="12"/>
        <v>0.88391260506359182</v>
      </c>
      <c r="L95" s="54">
        <f>IF(ISERROR(INDEX(data!$A$12:$AI$213,MATCH(HLOOKUP('II. Sledování projektu'!$L$5,vstupy!$N$2:$BY$180,$B95+1,0),data!$B$12:$B$213,0),32)),"",INDEX(data!$A$12:$AI$213,MATCH(HLOOKUP('II. Sledování projektu'!$L$5,vstupy!$N$2:$BY$180,$B95+1,0),data!$B$12:$B$213,0),32))</f>
        <v>753894.08000000007</v>
      </c>
      <c r="M95" s="53">
        <f t="shared" si="8"/>
        <v>0.35377202541438602</v>
      </c>
      <c r="N95" s="54">
        <f>IF(ISERROR(VLOOKUP(C95,data!$C$12:$AD$213,28,0)),0,VLOOKUP(C95,data!$C$12:$AD$213,28,0))</f>
        <v>1557985</v>
      </c>
    </row>
    <row r="96" spans="2:14" x14ac:dyDescent="0.2">
      <c r="B96" s="19">
        <f t="shared" si="11"/>
        <v>91</v>
      </c>
      <c r="C96" s="19" t="str">
        <f>IF(ISERROR(INDEX(data!$A$12:$AI$213,MATCH(HLOOKUP('II. Sledování projektu'!$L$5,vstupy!$N$2:$BY$180,$B96+1,0),data!$B$12:$B$213,0),3)),"",INDEX(data!$A$12:$AI$213,MATCH(HLOOKUP('II. Sledování projektu'!$L$5,vstupy!$N$2:$BY$180,$B96+1,0),data!$B$12:$B$213,0),3))</f>
        <v>Ostravský informační servis</v>
      </c>
      <c r="D96" s="156">
        <f>IF(ISERROR(INDEX(data!$A$12:$AI$213,MATCH(HLOOKUP('II. Sledování projektu'!$L$5,vstupy!$N$2:$BY$180,$B96+1,0),data!$B$12:$B$213,0),35)),"",INDEX(data!$A$12:$AI$213,MATCH(HLOOKUP('II. Sledování projektu'!$L$5,vstupy!$N$2:$BY$180,$B96+1,0),data!$B$12:$B$213,0),35))</f>
        <v>40.091105862454938</v>
      </c>
      <c r="E96" s="49">
        <f>IF(ISERROR(INDEX(data!$A$12:$AI$213,MATCH(HLOOKUP('II. Sledování projektu'!$L$5,vstupy!$N$2:$BY$180,$B96+1,0),data!$B$12:$B$213,0),27)),"",INDEX(data!$A$12:$AI$213,MATCH(HLOOKUP('II. Sledování projektu'!$L$5,vstupy!$N$2:$BY$180,$B96+1,0),data!$B$12:$B$213,0),27))</f>
        <v>2965350</v>
      </c>
      <c r="F96" s="54">
        <f>IF(ISERROR(INDEX(data!$A$12:$AI$213,MATCH(HLOOKUP('II. Sledování projektu'!$L$5,vstupy!$N$2:$BY$180,$B96+1,0),data!$B$12:$B$213,0),28)),"",INDEX(data!$A$12:$AI$213,MATCH(HLOOKUP('II. Sledování projektu'!$L$5,vstupy!$N$2:$BY$180,$B96+1,0),data!$B$12:$B$213,0),28))</f>
        <v>2049325</v>
      </c>
      <c r="G96" s="53">
        <f t="shared" si="9"/>
        <v>0.69109042777412444</v>
      </c>
      <c r="H96" s="53">
        <f>IF(ISERROR(INDEX(data!$A$12:$AI$213,MATCH(HLOOKUP('II. Sledování projektu'!$L$5,vstupy!$N$2:$BY$180,$B96+1,0),data!$B$12:$B$213,0),29)),"",INDEX(data!$A$12:$AI$213,MATCH(HLOOKUP('II. Sledování projektu'!$L$5,vstupy!$N$2:$BY$180,$B96+1,0),data!$B$12:$B$213,0),29))</f>
        <v>0.13</v>
      </c>
      <c r="I96" s="54">
        <f>IF(ISERROR(INDEX(data!$A$12:$AI$213,MATCH(HLOOKUP('II. Sledování projektu'!$L$5,vstupy!$N$2:$BY$180,$B96+1,0),data!$B$12:$B$213,0),31)),"",INDEX(data!$A$12:$AI$213,MATCH(HLOOKUP('II. Sledování projektu'!$L$5,vstupy!$N$2:$BY$180,$B96+1,0),data!$B$12:$B$213,0),31))</f>
        <v>35572.14</v>
      </c>
      <c r="J96" s="53">
        <f t="shared" si="10"/>
        <v>1.1995933026455562E-2</v>
      </c>
      <c r="K96" s="53">
        <f t="shared" si="12"/>
        <v>9.2276407895812013E-2</v>
      </c>
      <c r="L96" s="54">
        <f>IF(ISERROR(INDEX(data!$A$12:$AI$213,MATCH(HLOOKUP('II. Sledování projektu'!$L$5,vstupy!$N$2:$BY$180,$B96+1,0),data!$B$12:$B$213,0),32)),"",INDEX(data!$A$12:$AI$213,MATCH(HLOOKUP('II. Sledování projektu'!$L$5,vstupy!$N$2:$BY$180,$B96+1,0),data!$B$12:$B$213,0),32))</f>
        <v>51132.579999999994</v>
      </c>
      <c r="M96" s="53">
        <f t="shared" si="8"/>
        <v>0.58973236981792909</v>
      </c>
      <c r="N96" s="54">
        <f>IF(ISERROR(VLOOKUP(C96,data!$C$12:$AD$213,28,0)),0,VLOOKUP(C96,data!$C$12:$AD$213,28,0))</f>
        <v>385495.5</v>
      </c>
    </row>
    <row r="97" spans="2:14" x14ac:dyDescent="0.2">
      <c r="B97" s="19">
        <f t="shared" si="11"/>
        <v>92</v>
      </c>
      <c r="C97" s="19" t="str">
        <f>IF(ISERROR(INDEX(data!$A$12:$AI$213,MATCH(HLOOKUP('II. Sledování projektu'!$L$5,vstupy!$N$2:$BY$180,$B97+1,0),data!$B$12:$B$213,0),3)),"",INDEX(data!$A$12:$AI$213,MATCH(HLOOKUP('II. Sledování projektu'!$L$5,vstupy!$N$2:$BY$180,$B97+1,0),data!$B$12:$B$213,0),3))</f>
        <v>OVA!!!CLOUD.net a.s.</v>
      </c>
      <c r="D97" s="156">
        <f>IF(ISERROR(INDEX(data!$A$12:$AI$213,MATCH(HLOOKUP('II. Sledování projektu'!$L$5,vstupy!$N$2:$BY$180,$B97+1,0),data!$B$12:$B$213,0),35)),"",INDEX(data!$A$12:$AI$213,MATCH(HLOOKUP('II. Sledování projektu'!$L$5,vstupy!$N$2:$BY$180,$B97+1,0),data!$B$12:$B$213,0),35))</f>
        <v>49.815953794437569</v>
      </c>
      <c r="E97" s="49">
        <f>IF(ISERROR(INDEX(data!$A$12:$AI$213,MATCH(HLOOKUP('II. Sledování projektu'!$L$5,vstupy!$N$2:$BY$180,$B97+1,0),data!$B$12:$B$213,0),27)),"",INDEX(data!$A$12:$AI$213,MATCH(HLOOKUP('II. Sledování projektu'!$L$5,vstupy!$N$2:$BY$180,$B97+1,0),data!$B$12:$B$213,0),27))</f>
        <v>15766500</v>
      </c>
      <c r="F97" s="54">
        <f>IF(ISERROR(INDEX(data!$A$12:$AI$213,MATCH(HLOOKUP('II. Sledování projektu'!$L$5,vstupy!$N$2:$BY$180,$B97+1,0),data!$B$12:$B$213,0),28)),"",INDEX(data!$A$12:$AI$213,MATCH(HLOOKUP('II. Sledování projektu'!$L$5,vstupy!$N$2:$BY$180,$B97+1,0),data!$B$12:$B$213,0),28))</f>
        <v>21361.51</v>
      </c>
      <c r="G97" s="53">
        <f t="shared" si="9"/>
        <v>1.3548669647670693E-3</v>
      </c>
      <c r="H97" s="53">
        <f>IF(ISERROR(INDEX(data!$A$12:$AI$213,MATCH(HLOOKUP('II. Sledování projektu'!$L$5,vstupy!$N$2:$BY$180,$B97+1,0),data!$B$12:$B$213,0),29)),"",INDEX(data!$A$12:$AI$213,MATCH(HLOOKUP('II. Sledování projektu'!$L$5,vstupy!$N$2:$BY$180,$B97+1,0),data!$B$12:$B$213,0),29))</f>
        <v>0.02</v>
      </c>
      <c r="I97" s="54">
        <f>IF(ISERROR(INDEX(data!$A$12:$AI$213,MATCH(HLOOKUP('II. Sledování projektu'!$L$5,vstupy!$N$2:$BY$180,$B97+1,0),data!$B$12:$B$213,0),31)),"",INDEX(data!$A$12:$AI$213,MATCH(HLOOKUP('II. Sledování projektu'!$L$5,vstupy!$N$2:$BY$180,$B97+1,0),data!$B$12:$B$213,0),31))</f>
        <v>261451.72</v>
      </c>
      <c r="J97" s="53">
        <f t="shared" si="10"/>
        <v>1.6582736815399741E-2</v>
      </c>
      <c r="K97" s="53">
        <f t="shared" si="12"/>
        <v>0.82913684076998695</v>
      </c>
      <c r="L97" s="54">
        <f>IF(ISERROR(INDEX(data!$A$12:$AI$213,MATCH(HLOOKUP('II. Sledování projektu'!$L$5,vstupy!$N$2:$BY$180,$B97+1,0),data!$B$12:$B$213,0),32)),"",INDEX(data!$A$12:$AI$213,MATCH(HLOOKUP('II. Sledování projektu'!$L$5,vstupy!$N$2:$BY$180,$B97+1,0),data!$B$12:$B$213,0),32))</f>
        <v>166256.72</v>
      </c>
      <c r="M97" s="53">
        <f t="shared" si="8"/>
        <v>0.38871507889813911</v>
      </c>
      <c r="N97" s="54">
        <f>IF(ISERROR(VLOOKUP(C97,data!$C$12:$AD$213,28,0)),0,VLOOKUP(C97,data!$C$12:$AD$213,28,0))</f>
        <v>315330</v>
      </c>
    </row>
    <row r="98" spans="2:14" x14ac:dyDescent="0.2">
      <c r="B98" s="19">
        <f t="shared" si="11"/>
        <v>93</v>
      </c>
      <c r="C98" s="19" t="str">
        <f>IF(ISERROR(INDEX(data!$A$12:$AI$213,MATCH(HLOOKUP('II. Sledování projektu'!$L$5,vstupy!$N$2:$BY$180,$B98+1,0),data!$B$12:$B$213,0),3)),"",INDEX(data!$A$12:$AI$213,MATCH(HLOOKUP('II. Sledování projektu'!$L$5,vstupy!$N$2:$BY$180,$B98+1,0),data!$B$12:$B$213,0),3))</f>
        <v>Středisko volného času Korunka</v>
      </c>
      <c r="D98" s="156">
        <f>IF(ISERROR(INDEX(data!$A$12:$AI$213,MATCH(HLOOKUP('II. Sledování projektu'!$L$5,vstupy!$N$2:$BY$180,$B98+1,0),data!$B$12:$B$213,0),35)),"",INDEX(data!$A$12:$AI$213,MATCH(HLOOKUP('II. Sledování projektu'!$L$5,vstupy!$N$2:$BY$180,$B98+1,0),data!$B$12:$B$213,0),35))</f>
        <v>100</v>
      </c>
      <c r="E98" s="49">
        <f>IF(ISERROR(INDEX(data!$A$12:$AI$213,MATCH(HLOOKUP('II. Sledování projektu'!$L$5,vstupy!$N$2:$BY$180,$B98+1,0),data!$B$12:$B$213,0),27)),"",INDEX(data!$A$12:$AI$213,MATCH(HLOOKUP('II. Sledování projektu'!$L$5,vstupy!$N$2:$BY$180,$B98+1,0),data!$B$12:$B$213,0),27))</f>
        <v>1791000</v>
      </c>
      <c r="F98" s="54">
        <f>IF(ISERROR(INDEX(data!$A$12:$AI$213,MATCH(HLOOKUP('II. Sledování projektu'!$L$5,vstupy!$N$2:$BY$180,$B98+1,0),data!$B$12:$B$213,0),28)),"",INDEX(data!$A$12:$AI$213,MATCH(HLOOKUP('II. Sledování projektu'!$L$5,vstupy!$N$2:$BY$180,$B98+1,0),data!$B$12:$B$213,0),28))</f>
        <v>1459310.65</v>
      </c>
      <c r="G98" s="53">
        <f t="shared" si="9"/>
        <v>0.8148021496370742</v>
      </c>
      <c r="H98" s="53">
        <f>IF(ISERROR(INDEX(data!$A$12:$AI$213,MATCH(HLOOKUP('II. Sledování projektu'!$L$5,vstupy!$N$2:$BY$180,$B98+1,0),data!$B$12:$B$213,0),29)),"",INDEX(data!$A$12:$AI$213,MATCH(HLOOKUP('II. Sledování projektu'!$L$5,vstupy!$N$2:$BY$180,$B98+1,0),data!$B$12:$B$213,0),29))</f>
        <v>0.06</v>
      </c>
      <c r="I98" s="54">
        <f>IF(ISERROR(INDEX(data!$A$12:$AI$213,MATCH(HLOOKUP('II. Sledování projektu'!$L$5,vstupy!$N$2:$BY$180,$B98+1,0),data!$B$12:$B$213,0),31)),"",INDEX(data!$A$12:$AI$213,MATCH(HLOOKUP('II. Sledování projektu'!$L$5,vstupy!$N$2:$BY$180,$B98+1,0),data!$B$12:$B$213,0),31))</f>
        <v>178213.75</v>
      </c>
      <c r="J98" s="53">
        <f t="shared" si="10"/>
        <v>9.9505164712451147E-2</v>
      </c>
      <c r="K98" s="53">
        <f t="shared" si="12"/>
        <v>1.6584194118741857</v>
      </c>
      <c r="L98" s="54">
        <f>IF(ISERROR(INDEX(data!$A$12:$AI$213,MATCH(HLOOKUP('II. Sledování projektu'!$L$5,vstupy!$N$2:$BY$180,$B98+1,0),data!$B$12:$B$213,0),32)),"",INDEX(data!$A$12:$AI$213,MATCH(HLOOKUP('II. Sledování projektu'!$L$5,vstupy!$N$2:$BY$180,$B98+1,0),data!$B$12:$B$213,0),32))</f>
        <v>81194.600000000006</v>
      </c>
      <c r="M98" s="53">
        <f t="shared" si="8"/>
        <v>0.31299917678054701</v>
      </c>
      <c r="N98" s="54">
        <f>IF(ISERROR(VLOOKUP(C98,data!$C$12:$AD$213,28,0)),0,VLOOKUP(C98,data!$C$12:$AD$213,28,0))</f>
        <v>107460</v>
      </c>
    </row>
    <row r="99" spans="2:14" x14ac:dyDescent="0.2">
      <c r="B99" s="19">
        <f t="shared" si="11"/>
        <v>94</v>
      </c>
      <c r="C99" s="19" t="str">
        <f>IF(ISERROR(INDEX(data!$A$12:$AI$213,MATCH(HLOOKUP('II. Sledování projektu'!$L$5,vstupy!$N$2:$BY$180,$B99+1,0),data!$B$12:$B$213,0),3)),"",INDEX(data!$A$12:$AI$213,MATCH(HLOOKUP('II. Sledování projektu'!$L$5,vstupy!$N$2:$BY$180,$B99+1,0),data!$B$12:$B$213,0),3))</f>
        <v>Středisko volného času O-Zábřeh</v>
      </c>
      <c r="D99" s="156">
        <f>IF(ISERROR(INDEX(data!$A$12:$AI$213,MATCH(HLOOKUP('II. Sledování projektu'!$L$5,vstupy!$N$2:$BY$180,$B99+1,0),data!$B$12:$B$213,0),35)),"",INDEX(data!$A$12:$AI$213,MATCH(HLOOKUP('II. Sledování projektu'!$L$5,vstupy!$N$2:$BY$180,$B99+1,0),data!$B$12:$B$213,0),35))</f>
        <v>99.80033509378984</v>
      </c>
      <c r="E99" s="49">
        <f>IF(ISERROR(INDEX(data!$A$12:$AI$213,MATCH(HLOOKUP('II. Sledování projektu'!$L$5,vstupy!$N$2:$BY$180,$B99+1,0),data!$B$12:$B$213,0),27)),"",INDEX(data!$A$12:$AI$213,MATCH(HLOOKUP('II. Sledování projektu'!$L$5,vstupy!$N$2:$BY$180,$B99+1,0),data!$B$12:$B$213,0),27))</f>
        <v>2745500</v>
      </c>
      <c r="F99" s="54">
        <f>IF(ISERROR(INDEX(data!$A$12:$AI$213,MATCH(HLOOKUP('II. Sledování projektu'!$L$5,vstupy!$N$2:$BY$180,$B99+1,0),data!$B$12:$B$213,0),28)),"",INDEX(data!$A$12:$AI$213,MATCH(HLOOKUP('II. Sledování projektu'!$L$5,vstupy!$N$2:$BY$180,$B99+1,0),data!$B$12:$B$213,0),28))</f>
        <v>2185436.4</v>
      </c>
      <c r="G99" s="53">
        <f t="shared" si="9"/>
        <v>0.7960067018757967</v>
      </c>
      <c r="H99" s="53">
        <f>IF(ISERROR(INDEX(data!$A$12:$AI$213,MATCH(HLOOKUP('II. Sledování projektu'!$L$5,vstupy!$N$2:$BY$180,$B99+1,0),data!$B$12:$B$213,0),29)),"",INDEX(data!$A$12:$AI$213,MATCH(HLOOKUP('II. Sledování projektu'!$L$5,vstupy!$N$2:$BY$180,$B99+1,0),data!$B$12:$B$213,0),29))</f>
        <v>0.15</v>
      </c>
      <c r="I99" s="54">
        <f>IF(ISERROR(INDEX(data!$A$12:$AI$213,MATCH(HLOOKUP('II. Sledování projektu'!$L$5,vstupy!$N$2:$BY$180,$B99+1,0),data!$B$12:$B$213,0),31)),"",INDEX(data!$A$12:$AI$213,MATCH(HLOOKUP('II. Sledování projektu'!$L$5,vstupy!$N$2:$BY$180,$B99+1,0),data!$B$12:$B$213,0),31))</f>
        <v>478602.67000000004</v>
      </c>
      <c r="J99" s="53">
        <f t="shared" si="10"/>
        <v>0.17432258969222367</v>
      </c>
      <c r="K99" s="53">
        <f t="shared" si="12"/>
        <v>1.1621505979481577</v>
      </c>
      <c r="L99" s="54">
        <f>IF(ISERROR(INDEX(data!$A$12:$AI$213,MATCH(HLOOKUP('II. Sledování projektu'!$L$5,vstupy!$N$2:$BY$180,$B99+1,0),data!$B$12:$B$213,0),32)),"",INDEX(data!$A$12:$AI$213,MATCH(HLOOKUP('II. Sledování projektu'!$L$5,vstupy!$N$2:$BY$180,$B99+1,0),data!$B$12:$B$213,0),32))</f>
        <v>197915.54</v>
      </c>
      <c r="M99" s="53">
        <f t="shared" si="8"/>
        <v>0.29255020348971833</v>
      </c>
      <c r="N99" s="54">
        <f>IF(ISERROR(VLOOKUP(C99,data!$C$12:$AD$213,28,0)),0,VLOOKUP(C99,data!$C$12:$AD$213,28,0))</f>
        <v>411825</v>
      </c>
    </row>
    <row r="100" spans="2:14" x14ac:dyDescent="0.2">
      <c r="B100" s="19">
        <f t="shared" si="11"/>
        <v>95</v>
      </c>
      <c r="C100" s="19" t="str">
        <f>IF(ISERROR(INDEX(data!$A$12:$AI$213,MATCH(HLOOKUP('II. Sledování projektu'!$L$5,vstupy!$N$2:$BY$180,$B100+1,0),data!$B$12:$B$213,0),3)),"",INDEX(data!$A$12:$AI$213,MATCH(HLOOKUP('II. Sledování projektu'!$L$5,vstupy!$N$2:$BY$180,$B100+1,0),data!$B$12:$B$213,0),3))</f>
        <v>Středisko volného času Ostrava</v>
      </c>
      <c r="D100" s="156">
        <f>IF(ISERROR(INDEX(data!$A$12:$AI$213,MATCH(HLOOKUP('II. Sledování projektu'!$L$5,vstupy!$N$2:$BY$180,$B100+1,0),data!$B$12:$B$213,0),35)),"",INDEX(data!$A$12:$AI$213,MATCH(HLOOKUP('II. Sledování projektu'!$L$5,vstupy!$N$2:$BY$180,$B100+1,0),data!$B$12:$B$213,0),35))</f>
        <v>82.152031794962127</v>
      </c>
      <c r="E100" s="49">
        <f>IF(ISERROR(INDEX(data!$A$12:$AI$213,MATCH(HLOOKUP('II. Sledování projektu'!$L$5,vstupy!$N$2:$BY$180,$B100+1,0),data!$B$12:$B$213,0),27)),"",INDEX(data!$A$12:$AI$213,MATCH(HLOOKUP('II. Sledování projektu'!$L$5,vstupy!$N$2:$BY$180,$B100+1,0),data!$B$12:$B$213,0),27))</f>
        <v>1622000</v>
      </c>
      <c r="F100" s="54">
        <f>IF(ISERROR(INDEX(data!$A$12:$AI$213,MATCH(HLOOKUP('II. Sledování projektu'!$L$5,vstupy!$N$2:$BY$180,$B100+1,0),data!$B$12:$B$213,0),28)),"",INDEX(data!$A$12:$AI$213,MATCH(HLOOKUP('II. Sledování projektu'!$L$5,vstupy!$N$2:$BY$180,$B100+1,0),data!$B$12:$B$213,0),28))</f>
        <v>1270016.54</v>
      </c>
      <c r="G100" s="53">
        <f t="shared" si="9"/>
        <v>0.78299416769420471</v>
      </c>
      <c r="H100" s="53">
        <f>IF(ISERROR(INDEX(data!$A$12:$AI$213,MATCH(HLOOKUP('II. Sledování projektu'!$L$5,vstupy!$N$2:$BY$180,$B100+1,0),data!$B$12:$B$213,0),29)),"",INDEX(data!$A$12:$AI$213,MATCH(HLOOKUP('II. Sledování projektu'!$L$5,vstupy!$N$2:$BY$180,$B100+1,0),data!$B$12:$B$213,0),29))</f>
        <v>0.14000000000000001</v>
      </c>
      <c r="I100" s="54">
        <f>IF(ISERROR(INDEX(data!$A$12:$AI$213,MATCH(HLOOKUP('II. Sledování projektu'!$L$5,vstupy!$N$2:$BY$180,$B100+1,0),data!$B$12:$B$213,0),31)),"",INDEX(data!$A$12:$AI$213,MATCH(HLOOKUP('II. Sledování projektu'!$L$5,vstupy!$N$2:$BY$180,$B100+1,0),data!$B$12:$B$213,0),31))</f>
        <v>162749.46000000002</v>
      </c>
      <c r="J100" s="53">
        <f t="shared" si="10"/>
        <v>0.1003387546239211</v>
      </c>
      <c r="K100" s="53">
        <f t="shared" si="12"/>
        <v>0.71670539017086488</v>
      </c>
      <c r="L100" s="54">
        <f>IF(ISERROR(INDEX(data!$A$12:$AI$213,MATCH(HLOOKUP('II. Sledování projektu'!$L$5,vstupy!$N$2:$BY$180,$B100+1,0),data!$B$12:$B$213,0),32)),"",INDEX(data!$A$12:$AI$213,MATCH(HLOOKUP('II. Sledování projektu'!$L$5,vstupy!$N$2:$BY$180,$B100+1,0),data!$B$12:$B$213,0),32))</f>
        <v>52723.26</v>
      </c>
      <c r="M100" s="53">
        <f t="shared" si="8"/>
        <v>0.24468647353595385</v>
      </c>
      <c r="N100" s="54">
        <f>IF(ISERROR(VLOOKUP(C100,data!$C$12:$AD$213,28,0)),0,VLOOKUP(C100,data!$C$12:$AD$213,28,0))</f>
        <v>227080.00000000003</v>
      </c>
    </row>
    <row r="101" spans="2:14" x14ac:dyDescent="0.2">
      <c r="B101" s="19">
        <f t="shared" si="11"/>
        <v>96</v>
      </c>
      <c r="C101" s="19" t="str">
        <f>IF(ISERROR(INDEX(data!$A$12:$AI$213,MATCH(HLOOKUP('II. Sledování projektu'!$L$5,vstupy!$N$2:$BY$180,$B101+1,0),data!$B$12:$B$213,0),3)),"",INDEX(data!$A$12:$AI$213,MATCH(HLOOKUP('II. Sledování projektu'!$L$5,vstupy!$N$2:$BY$180,$B101+1,0),data!$B$12:$B$213,0),3))</f>
        <v>Technické služby Moravská Ostrava a Přívoz</v>
      </c>
      <c r="D101" s="156">
        <f>IF(ISERROR(INDEX(data!$A$12:$AI$213,MATCH(HLOOKUP('II. Sledování projektu'!$L$5,vstupy!$N$2:$BY$180,$B101+1,0),data!$B$12:$B$213,0),35)),"",INDEX(data!$A$12:$AI$213,MATCH(HLOOKUP('II. Sledování projektu'!$L$5,vstupy!$N$2:$BY$180,$B101+1,0),data!$B$12:$B$213,0),35))</f>
        <v>58.187651848145045</v>
      </c>
      <c r="E101" s="49">
        <f>IF(ISERROR(INDEX(data!$A$12:$AI$213,MATCH(HLOOKUP('II. Sledování projektu'!$L$5,vstupy!$N$2:$BY$180,$B101+1,0),data!$B$12:$B$213,0),27)),"",INDEX(data!$A$12:$AI$213,MATCH(HLOOKUP('II. Sledování projektu'!$L$5,vstupy!$N$2:$BY$180,$B101+1,0),data!$B$12:$B$213,0),27))</f>
        <v>10315050</v>
      </c>
      <c r="F101" s="54">
        <f>IF(ISERROR(INDEX(data!$A$12:$AI$213,MATCH(HLOOKUP('II. Sledování projektu'!$L$5,vstupy!$N$2:$BY$180,$B101+1,0),data!$B$12:$B$213,0),28)),"",INDEX(data!$A$12:$AI$213,MATCH(HLOOKUP('II. Sledování projektu'!$L$5,vstupy!$N$2:$BY$180,$B101+1,0),data!$B$12:$B$213,0),28))</f>
        <v>4863845.5</v>
      </c>
      <c r="G101" s="53">
        <f t="shared" si="9"/>
        <v>0.47152902797368895</v>
      </c>
      <c r="H101" s="53">
        <f>IF(ISERROR(INDEX(data!$A$12:$AI$213,MATCH(HLOOKUP('II. Sledování projektu'!$L$5,vstupy!$N$2:$BY$180,$B101+1,0),data!$B$12:$B$213,0),29)),"",INDEX(data!$A$12:$AI$213,MATCH(HLOOKUP('II. Sledování projektu'!$L$5,vstupy!$N$2:$BY$180,$B101+1,0),data!$B$12:$B$213,0),29))</f>
        <v>0.43912186127453956</v>
      </c>
      <c r="I101" s="54">
        <f>IF(ISERROR(INDEX(data!$A$12:$AI$213,MATCH(HLOOKUP('II. Sledování projektu'!$L$5,vstupy!$N$2:$BY$180,$B101+1,0),data!$B$12:$B$213,0),31)),"",INDEX(data!$A$12:$AI$213,MATCH(HLOOKUP('II. Sledování projektu'!$L$5,vstupy!$N$2:$BY$180,$B101+1,0),data!$B$12:$B$213,0),31))</f>
        <v>2612894.1</v>
      </c>
      <c r="J101" s="53">
        <f t="shared" si="10"/>
        <v>0.25330891270522199</v>
      </c>
      <c r="K101" s="53">
        <f t="shared" si="12"/>
        <v>0.57685334082434325</v>
      </c>
      <c r="L101" s="54">
        <f>IF(ISERROR(INDEX(data!$A$12:$AI$213,MATCH(HLOOKUP('II. Sledování projektu'!$L$5,vstupy!$N$2:$BY$180,$B101+1,0),data!$B$12:$B$213,0),32)),"",INDEX(data!$A$12:$AI$213,MATCH(HLOOKUP('II. Sledování projektu'!$L$5,vstupy!$N$2:$BY$180,$B101+1,0),data!$B$12:$B$213,0),32))</f>
        <v>213746.06</v>
      </c>
      <c r="M101" s="53">
        <f t="shared" si="8"/>
        <v>7.5618419006683882E-2</v>
      </c>
      <c r="N101" s="54">
        <f>IF(ISERROR(VLOOKUP(C101,data!$C$12:$AD$213,28,0)),0,VLOOKUP(C101,data!$C$12:$AD$213,28,0))</f>
        <v>4529563.9551399397</v>
      </c>
    </row>
    <row r="102" spans="2:14" x14ac:dyDescent="0.2">
      <c r="B102" s="19">
        <f t="shared" si="11"/>
        <v>97</v>
      </c>
      <c r="C102" s="19" t="str">
        <f>IF(ISERROR(INDEX(data!$A$12:$AI$213,MATCH(HLOOKUP('II. Sledování projektu'!$L$5,vstupy!$N$2:$BY$180,$B102+1,0),data!$B$12:$B$213,0),3)),"",INDEX(data!$A$12:$AI$213,MATCH(HLOOKUP('II. Sledování projektu'!$L$5,vstupy!$N$2:$BY$180,$B102+1,0),data!$B$12:$B$213,0),3))</f>
        <v>Technické služby O-Jih</v>
      </c>
      <c r="D102" s="156">
        <f>IF(ISERROR(INDEX(data!$A$12:$AI$213,MATCH(HLOOKUP('II. Sledování projektu'!$L$5,vstupy!$N$2:$BY$180,$B102+1,0),data!$B$12:$B$213,0),35)),"",INDEX(data!$A$12:$AI$213,MATCH(HLOOKUP('II. Sledování projektu'!$L$5,vstupy!$N$2:$BY$180,$B102+1,0),data!$B$12:$B$213,0),35))</f>
        <v>40.022607500357502</v>
      </c>
      <c r="E102" s="49">
        <f>IF(ISERROR(INDEX(data!$A$12:$AI$213,MATCH(HLOOKUP('II. Sledování projektu'!$L$5,vstupy!$N$2:$BY$180,$B102+1,0),data!$B$12:$B$213,0),27)),"",INDEX(data!$A$12:$AI$213,MATCH(HLOOKUP('II. Sledování projektu'!$L$5,vstupy!$N$2:$BY$180,$B102+1,0),data!$B$12:$B$213,0),27))</f>
        <v>1782500</v>
      </c>
      <c r="F102" s="54">
        <f>IF(ISERROR(INDEX(data!$A$12:$AI$213,MATCH(HLOOKUP('II. Sledování projektu'!$L$5,vstupy!$N$2:$BY$180,$B102+1,0),data!$B$12:$B$213,0),28)),"",INDEX(data!$A$12:$AI$213,MATCH(HLOOKUP('II. Sledování projektu'!$L$5,vstupy!$N$2:$BY$180,$B102+1,0),data!$B$12:$B$213,0),28))</f>
        <v>63209.53</v>
      </c>
      <c r="G102" s="53">
        <f t="shared" si="9"/>
        <v>3.5461166900420754E-2</v>
      </c>
      <c r="H102" s="53">
        <f>IF(ISERROR(INDEX(data!$A$12:$AI$213,MATCH(HLOOKUP('II. Sledování projektu'!$L$5,vstupy!$N$2:$BY$180,$B102+1,0),data!$B$12:$B$213,0),29)),"",INDEX(data!$A$12:$AI$213,MATCH(HLOOKUP('II. Sledování projektu'!$L$5,vstupy!$N$2:$BY$180,$B102+1,0),data!$B$12:$B$213,0),29))</f>
        <v>7.8393831087387525E-2</v>
      </c>
      <c r="I102" s="54">
        <f>IF(ISERROR(INDEX(data!$A$12:$AI$213,MATCH(HLOOKUP('II. Sledování projektu'!$L$5,vstupy!$N$2:$BY$180,$B102+1,0),data!$B$12:$B$213,0),31)),"",INDEX(data!$A$12:$AI$213,MATCH(HLOOKUP('II. Sledování projektu'!$L$5,vstupy!$N$2:$BY$180,$B102+1,0),data!$B$12:$B$213,0),31))</f>
        <v>89081.29</v>
      </c>
      <c r="J102" s="53">
        <f t="shared" si="10"/>
        <v>4.9975478260869559E-2</v>
      </c>
      <c r="K102" s="53">
        <f t="shared" si="12"/>
        <v>0.63749248592227448</v>
      </c>
      <c r="L102" s="54">
        <f>IF(ISERROR(INDEX(data!$A$12:$AI$213,MATCH(HLOOKUP('II. Sledování projektu'!$L$5,vstupy!$N$2:$BY$180,$B102+1,0),data!$B$12:$B$213,0),32)),"",INDEX(data!$A$12:$AI$213,MATCH(HLOOKUP('II. Sledování projektu'!$L$5,vstupy!$N$2:$BY$180,$B102+1,0),data!$B$12:$B$213,0),32))</f>
        <v>7947.6900000000005</v>
      </c>
      <c r="M102" s="53">
        <f t="shared" ref="M102:M133" si="13">IF(ISERROR(L102/I102),0,IF(uspora="A",L102/I102,L102/(I102+L102)))</f>
        <v>8.1910476643163727E-2</v>
      </c>
      <c r="N102" s="54">
        <f>IF(ISERROR(VLOOKUP(C102,data!$C$12:$AD$213,28,0)),0,VLOOKUP(C102,data!$C$12:$AD$213,28,0))</f>
        <v>139737.00391326827</v>
      </c>
    </row>
    <row r="103" spans="2:14" x14ac:dyDescent="0.2">
      <c r="B103" s="19">
        <f t="shared" si="11"/>
        <v>98</v>
      </c>
      <c r="C103" s="19" t="str">
        <f>IF(ISERROR(INDEX(data!$A$12:$AI$213,MATCH(HLOOKUP('II. Sledování projektu'!$L$5,vstupy!$N$2:$BY$180,$B103+1,0),data!$B$12:$B$213,0),3)),"",INDEX(data!$A$12:$AI$213,MATCH(HLOOKUP('II. Sledování projektu'!$L$5,vstupy!$N$2:$BY$180,$B103+1,0),data!$B$12:$B$213,0),3))</f>
        <v>Technické služby Slezská Ostrava</v>
      </c>
      <c r="D103" s="156">
        <f>IF(ISERROR(INDEX(data!$A$12:$AI$213,MATCH(HLOOKUP('II. Sledování projektu'!$L$5,vstupy!$N$2:$BY$180,$B103+1,0),data!$B$12:$B$213,0),35)),"",INDEX(data!$A$12:$AI$213,MATCH(HLOOKUP('II. Sledování projektu'!$L$5,vstupy!$N$2:$BY$180,$B103+1,0),data!$B$12:$B$213,0),35))</f>
        <v>64.929191992815703</v>
      </c>
      <c r="E103" s="49">
        <f>IF(ISERROR(INDEX(data!$A$12:$AI$213,MATCH(HLOOKUP('II. Sledování projektu'!$L$5,vstupy!$N$2:$BY$180,$B103+1,0),data!$B$12:$B$213,0),27)),"",INDEX(data!$A$12:$AI$213,MATCH(HLOOKUP('II. Sledování projektu'!$L$5,vstupy!$N$2:$BY$180,$B103+1,0),data!$B$12:$B$213,0),27))</f>
        <v>11661800</v>
      </c>
      <c r="F103" s="54">
        <f>IF(ISERROR(INDEX(data!$A$12:$AI$213,MATCH(HLOOKUP('II. Sledování projektu'!$L$5,vstupy!$N$2:$BY$180,$B103+1,0),data!$B$12:$B$213,0),28)),"",INDEX(data!$A$12:$AI$213,MATCH(HLOOKUP('II. Sledování projektu'!$L$5,vstupy!$N$2:$BY$180,$B103+1,0),data!$B$12:$B$213,0),28))</f>
        <v>4369441.8600000003</v>
      </c>
      <c r="G103" s="53">
        <f t="shared" si="9"/>
        <v>0.37467988303692401</v>
      </c>
      <c r="H103" s="53">
        <f>IF(ISERROR(INDEX(data!$A$12:$AI$213,MATCH(HLOOKUP('II. Sledování projektu'!$L$5,vstupy!$N$2:$BY$180,$B103+1,0),data!$B$12:$B$213,0),29)),"",INDEX(data!$A$12:$AI$213,MATCH(HLOOKUP('II. Sledování projektu'!$L$5,vstupy!$N$2:$BY$180,$B103+1,0),data!$B$12:$B$213,0),29))</f>
        <v>0.44</v>
      </c>
      <c r="I103" s="54">
        <f>IF(ISERROR(INDEX(data!$A$12:$AI$213,MATCH(HLOOKUP('II. Sledování projektu'!$L$5,vstupy!$N$2:$BY$180,$B103+1,0),data!$B$12:$B$213,0),31)),"",INDEX(data!$A$12:$AI$213,MATCH(HLOOKUP('II. Sledování projektu'!$L$5,vstupy!$N$2:$BY$180,$B103+1,0),data!$B$12:$B$213,0),31))</f>
        <v>3950607.1599999997</v>
      </c>
      <c r="J103" s="53">
        <f t="shared" si="10"/>
        <v>0.3387647841671097</v>
      </c>
      <c r="K103" s="53">
        <f t="shared" si="12"/>
        <v>0.76991996401615836</v>
      </c>
      <c r="L103" s="54">
        <f>IF(ISERROR(INDEX(data!$A$12:$AI$213,MATCH(HLOOKUP('II. Sledování projektu'!$L$5,vstupy!$N$2:$BY$180,$B103+1,0),data!$B$12:$B$213,0),32)),"",INDEX(data!$A$12:$AI$213,MATCH(HLOOKUP('II. Sledování projektu'!$L$5,vstupy!$N$2:$BY$180,$B103+1,0),data!$B$12:$B$213,0),32))</f>
        <v>252055.90000000002</v>
      </c>
      <c r="M103" s="53">
        <f t="shared" si="13"/>
        <v>5.9975281482594053E-2</v>
      </c>
      <c r="N103" s="54">
        <f>IF(ISERROR(VLOOKUP(C103,data!$C$12:$AD$213,28,0)),0,VLOOKUP(C103,data!$C$12:$AD$213,28,0))</f>
        <v>5131192</v>
      </c>
    </row>
    <row r="104" spans="2:14" x14ac:dyDescent="0.2">
      <c r="B104" s="19">
        <f t="shared" si="11"/>
        <v>99</v>
      </c>
      <c r="C104" s="19" t="str">
        <f>IF(ISERROR(INDEX(data!$A$12:$AI$213,MATCH(HLOOKUP('II. Sledování projektu'!$L$5,vstupy!$N$2:$BY$180,$B104+1,0),data!$B$12:$B$213,0),3)),"",INDEX(data!$A$12:$AI$213,MATCH(HLOOKUP('II. Sledování projektu'!$L$5,vstupy!$N$2:$BY$180,$B104+1,0),data!$B$12:$B$213,0),3))</f>
        <v>Technický dvůr O-Svinov</v>
      </c>
      <c r="D104" s="156">
        <f>IF(ISERROR(INDEX(data!$A$12:$AI$213,MATCH(HLOOKUP('II. Sledování projektu'!$L$5,vstupy!$N$2:$BY$180,$B104+1,0),data!$B$12:$B$213,0),35)),"",INDEX(data!$A$12:$AI$213,MATCH(HLOOKUP('II. Sledování projektu'!$L$5,vstupy!$N$2:$BY$180,$B104+1,0),data!$B$12:$B$213,0),35))</f>
        <v>28.896671163787424</v>
      </c>
      <c r="E104" s="49">
        <f>IF(ISERROR(INDEX(data!$A$12:$AI$213,MATCH(HLOOKUP('II. Sledování projektu'!$L$5,vstupy!$N$2:$BY$180,$B104+1,0),data!$B$12:$B$213,0),27)),"",INDEX(data!$A$12:$AI$213,MATCH(HLOOKUP('II. Sledování projektu'!$L$5,vstupy!$N$2:$BY$180,$B104+1,0),data!$B$12:$B$213,0),27))</f>
        <v>2022030</v>
      </c>
      <c r="F104" s="54">
        <f>IF(ISERROR(INDEX(data!$A$12:$AI$213,MATCH(HLOOKUP('II. Sledování projektu'!$L$5,vstupy!$N$2:$BY$180,$B104+1,0),data!$B$12:$B$213,0),28)),"",INDEX(data!$A$12:$AI$213,MATCH(HLOOKUP('II. Sledování projektu'!$L$5,vstupy!$N$2:$BY$180,$B104+1,0),data!$B$12:$B$213,0),28))</f>
        <v>344077.04000000004</v>
      </c>
      <c r="G104" s="53">
        <f t="shared" si="9"/>
        <v>0.17016416175823307</v>
      </c>
      <c r="H104" s="53">
        <f>IF(ISERROR(INDEX(data!$A$12:$AI$213,MATCH(HLOOKUP('II. Sledování projektu'!$L$5,vstupy!$N$2:$BY$180,$B104+1,0),data!$B$12:$B$213,0),29)),"",INDEX(data!$A$12:$AI$213,MATCH(HLOOKUP('II. Sledování projektu'!$L$5,vstupy!$N$2:$BY$180,$B104+1,0),data!$B$12:$B$213,0),29))</f>
        <v>0.11452894727439659</v>
      </c>
      <c r="I104" s="54">
        <f>IF(ISERROR(INDEX(data!$A$12:$AI$213,MATCH(HLOOKUP('II. Sledování projektu'!$L$5,vstupy!$N$2:$BY$180,$B104+1,0),data!$B$12:$B$213,0),31)),"",INDEX(data!$A$12:$AI$213,MATCH(HLOOKUP('II. Sledování projektu'!$L$5,vstupy!$N$2:$BY$180,$B104+1,0),data!$B$12:$B$213,0),31))</f>
        <v>78693</v>
      </c>
      <c r="J104" s="53">
        <f t="shared" si="10"/>
        <v>3.8917820210382634E-2</v>
      </c>
      <c r="K104" s="53">
        <f t="shared" si="12"/>
        <v>0.33980771793126285</v>
      </c>
      <c r="L104" s="54">
        <f>IF(ISERROR(INDEX(data!$A$12:$AI$213,MATCH(HLOOKUP('II. Sledování projektu'!$L$5,vstupy!$N$2:$BY$180,$B104+1,0),data!$B$12:$B$213,0),32)),"",INDEX(data!$A$12:$AI$213,MATCH(HLOOKUP('II. Sledování projektu'!$L$5,vstupy!$N$2:$BY$180,$B104+1,0),data!$B$12:$B$213,0),32))</f>
        <v>65394.54</v>
      </c>
      <c r="M104" s="53">
        <f t="shared" si="13"/>
        <v>0.4538528452911334</v>
      </c>
      <c r="N104" s="54">
        <f>IF(ISERROR(VLOOKUP(C104,data!$C$12:$AD$213,28,0)),0,VLOOKUP(C104,data!$C$12:$AD$213,28,0))</f>
        <v>231580.96725724815</v>
      </c>
    </row>
    <row r="105" spans="2:14" x14ac:dyDescent="0.2">
      <c r="B105" s="19">
        <f t="shared" si="11"/>
        <v>100</v>
      </c>
      <c r="C105" s="19" t="str">
        <f>IF(ISERROR(INDEX(data!$A$12:$AI$213,MATCH(HLOOKUP('II. Sledování projektu'!$L$5,vstupy!$N$2:$BY$180,$B105+1,0),data!$B$12:$B$213,0),3)),"",INDEX(data!$A$12:$AI$213,MATCH(HLOOKUP('II. Sledování projektu'!$L$5,vstupy!$N$2:$BY$180,$B105+1,0),data!$B$12:$B$213,0),3))</f>
        <v>ÚMOb Hošťálkovice</v>
      </c>
      <c r="D105" s="156">
        <f>IF(ISERROR(INDEX(data!$A$12:$AI$213,MATCH(HLOOKUP('II. Sledování projektu'!$L$5,vstupy!$N$2:$BY$180,$B105+1,0),data!$B$12:$B$213,0),35)),"",INDEX(data!$A$12:$AI$213,MATCH(HLOOKUP('II. Sledování projektu'!$L$5,vstupy!$N$2:$BY$180,$B105+1,0),data!$B$12:$B$213,0),35))</f>
        <v>55.838866713291992</v>
      </c>
      <c r="E105" s="49">
        <f>IF(ISERROR(INDEX(data!$A$12:$AI$213,MATCH(HLOOKUP('II. Sledování projektu'!$L$5,vstupy!$N$2:$BY$180,$B105+1,0),data!$B$12:$B$213,0),27)),"",INDEX(data!$A$12:$AI$213,MATCH(HLOOKUP('II. Sledování projektu'!$L$5,vstupy!$N$2:$BY$180,$B105+1,0),data!$B$12:$B$213,0),27))</f>
        <v>1756000</v>
      </c>
      <c r="F105" s="54">
        <f>IF(ISERROR(INDEX(data!$A$12:$AI$213,MATCH(HLOOKUP('II. Sledování projektu'!$L$5,vstupy!$N$2:$BY$180,$B105+1,0),data!$B$12:$B$213,0),28)),"",INDEX(data!$A$12:$AI$213,MATCH(HLOOKUP('II. Sledování projektu'!$L$5,vstupy!$N$2:$BY$180,$B105+1,0),data!$B$12:$B$213,0),28))</f>
        <v>1353627.97</v>
      </c>
      <c r="G105" s="53">
        <f t="shared" si="9"/>
        <v>0.77085875284738037</v>
      </c>
      <c r="H105" s="53">
        <f>IF(ISERROR(INDEX(data!$A$12:$AI$213,MATCH(HLOOKUP('II. Sledování projektu'!$L$5,vstupy!$N$2:$BY$180,$B105+1,0),data!$B$12:$B$213,0),29)),"",INDEX(data!$A$12:$AI$213,MATCH(HLOOKUP('II. Sledování projektu'!$L$5,vstupy!$N$2:$BY$180,$B105+1,0),data!$B$12:$B$213,0),29))</f>
        <v>0.11961456907126954</v>
      </c>
      <c r="I105" s="54">
        <f>IF(ISERROR(INDEX(data!$A$12:$AI$213,MATCH(HLOOKUP('II. Sledování projektu'!$L$5,vstupy!$N$2:$BY$180,$B105+1,0),data!$B$12:$B$213,0),31)),"",INDEX(data!$A$12:$AI$213,MATCH(HLOOKUP('II. Sledování projektu'!$L$5,vstupy!$N$2:$BY$180,$B105+1,0),data!$B$12:$B$213,0),31))</f>
        <v>60548.200000000004</v>
      </c>
      <c r="J105" s="53">
        <f t="shared" si="10"/>
        <v>3.4480751708428251E-2</v>
      </c>
      <c r="K105" s="53">
        <f t="shared" si="12"/>
        <v>0.28826548451538292</v>
      </c>
      <c r="L105" s="54">
        <f>IF(ISERROR(INDEX(data!$A$12:$AI$213,MATCH(HLOOKUP('II. Sledování projektu'!$L$5,vstupy!$N$2:$BY$180,$B105+1,0),data!$B$12:$B$213,0),32)),"",INDEX(data!$A$12:$AI$213,MATCH(HLOOKUP('II. Sledování projektu'!$L$5,vstupy!$N$2:$BY$180,$B105+1,0),data!$B$12:$B$213,0),32))</f>
        <v>34664.31</v>
      </c>
      <c r="M105" s="53">
        <f t="shared" si="13"/>
        <v>0.36407306140758178</v>
      </c>
      <c r="N105" s="54">
        <f>IF(ISERROR(VLOOKUP(C105,data!$C$12:$AD$213,28,0)),0,VLOOKUP(C105,data!$C$12:$AD$213,28,0))</f>
        <v>210043.18328914931</v>
      </c>
    </row>
    <row r="106" spans="2:14" x14ac:dyDescent="0.2">
      <c r="B106" s="19">
        <f t="shared" si="11"/>
        <v>101</v>
      </c>
      <c r="C106" s="19" t="str">
        <f>IF(ISERROR(INDEX(data!$A$12:$AI$213,MATCH(HLOOKUP('II. Sledování projektu'!$L$5,vstupy!$N$2:$BY$180,$B106+1,0),data!$B$12:$B$213,0),3)),"",INDEX(data!$A$12:$AI$213,MATCH(HLOOKUP('II. Sledování projektu'!$L$5,vstupy!$N$2:$BY$180,$B106+1,0),data!$B$12:$B$213,0),3))</f>
        <v>ÚMOb Hrabová</v>
      </c>
      <c r="D106" s="156">
        <f>IF(ISERROR(INDEX(data!$A$12:$AI$213,MATCH(HLOOKUP('II. Sledování projektu'!$L$5,vstupy!$N$2:$BY$180,$B106+1,0),data!$B$12:$B$213,0),35)),"",INDEX(data!$A$12:$AI$213,MATCH(HLOOKUP('II. Sledování projektu'!$L$5,vstupy!$N$2:$BY$180,$B106+1,0),data!$B$12:$B$213,0),35))</f>
        <v>9.5146847639782077</v>
      </c>
      <c r="E106" s="49">
        <f>IF(ISERROR(INDEX(data!$A$12:$AI$213,MATCH(HLOOKUP('II. Sledování projektu'!$L$5,vstupy!$N$2:$BY$180,$B106+1,0),data!$B$12:$B$213,0),27)),"",INDEX(data!$A$12:$AI$213,MATCH(HLOOKUP('II. Sledování projektu'!$L$5,vstupy!$N$2:$BY$180,$B106+1,0),data!$B$12:$B$213,0),27))</f>
        <v>6137500</v>
      </c>
      <c r="F106" s="54">
        <f>IF(ISERROR(INDEX(data!$A$12:$AI$213,MATCH(HLOOKUP('II. Sledování projektu'!$L$5,vstupy!$N$2:$BY$180,$B106+1,0),data!$B$12:$B$213,0),28)),"",INDEX(data!$A$12:$AI$213,MATCH(HLOOKUP('II. Sledování projektu'!$L$5,vstupy!$N$2:$BY$180,$B106+1,0),data!$B$12:$B$213,0),28))</f>
        <v>7508.54</v>
      </c>
      <c r="G106" s="53">
        <f t="shared" si="9"/>
        <v>1.2233873727087576E-3</v>
      </c>
      <c r="H106" s="53">
        <f>IF(ISERROR(INDEX(data!$A$12:$AI$213,MATCH(HLOOKUP('II. Sledování projektu'!$L$5,vstupy!$N$2:$BY$180,$B106+1,0),data!$B$12:$B$213,0),29)),"",INDEX(data!$A$12:$AI$213,MATCH(HLOOKUP('II. Sledování projektu'!$L$5,vstupy!$N$2:$BY$180,$B106+1,0),data!$B$12:$B$213,0),29))</f>
        <v>0.24360000000000001</v>
      </c>
      <c r="I106" s="54">
        <f>IF(ISERROR(INDEX(data!$A$12:$AI$213,MATCH(HLOOKUP('II. Sledování projektu'!$L$5,vstupy!$N$2:$BY$180,$B106+1,0),data!$B$12:$B$213,0),31)),"",INDEX(data!$A$12:$AI$213,MATCH(HLOOKUP('II. Sledování projektu'!$L$5,vstupy!$N$2:$BY$180,$B106+1,0),data!$B$12:$B$213,0),31))</f>
        <v>235565.06</v>
      </c>
      <c r="J106" s="53">
        <f t="shared" si="10"/>
        <v>3.838127250509165E-2</v>
      </c>
      <c r="K106" s="53">
        <f t="shared" si="12"/>
        <v>0.1575585899223795</v>
      </c>
      <c r="L106" s="54">
        <f>IF(ISERROR(INDEX(data!$A$12:$AI$213,MATCH(HLOOKUP('II. Sledování projektu'!$L$5,vstupy!$N$2:$BY$180,$B106+1,0),data!$B$12:$B$213,0),32)),"",INDEX(data!$A$12:$AI$213,MATCH(HLOOKUP('II. Sledování projektu'!$L$5,vstupy!$N$2:$BY$180,$B106+1,0),data!$B$12:$B$213,0),32))</f>
        <v>190220.34000000003</v>
      </c>
      <c r="M106" s="53">
        <f t="shared" si="13"/>
        <v>0.44675167349561545</v>
      </c>
      <c r="N106" s="54">
        <f>IF(ISERROR(VLOOKUP(C106,data!$C$12:$AD$213,28,0)),0,VLOOKUP(C106,data!$C$12:$AD$213,28,0))</f>
        <v>1495095</v>
      </c>
    </row>
    <row r="107" spans="2:14" x14ac:dyDescent="0.2">
      <c r="B107" s="19">
        <f t="shared" si="11"/>
        <v>102</v>
      </c>
      <c r="C107" s="19" t="str">
        <f>IF(ISERROR(INDEX(data!$A$12:$AI$213,MATCH(HLOOKUP('II. Sledování projektu'!$L$5,vstupy!$N$2:$BY$180,$B107+1,0),data!$B$12:$B$213,0),3)),"",INDEX(data!$A$12:$AI$213,MATCH(HLOOKUP('II. Sledování projektu'!$L$5,vstupy!$N$2:$BY$180,$B107+1,0),data!$B$12:$B$213,0),3))</f>
        <v>ÚMOb Krásné Pole</v>
      </c>
      <c r="D107" s="156">
        <f>IF(ISERROR(INDEX(data!$A$12:$AI$213,MATCH(HLOOKUP('II. Sledování projektu'!$L$5,vstupy!$N$2:$BY$180,$B107+1,0),data!$B$12:$B$213,0),35)),"",INDEX(data!$A$12:$AI$213,MATCH(HLOOKUP('II. Sledování projektu'!$L$5,vstupy!$N$2:$BY$180,$B107+1,0),data!$B$12:$B$213,0),35))</f>
        <v>69.574522656504556</v>
      </c>
      <c r="E107" s="49">
        <f>IF(ISERROR(INDEX(data!$A$12:$AI$213,MATCH(HLOOKUP('II. Sledování projektu'!$L$5,vstupy!$N$2:$BY$180,$B107+1,0),data!$B$12:$B$213,0),27)),"",INDEX(data!$A$12:$AI$213,MATCH(HLOOKUP('II. Sledování projektu'!$L$5,vstupy!$N$2:$BY$180,$B107+1,0),data!$B$12:$B$213,0),27))</f>
        <v>1711000</v>
      </c>
      <c r="F107" s="54">
        <f>IF(ISERROR(INDEX(data!$A$12:$AI$213,MATCH(HLOOKUP('II. Sledování projektu'!$L$5,vstupy!$N$2:$BY$180,$B107+1,0),data!$B$12:$B$213,0),28)),"",INDEX(data!$A$12:$AI$213,MATCH(HLOOKUP('II. Sledování projektu'!$L$5,vstupy!$N$2:$BY$180,$B107+1,0),data!$B$12:$B$213,0),28))</f>
        <v>1682571.74</v>
      </c>
      <c r="G107" s="53">
        <f t="shared" si="9"/>
        <v>0.98338500292226771</v>
      </c>
      <c r="H107" s="53">
        <f>IF(ISERROR(INDEX(data!$A$12:$AI$213,MATCH(HLOOKUP('II. Sledování projektu'!$L$5,vstupy!$N$2:$BY$180,$B107+1,0),data!$B$12:$B$213,0),29)),"",INDEX(data!$A$12:$AI$213,MATCH(HLOOKUP('II. Sledování projektu'!$L$5,vstupy!$N$2:$BY$180,$B107+1,0),data!$B$12:$B$213,0),29))</f>
        <v>0.1634802309946293</v>
      </c>
      <c r="I107" s="54">
        <f>IF(ISERROR(INDEX(data!$A$12:$AI$213,MATCH(HLOOKUP('II. Sledování projektu'!$L$5,vstupy!$N$2:$BY$180,$B107+1,0),data!$B$12:$B$213,0),31)),"",INDEX(data!$A$12:$AI$213,MATCH(HLOOKUP('II. Sledování projektu'!$L$5,vstupy!$N$2:$BY$180,$B107+1,0),data!$B$12:$B$213,0),31))</f>
        <v>137873.79999999999</v>
      </c>
      <c r="J107" s="53">
        <f t="shared" si="10"/>
        <v>8.0580829924021033E-2</v>
      </c>
      <c r="K107" s="53">
        <f t="shared" si="12"/>
        <v>0.49290871094174254</v>
      </c>
      <c r="L107" s="54">
        <f>IF(ISERROR(INDEX(data!$A$12:$AI$213,MATCH(HLOOKUP('II. Sledování projektu'!$L$5,vstupy!$N$2:$BY$180,$B107+1,0),data!$B$12:$B$213,0),32)),"",INDEX(data!$A$12:$AI$213,MATCH(HLOOKUP('II. Sledování projektu'!$L$5,vstupy!$N$2:$BY$180,$B107+1,0),data!$B$12:$B$213,0),32))</f>
        <v>114153.26999999999</v>
      </c>
      <c r="M107" s="53">
        <f t="shared" si="13"/>
        <v>0.45294051150933906</v>
      </c>
      <c r="N107" s="54">
        <f>IF(ISERROR(VLOOKUP(C107,data!$C$12:$AD$213,28,0)),0,VLOOKUP(C107,data!$C$12:$AD$213,28,0))</f>
        <v>279714.67523181072</v>
      </c>
    </row>
    <row r="108" spans="2:14" x14ac:dyDescent="0.2">
      <c r="B108" s="19">
        <f t="shared" si="11"/>
        <v>103</v>
      </c>
      <c r="C108" s="19" t="str">
        <f>IF(ISERROR(INDEX(data!$A$12:$AI$213,MATCH(HLOOKUP('II. Sledování projektu'!$L$5,vstupy!$N$2:$BY$180,$B108+1,0),data!$B$12:$B$213,0),3)),"",INDEX(data!$A$12:$AI$213,MATCH(HLOOKUP('II. Sledování projektu'!$L$5,vstupy!$N$2:$BY$180,$B108+1,0),data!$B$12:$B$213,0),3))</f>
        <v>ÚMOb Lhotka</v>
      </c>
      <c r="D108" s="156">
        <f>IF(ISERROR(INDEX(data!$A$12:$AI$213,MATCH(HLOOKUP('II. Sledování projektu'!$L$5,vstupy!$N$2:$BY$180,$B108+1,0),data!$B$12:$B$213,0),35)),"",INDEX(data!$A$12:$AI$213,MATCH(HLOOKUP('II. Sledování projektu'!$L$5,vstupy!$N$2:$BY$180,$B108+1,0),data!$B$12:$B$213,0),35))</f>
        <v>36.235518367960466</v>
      </c>
      <c r="E108" s="49">
        <f>IF(ISERROR(INDEX(data!$A$12:$AI$213,MATCH(HLOOKUP('II. Sledování projektu'!$L$5,vstupy!$N$2:$BY$180,$B108+1,0),data!$B$12:$B$213,0),27)),"",INDEX(data!$A$12:$AI$213,MATCH(HLOOKUP('II. Sledování projektu'!$L$5,vstupy!$N$2:$BY$180,$B108+1,0),data!$B$12:$B$213,0),27))</f>
        <v>920500</v>
      </c>
      <c r="F108" s="54">
        <f>IF(ISERROR(INDEX(data!$A$12:$AI$213,MATCH(HLOOKUP('II. Sledování projektu'!$L$5,vstupy!$N$2:$BY$180,$B108+1,0),data!$B$12:$B$213,0),28)),"",INDEX(data!$A$12:$AI$213,MATCH(HLOOKUP('II. Sledování projektu'!$L$5,vstupy!$N$2:$BY$180,$B108+1,0),data!$B$12:$B$213,0),28))</f>
        <v>0</v>
      </c>
      <c r="G108" s="53">
        <f t="shared" si="9"/>
        <v>0</v>
      </c>
      <c r="H108" s="53">
        <f>IF(ISERROR(INDEX(data!$A$12:$AI$213,MATCH(HLOOKUP('II. Sledování projektu'!$L$5,vstupy!$N$2:$BY$180,$B108+1,0),data!$B$12:$B$213,0),29)),"",INDEX(data!$A$12:$AI$213,MATCH(HLOOKUP('II. Sledování projektu'!$L$5,vstupy!$N$2:$BY$180,$B108+1,0),data!$B$12:$B$213,0),29))</f>
        <v>0.18939041492615671</v>
      </c>
      <c r="I108" s="54">
        <f>IF(ISERROR(INDEX(data!$A$12:$AI$213,MATCH(HLOOKUP('II. Sledování projektu'!$L$5,vstupy!$N$2:$BY$180,$B108+1,0),data!$B$12:$B$213,0),31)),"",INDEX(data!$A$12:$AI$213,MATCH(HLOOKUP('II. Sledování projektu'!$L$5,vstupy!$N$2:$BY$180,$B108+1,0),data!$B$12:$B$213,0),31))</f>
        <v>105284.64</v>
      </c>
      <c r="J108" s="53">
        <f t="shared" si="10"/>
        <v>0.11437766431287344</v>
      </c>
      <c r="K108" s="53">
        <f t="shared" si="12"/>
        <v>0.60392530613267448</v>
      </c>
      <c r="L108" s="54">
        <f>IF(ISERROR(INDEX(data!$A$12:$AI$213,MATCH(HLOOKUP('II. Sledování projektu'!$L$5,vstupy!$N$2:$BY$180,$B108+1,0),data!$B$12:$B$213,0),32)),"",INDEX(data!$A$12:$AI$213,MATCH(HLOOKUP('II. Sledování projektu'!$L$5,vstupy!$N$2:$BY$180,$B108+1,0),data!$B$12:$B$213,0),32))</f>
        <v>84128.4</v>
      </c>
      <c r="M108" s="53">
        <f t="shared" si="13"/>
        <v>0.44415315862096932</v>
      </c>
      <c r="N108" s="54">
        <f>IF(ISERROR(VLOOKUP(C108,data!$C$12:$AD$213,28,0)),0,VLOOKUP(C108,data!$C$12:$AD$213,28,0))</f>
        <v>174333.87693952725</v>
      </c>
    </row>
    <row r="109" spans="2:14" x14ac:dyDescent="0.2">
      <c r="B109" s="19">
        <f t="shared" si="11"/>
        <v>104</v>
      </c>
      <c r="C109" s="19" t="str">
        <f>IF(ISERROR(INDEX(data!$A$12:$AI$213,MATCH(HLOOKUP('II. Sledování projektu'!$L$5,vstupy!$N$2:$BY$180,$B109+1,0),data!$B$12:$B$213,0),3)),"",INDEX(data!$A$12:$AI$213,MATCH(HLOOKUP('II. Sledování projektu'!$L$5,vstupy!$N$2:$BY$180,$B109+1,0),data!$B$12:$B$213,0),3))</f>
        <v>ÚMOb Mariánské Hory a Hulváky</v>
      </c>
      <c r="D109" s="156">
        <f>IF(ISERROR(INDEX(data!$A$12:$AI$213,MATCH(HLOOKUP('II. Sledování projektu'!$L$5,vstupy!$N$2:$BY$180,$B109+1,0),data!$B$12:$B$213,0),35)),"",INDEX(data!$A$12:$AI$213,MATCH(HLOOKUP('II. Sledování projektu'!$L$5,vstupy!$N$2:$BY$180,$B109+1,0),data!$B$12:$B$213,0),35))</f>
        <v>34.941710280113874</v>
      </c>
      <c r="E109" s="49">
        <f>IF(ISERROR(INDEX(data!$A$12:$AI$213,MATCH(HLOOKUP('II. Sledování projektu'!$L$5,vstupy!$N$2:$BY$180,$B109+1,0),data!$B$12:$B$213,0),27)),"",INDEX(data!$A$12:$AI$213,MATCH(HLOOKUP('II. Sledování projektu'!$L$5,vstupy!$N$2:$BY$180,$B109+1,0),data!$B$12:$B$213,0),27))</f>
        <v>35609500</v>
      </c>
      <c r="F109" s="54">
        <f>IF(ISERROR(INDEX(data!$A$12:$AI$213,MATCH(HLOOKUP('II. Sledování projektu'!$L$5,vstupy!$N$2:$BY$180,$B109+1,0),data!$B$12:$B$213,0),28)),"",INDEX(data!$A$12:$AI$213,MATCH(HLOOKUP('II. Sledování projektu'!$L$5,vstupy!$N$2:$BY$180,$B109+1,0),data!$B$12:$B$213,0),28))</f>
        <v>22875965.93</v>
      </c>
      <c r="G109" s="53">
        <f t="shared" si="9"/>
        <v>0.64241188250326453</v>
      </c>
      <c r="H109" s="53">
        <f>IF(ISERROR(INDEX(data!$A$12:$AI$213,MATCH(HLOOKUP('II. Sledování projektu'!$L$5,vstupy!$N$2:$BY$180,$B109+1,0),data!$B$12:$B$213,0),29)),"",INDEX(data!$A$12:$AI$213,MATCH(HLOOKUP('II. Sledování projektu'!$L$5,vstupy!$N$2:$BY$180,$B109+1,0),data!$B$12:$B$213,0),29))</f>
        <v>0.18018404777970171</v>
      </c>
      <c r="I109" s="54">
        <f>IF(ISERROR(INDEX(data!$A$12:$AI$213,MATCH(HLOOKUP('II. Sledování projektu'!$L$5,vstupy!$N$2:$BY$180,$B109+1,0),data!$B$12:$B$213,0),31)),"",INDEX(data!$A$12:$AI$213,MATCH(HLOOKUP('II. Sledování projektu'!$L$5,vstupy!$N$2:$BY$180,$B109+1,0),data!$B$12:$B$213,0),31))</f>
        <v>301683.76</v>
      </c>
      <c r="J109" s="53">
        <f t="shared" si="10"/>
        <v>8.4720021342619255E-3</v>
      </c>
      <c r="K109" s="53">
        <f t="shared" si="12"/>
        <v>4.7018602582510755E-2</v>
      </c>
      <c r="L109" s="54">
        <f>IF(ISERROR(INDEX(data!$A$12:$AI$213,MATCH(HLOOKUP('II. Sledování projektu'!$L$5,vstupy!$N$2:$BY$180,$B109+1,0),data!$B$12:$B$213,0),32)),"",INDEX(data!$A$12:$AI$213,MATCH(HLOOKUP('II. Sledování projektu'!$L$5,vstupy!$N$2:$BY$180,$B109+1,0),data!$B$12:$B$213,0),32))</f>
        <v>439203.72000000003</v>
      </c>
      <c r="M109" s="53">
        <f t="shared" si="13"/>
        <v>0.59280758800243194</v>
      </c>
      <c r="N109" s="54">
        <f>IF(ISERROR(VLOOKUP(C109,data!$C$12:$AD$213,28,0)),0,VLOOKUP(C109,data!$C$12:$AD$213,28,0))</f>
        <v>6416263.8494112883</v>
      </c>
    </row>
    <row r="110" spans="2:14" x14ac:dyDescent="0.2">
      <c r="B110" s="19">
        <f t="shared" si="11"/>
        <v>105</v>
      </c>
      <c r="C110" s="19" t="str">
        <f>IF(ISERROR(INDEX(data!$A$12:$AI$213,MATCH(HLOOKUP('II. Sledování projektu'!$L$5,vstupy!$N$2:$BY$180,$B110+1,0),data!$B$12:$B$213,0),3)),"",INDEX(data!$A$12:$AI$213,MATCH(HLOOKUP('II. Sledování projektu'!$L$5,vstupy!$N$2:$BY$180,$B110+1,0),data!$B$12:$B$213,0),3))</f>
        <v>ÚMOb Martinov</v>
      </c>
      <c r="D110" s="156">
        <f>IF(ISERROR(INDEX(data!$A$12:$AI$213,MATCH(HLOOKUP('II. Sledování projektu'!$L$5,vstupy!$N$2:$BY$180,$B110+1,0),data!$B$12:$B$213,0),35)),"",INDEX(data!$A$12:$AI$213,MATCH(HLOOKUP('II. Sledování projektu'!$L$5,vstupy!$N$2:$BY$180,$B110+1,0),data!$B$12:$B$213,0),35))</f>
        <v>27.198264846341896</v>
      </c>
      <c r="E110" s="49">
        <f>IF(ISERROR(INDEX(data!$A$12:$AI$213,MATCH(HLOOKUP('II. Sledování projektu'!$L$5,vstupy!$N$2:$BY$180,$B110+1,0),data!$B$12:$B$213,0),27)),"",INDEX(data!$A$12:$AI$213,MATCH(HLOOKUP('II. Sledování projektu'!$L$5,vstupy!$N$2:$BY$180,$B110+1,0),data!$B$12:$B$213,0),27))</f>
        <v>1411500</v>
      </c>
      <c r="F110" s="54">
        <f>IF(ISERROR(INDEX(data!$A$12:$AI$213,MATCH(HLOOKUP('II. Sledování projektu'!$L$5,vstupy!$N$2:$BY$180,$B110+1,0),data!$B$12:$B$213,0),28)),"",INDEX(data!$A$12:$AI$213,MATCH(HLOOKUP('II. Sledování projektu'!$L$5,vstupy!$N$2:$BY$180,$B110+1,0),data!$B$12:$B$213,0),28))</f>
        <v>24975.68</v>
      </c>
      <c r="G110" s="53">
        <f t="shared" si="9"/>
        <v>1.7694424371236275E-2</v>
      </c>
      <c r="H110" s="53">
        <f>IF(ISERROR(INDEX(data!$A$12:$AI$213,MATCH(HLOOKUP('II. Sledování projektu'!$L$5,vstupy!$N$2:$BY$180,$B110+1,0),data!$B$12:$B$213,0),29)),"",INDEX(data!$A$12:$AI$213,MATCH(HLOOKUP('II. Sledování projektu'!$L$5,vstupy!$N$2:$BY$180,$B110+1,0),data!$B$12:$B$213,0),29))</f>
        <v>0.19170750206831685</v>
      </c>
      <c r="I110" s="54">
        <f>IF(ISERROR(INDEX(data!$A$12:$AI$213,MATCH(HLOOKUP('II. Sledování projektu'!$L$5,vstupy!$N$2:$BY$180,$B110+1,0),data!$B$12:$B$213,0),31)),"",INDEX(data!$A$12:$AI$213,MATCH(HLOOKUP('II. Sledování projektu'!$L$5,vstupy!$N$2:$BY$180,$B110+1,0),data!$B$12:$B$213,0),31))</f>
        <v>118671.95</v>
      </c>
      <c r="J110" s="53">
        <f t="shared" si="10"/>
        <v>8.4075061990789943E-2</v>
      </c>
      <c r="K110" s="53">
        <f t="shared" si="12"/>
        <v>0.43855906046300136</v>
      </c>
      <c r="L110" s="54">
        <f>IF(ISERROR(INDEX(data!$A$12:$AI$213,MATCH(HLOOKUP('II. Sledování projektu'!$L$5,vstupy!$N$2:$BY$180,$B110+1,0),data!$B$12:$B$213,0),32)),"",INDEX(data!$A$12:$AI$213,MATCH(HLOOKUP('II. Sledování projektu'!$L$5,vstupy!$N$2:$BY$180,$B110+1,0),data!$B$12:$B$213,0),32))</f>
        <v>80807.159999999989</v>
      </c>
      <c r="M110" s="53">
        <f t="shared" si="13"/>
        <v>0.4050908388352043</v>
      </c>
      <c r="N110" s="54">
        <f>IF(ISERROR(VLOOKUP(C110,data!$C$12:$AD$213,28,0)),0,VLOOKUP(C110,data!$C$12:$AD$213,28,0))</f>
        <v>270595.13916942925</v>
      </c>
    </row>
    <row r="111" spans="2:14" x14ac:dyDescent="0.2">
      <c r="B111" s="19">
        <f t="shared" si="11"/>
        <v>106</v>
      </c>
      <c r="C111" s="19" t="str">
        <f>IF(ISERROR(INDEX(data!$A$12:$AI$213,MATCH(HLOOKUP('II. Sledování projektu'!$L$5,vstupy!$N$2:$BY$180,$B111+1,0),data!$B$12:$B$213,0),3)),"",INDEX(data!$A$12:$AI$213,MATCH(HLOOKUP('II. Sledování projektu'!$L$5,vstupy!$N$2:$BY$180,$B111+1,0),data!$B$12:$B$213,0),3))</f>
        <v>ÚMOb Michálkovice</v>
      </c>
      <c r="D111" s="156">
        <f>IF(ISERROR(INDEX(data!$A$12:$AI$213,MATCH(HLOOKUP('II. Sledování projektu'!$L$5,vstupy!$N$2:$BY$180,$B111+1,0),data!$B$12:$B$213,0),35)),"",INDEX(data!$A$12:$AI$213,MATCH(HLOOKUP('II. Sledování projektu'!$L$5,vstupy!$N$2:$BY$180,$B111+1,0),data!$B$12:$B$213,0),35))</f>
        <v>25.05374631394351</v>
      </c>
      <c r="E111" s="49">
        <f>IF(ISERROR(INDEX(data!$A$12:$AI$213,MATCH(HLOOKUP('II. Sledování projektu'!$L$5,vstupy!$N$2:$BY$180,$B111+1,0),data!$B$12:$B$213,0),27)),"",INDEX(data!$A$12:$AI$213,MATCH(HLOOKUP('II. Sledování projektu'!$L$5,vstupy!$N$2:$BY$180,$B111+1,0),data!$B$12:$B$213,0),27))</f>
        <v>2853000</v>
      </c>
      <c r="F111" s="54">
        <f>IF(ISERROR(INDEX(data!$A$12:$AI$213,MATCH(HLOOKUP('II. Sledování projektu'!$L$5,vstupy!$N$2:$BY$180,$B111+1,0),data!$B$12:$B$213,0),28)),"",INDEX(data!$A$12:$AI$213,MATCH(HLOOKUP('II. Sledování projektu'!$L$5,vstupy!$N$2:$BY$180,$B111+1,0),data!$B$12:$B$213,0),28))</f>
        <v>36644.980000000003</v>
      </c>
      <c r="G111" s="53">
        <f t="shared" si="9"/>
        <v>1.2844367332632318E-2</v>
      </c>
      <c r="H111" s="53">
        <f>IF(ISERROR(INDEX(data!$A$12:$AI$213,MATCH(HLOOKUP('II. Sledování projektu'!$L$5,vstupy!$N$2:$BY$180,$B111+1,0),data!$B$12:$B$213,0),29)),"",INDEX(data!$A$12:$AI$213,MATCH(HLOOKUP('II. Sledování projektu'!$L$5,vstupy!$N$2:$BY$180,$B111+1,0),data!$B$12:$B$213,0),29))</f>
        <v>0.25526070732199285</v>
      </c>
      <c r="I111" s="54">
        <f>IF(ISERROR(INDEX(data!$A$12:$AI$213,MATCH(HLOOKUP('II. Sledování projektu'!$L$5,vstupy!$N$2:$BY$180,$B111+1,0),data!$B$12:$B$213,0),31)),"",INDEX(data!$A$12:$AI$213,MATCH(HLOOKUP('II. Sledování projektu'!$L$5,vstupy!$N$2:$BY$180,$B111+1,0),data!$B$12:$B$213,0),31))</f>
        <v>296298.5</v>
      </c>
      <c r="J111" s="53">
        <f t="shared" si="10"/>
        <v>0.10385506484402383</v>
      </c>
      <c r="K111" s="53">
        <f t="shared" si="12"/>
        <v>0.4068587991218649</v>
      </c>
      <c r="L111" s="54">
        <f>IF(ISERROR(INDEX(data!$A$12:$AI$213,MATCH(HLOOKUP('II. Sledování projektu'!$L$5,vstupy!$N$2:$BY$180,$B111+1,0),data!$B$12:$B$213,0),32)),"",INDEX(data!$A$12:$AI$213,MATCH(HLOOKUP('II. Sledování projektu'!$L$5,vstupy!$N$2:$BY$180,$B111+1,0),data!$B$12:$B$213,0),32))</f>
        <v>235511.13999999998</v>
      </c>
      <c r="M111" s="53">
        <f t="shared" si="13"/>
        <v>0.44284857265844219</v>
      </c>
      <c r="N111" s="54">
        <f>IF(ISERROR(VLOOKUP(C111,data!$C$12:$AD$213,28,0)),0,VLOOKUP(C111,data!$C$12:$AD$213,28,0))</f>
        <v>728258.79798964562</v>
      </c>
    </row>
    <row r="112" spans="2:14" x14ac:dyDescent="0.2">
      <c r="B112" s="19">
        <f t="shared" si="11"/>
        <v>107</v>
      </c>
      <c r="C112" s="19" t="str">
        <f>IF(ISERROR(INDEX(data!$A$12:$AI$213,MATCH(HLOOKUP('II. Sledování projektu'!$L$5,vstupy!$N$2:$BY$180,$B112+1,0),data!$B$12:$B$213,0),3)),"",INDEX(data!$A$12:$AI$213,MATCH(HLOOKUP('II. Sledování projektu'!$L$5,vstupy!$N$2:$BY$180,$B112+1,0),data!$B$12:$B$213,0),3))</f>
        <v>ÚMOb Moravská Ostrava a Přívoz</v>
      </c>
      <c r="D112" s="156">
        <f>IF(ISERROR(INDEX(data!$A$12:$AI$213,MATCH(HLOOKUP('II. Sledování projektu'!$L$5,vstupy!$N$2:$BY$180,$B112+1,0),data!$B$12:$B$213,0),35)),"",INDEX(data!$A$12:$AI$213,MATCH(HLOOKUP('II. Sledování projektu'!$L$5,vstupy!$N$2:$BY$180,$B112+1,0),data!$B$12:$B$213,0),35))</f>
        <v>47.554145833507363</v>
      </c>
      <c r="E112" s="49">
        <f>IF(ISERROR(INDEX(data!$A$12:$AI$213,MATCH(HLOOKUP('II. Sledování projektu'!$L$5,vstupy!$N$2:$BY$180,$B112+1,0),data!$B$12:$B$213,0),27)),"",INDEX(data!$A$12:$AI$213,MATCH(HLOOKUP('II. Sledování projektu'!$L$5,vstupy!$N$2:$BY$180,$B112+1,0),data!$B$12:$B$213,0),27))</f>
        <v>32353000</v>
      </c>
      <c r="F112" s="54">
        <f>IF(ISERROR(INDEX(data!$A$12:$AI$213,MATCH(HLOOKUP('II. Sledování projektu'!$L$5,vstupy!$N$2:$BY$180,$B112+1,0),data!$B$12:$B$213,0),28)),"",INDEX(data!$A$12:$AI$213,MATCH(HLOOKUP('II. Sledování projektu'!$L$5,vstupy!$N$2:$BY$180,$B112+1,0),data!$B$12:$B$213,0),28))</f>
        <v>14836029.77</v>
      </c>
      <c r="G112" s="53">
        <f t="shared" si="9"/>
        <v>0.4585673591320743</v>
      </c>
      <c r="H112" s="53">
        <f>IF(ISERROR(INDEX(data!$A$12:$AI$213,MATCH(HLOOKUP('II. Sledování projektu'!$L$5,vstupy!$N$2:$BY$180,$B112+1,0),data!$B$12:$B$213,0),29)),"",INDEX(data!$A$12:$AI$213,MATCH(HLOOKUP('II. Sledování projektu'!$L$5,vstupy!$N$2:$BY$180,$B112+1,0),data!$B$12:$B$213,0),29))</f>
        <v>0.13648221985178036</v>
      </c>
      <c r="I112" s="54">
        <f>IF(ISERROR(INDEX(data!$A$12:$AI$213,MATCH(HLOOKUP('II. Sledování projektu'!$L$5,vstupy!$N$2:$BY$180,$B112+1,0),data!$B$12:$B$213,0),31)),"",INDEX(data!$A$12:$AI$213,MATCH(HLOOKUP('II. Sledování projektu'!$L$5,vstupy!$N$2:$BY$180,$B112+1,0),data!$B$12:$B$213,0),31))</f>
        <v>1812296.88</v>
      </c>
      <c r="J112" s="53">
        <f t="shared" si="10"/>
        <v>5.6016347170277869E-2</v>
      </c>
      <c r="K112" s="53">
        <f t="shared" si="12"/>
        <v>0.41042963128172744</v>
      </c>
      <c r="L112" s="54">
        <f>IF(ISERROR(INDEX(data!$A$12:$AI$213,MATCH(HLOOKUP('II. Sledování projektu'!$L$5,vstupy!$N$2:$BY$180,$B112+1,0),data!$B$12:$B$213,0),32)),"",INDEX(data!$A$12:$AI$213,MATCH(HLOOKUP('II. Sledování projektu'!$L$5,vstupy!$N$2:$BY$180,$B112+1,0),data!$B$12:$B$213,0),32))</f>
        <v>1106067.49</v>
      </c>
      <c r="M112" s="53">
        <f t="shared" si="13"/>
        <v>0.37900253353216479</v>
      </c>
      <c r="N112" s="54">
        <f>IF(ISERROR(VLOOKUP(C112,data!$C$12:$AD$213,28,0)),0,VLOOKUP(C112,data!$C$12:$AD$213,28,0))</f>
        <v>4415609.2588646496</v>
      </c>
    </row>
    <row r="113" spans="2:14" x14ac:dyDescent="0.2">
      <c r="B113" s="19">
        <f t="shared" si="11"/>
        <v>108</v>
      </c>
      <c r="C113" s="19" t="str">
        <f>IF(ISERROR(INDEX(data!$A$12:$AI$213,MATCH(HLOOKUP('II. Sledování projektu'!$L$5,vstupy!$N$2:$BY$180,$B113+1,0),data!$B$12:$B$213,0),3)),"",INDEX(data!$A$12:$AI$213,MATCH(HLOOKUP('II. Sledování projektu'!$L$5,vstupy!$N$2:$BY$180,$B113+1,0),data!$B$12:$B$213,0),3))</f>
        <v>ÚMOb Nová Bělá</v>
      </c>
      <c r="D113" s="156">
        <f>IF(ISERROR(INDEX(data!$A$12:$AI$213,MATCH(HLOOKUP('II. Sledování projektu'!$L$5,vstupy!$N$2:$BY$180,$B113+1,0),data!$B$12:$B$213,0),35)),"",INDEX(data!$A$12:$AI$213,MATCH(HLOOKUP('II. Sledování projektu'!$L$5,vstupy!$N$2:$BY$180,$B113+1,0),data!$B$12:$B$213,0),35))</f>
        <v>60.414328039531526</v>
      </c>
      <c r="E113" s="49">
        <f>IF(ISERROR(INDEX(data!$A$12:$AI$213,MATCH(HLOOKUP('II. Sledování projektu'!$L$5,vstupy!$N$2:$BY$180,$B113+1,0),data!$B$12:$B$213,0),27)),"",INDEX(data!$A$12:$AI$213,MATCH(HLOOKUP('II. Sledování projektu'!$L$5,vstupy!$N$2:$BY$180,$B113+1,0),data!$B$12:$B$213,0),27))</f>
        <v>1180500</v>
      </c>
      <c r="F113" s="54">
        <f>IF(ISERROR(INDEX(data!$A$12:$AI$213,MATCH(HLOOKUP('II. Sledování projektu'!$L$5,vstupy!$N$2:$BY$180,$B113+1,0),data!$B$12:$B$213,0),28)),"",INDEX(data!$A$12:$AI$213,MATCH(HLOOKUP('II. Sledování projektu'!$L$5,vstupy!$N$2:$BY$180,$B113+1,0),data!$B$12:$B$213,0),28))</f>
        <v>754058.62</v>
      </c>
      <c r="G113" s="53">
        <f t="shared" si="9"/>
        <v>0.63876206692079629</v>
      </c>
      <c r="H113" s="53">
        <f>IF(ISERROR(INDEX(data!$A$12:$AI$213,MATCH(HLOOKUP('II. Sledování projektu'!$L$5,vstupy!$N$2:$BY$180,$B113+1,0),data!$B$12:$B$213,0),29)),"",INDEX(data!$A$12:$AI$213,MATCH(HLOOKUP('II. Sledování projektu'!$L$5,vstupy!$N$2:$BY$180,$B113+1,0),data!$B$12:$B$213,0),29))</f>
        <v>0.25188134348452557</v>
      </c>
      <c r="I113" s="54">
        <f>IF(ISERROR(INDEX(data!$A$12:$AI$213,MATCH(HLOOKUP('II. Sledování projektu'!$L$5,vstupy!$N$2:$BY$180,$B113+1,0),data!$B$12:$B$213,0),31)),"",INDEX(data!$A$12:$AI$213,MATCH(HLOOKUP('II. Sledování projektu'!$L$5,vstupy!$N$2:$BY$180,$B113+1,0),data!$B$12:$B$213,0),31))</f>
        <v>141121.49000000002</v>
      </c>
      <c r="J113" s="53">
        <f t="shared" si="10"/>
        <v>0.11954382888606524</v>
      </c>
      <c r="K113" s="53">
        <f t="shared" si="12"/>
        <v>0.47460374489152851</v>
      </c>
      <c r="L113" s="54">
        <f>IF(ISERROR(INDEX(data!$A$12:$AI$213,MATCH(HLOOKUP('II. Sledování projektu'!$L$5,vstupy!$N$2:$BY$180,$B113+1,0),data!$B$12:$B$213,0),32)),"",INDEX(data!$A$12:$AI$213,MATCH(HLOOKUP('II. Sledování projektu'!$L$5,vstupy!$N$2:$BY$180,$B113+1,0),data!$B$12:$B$213,0),32))</f>
        <v>101282.76</v>
      </c>
      <c r="M113" s="53">
        <f t="shared" si="13"/>
        <v>0.41782584257495481</v>
      </c>
      <c r="N113" s="54">
        <f>IF(ISERROR(VLOOKUP(C113,data!$C$12:$AD$213,28,0)),0,VLOOKUP(C113,data!$C$12:$AD$213,28,0))</f>
        <v>297345.92598348245</v>
      </c>
    </row>
    <row r="114" spans="2:14" x14ac:dyDescent="0.2">
      <c r="B114" s="19">
        <f t="shared" si="11"/>
        <v>109</v>
      </c>
      <c r="C114" s="19" t="str">
        <f>IF(ISERROR(INDEX(data!$A$12:$AI$213,MATCH(HLOOKUP('II. Sledování projektu'!$L$5,vstupy!$N$2:$BY$180,$B114+1,0),data!$B$12:$B$213,0),3)),"",INDEX(data!$A$12:$AI$213,MATCH(HLOOKUP('II. Sledování projektu'!$L$5,vstupy!$N$2:$BY$180,$B114+1,0),data!$B$12:$B$213,0),3))</f>
        <v>ÚMOb Nová Ves</v>
      </c>
      <c r="D114" s="156">
        <f>IF(ISERROR(INDEX(data!$A$12:$AI$213,MATCH(HLOOKUP('II. Sledování projektu'!$L$5,vstupy!$N$2:$BY$180,$B114+1,0),data!$B$12:$B$213,0),35)),"",INDEX(data!$A$12:$AI$213,MATCH(HLOOKUP('II. Sledování projektu'!$L$5,vstupy!$N$2:$BY$180,$B114+1,0),data!$B$12:$B$213,0),35))</f>
        <v>20.484382066958307</v>
      </c>
      <c r="E114" s="49">
        <f>IF(ISERROR(INDEX(data!$A$12:$AI$213,MATCH(HLOOKUP('II. Sledování projektu'!$L$5,vstupy!$N$2:$BY$180,$B114+1,0),data!$B$12:$B$213,0),27)),"",INDEX(data!$A$12:$AI$213,MATCH(HLOOKUP('II. Sledování projektu'!$L$5,vstupy!$N$2:$BY$180,$B114+1,0),data!$B$12:$B$213,0),27))</f>
        <v>1432000</v>
      </c>
      <c r="F114" s="54">
        <f>IF(ISERROR(INDEX(data!$A$12:$AI$213,MATCH(HLOOKUP('II. Sledování projektu'!$L$5,vstupy!$N$2:$BY$180,$B114+1,0),data!$B$12:$B$213,0),28)),"",INDEX(data!$A$12:$AI$213,MATCH(HLOOKUP('II. Sledování projektu'!$L$5,vstupy!$N$2:$BY$180,$B114+1,0),data!$B$12:$B$213,0),28))</f>
        <v>1804.59</v>
      </c>
      <c r="G114" s="53">
        <f t="shared" si="9"/>
        <v>1.2601885474860335E-3</v>
      </c>
      <c r="H114" s="53">
        <f>IF(ISERROR(INDEX(data!$A$12:$AI$213,MATCH(HLOOKUP('II. Sledování projektu'!$L$5,vstupy!$N$2:$BY$180,$B114+1,0),data!$B$12:$B$213,0),29)),"",INDEX(data!$A$12:$AI$213,MATCH(HLOOKUP('II. Sledování projektu'!$L$5,vstupy!$N$2:$BY$180,$B114+1,0),data!$B$12:$B$213,0),29))</f>
        <v>0.24458492601616141</v>
      </c>
      <c r="I114" s="54">
        <f>IF(ISERROR(INDEX(data!$A$12:$AI$213,MATCH(HLOOKUP('II. Sledování projektu'!$L$5,vstupy!$N$2:$BY$180,$B114+1,0),data!$B$12:$B$213,0),31)),"",INDEX(data!$A$12:$AI$213,MATCH(HLOOKUP('II. Sledování projektu'!$L$5,vstupy!$N$2:$BY$180,$B114+1,0),data!$B$12:$B$213,0),31))</f>
        <v>119208.26999999999</v>
      </c>
      <c r="J114" s="53">
        <f t="shared" si="10"/>
        <v>8.3245998603351953E-2</v>
      </c>
      <c r="K114" s="53">
        <f t="shared" si="12"/>
        <v>0.34035621065973343</v>
      </c>
      <c r="L114" s="54">
        <f>IF(ISERROR(INDEX(data!$A$12:$AI$213,MATCH(HLOOKUP('II. Sledování projektu'!$L$5,vstupy!$N$2:$BY$180,$B114+1,0),data!$B$12:$B$213,0),32)),"",INDEX(data!$A$12:$AI$213,MATCH(HLOOKUP('II. Sledování projektu'!$L$5,vstupy!$N$2:$BY$180,$B114+1,0),data!$B$12:$B$213,0),32))</f>
        <v>105438.81</v>
      </c>
      <c r="M114" s="53">
        <f t="shared" si="13"/>
        <v>0.4693531293618417</v>
      </c>
      <c r="N114" s="54">
        <f>IF(ISERROR(VLOOKUP(C114,data!$C$12:$AD$213,28,0)),0,VLOOKUP(C114,data!$C$12:$AD$213,28,0))</f>
        <v>350245.61405514315</v>
      </c>
    </row>
    <row r="115" spans="2:14" x14ac:dyDescent="0.2">
      <c r="B115" s="19">
        <f t="shared" si="11"/>
        <v>110</v>
      </c>
      <c r="C115" s="19" t="str">
        <f>IF(ISERROR(INDEX(data!$A$12:$AI$213,MATCH(HLOOKUP('II. Sledování projektu'!$L$5,vstupy!$N$2:$BY$180,$B115+1,0),data!$B$12:$B$213,0),3)),"",INDEX(data!$A$12:$AI$213,MATCH(HLOOKUP('II. Sledování projektu'!$L$5,vstupy!$N$2:$BY$180,$B115+1,0),data!$B$12:$B$213,0),3))</f>
        <v>ÚMOb Ostrava-Jih</v>
      </c>
      <c r="D115" s="156">
        <f>IF(ISERROR(INDEX(data!$A$12:$AI$213,MATCH(HLOOKUP('II. Sledování projektu'!$L$5,vstupy!$N$2:$BY$180,$B115+1,0),data!$B$12:$B$213,0),35)),"",INDEX(data!$A$12:$AI$213,MATCH(HLOOKUP('II. Sledování projektu'!$L$5,vstupy!$N$2:$BY$180,$B115+1,0),data!$B$12:$B$213,0),35))</f>
        <v>51.776494869187367</v>
      </c>
      <c r="E115" s="49">
        <f>IF(ISERROR(INDEX(data!$A$12:$AI$213,MATCH(HLOOKUP('II. Sledování projektu'!$L$5,vstupy!$N$2:$BY$180,$B115+1,0),data!$B$12:$B$213,0),27)),"",INDEX(data!$A$12:$AI$213,MATCH(HLOOKUP('II. Sledování projektu'!$L$5,vstupy!$N$2:$BY$180,$B115+1,0),data!$B$12:$B$213,0),27))</f>
        <v>121453500</v>
      </c>
      <c r="F115" s="54">
        <f>IF(ISERROR(INDEX(data!$A$12:$AI$213,MATCH(HLOOKUP('II. Sledování projektu'!$L$5,vstupy!$N$2:$BY$180,$B115+1,0),data!$B$12:$B$213,0),28)),"",INDEX(data!$A$12:$AI$213,MATCH(HLOOKUP('II. Sledování projektu'!$L$5,vstupy!$N$2:$BY$180,$B115+1,0),data!$B$12:$B$213,0),28))</f>
        <v>1686036.23</v>
      </c>
      <c r="G115" s="53">
        <f t="shared" si="9"/>
        <v>1.3882154322436158E-2</v>
      </c>
      <c r="H115" s="53">
        <f>IF(ISERROR(INDEX(data!$A$12:$AI$213,MATCH(HLOOKUP('II. Sledování projektu'!$L$5,vstupy!$N$2:$BY$180,$B115+1,0),data!$B$12:$B$213,0),29)),"",INDEX(data!$A$12:$AI$213,MATCH(HLOOKUP('II. Sledování projektu'!$L$5,vstupy!$N$2:$BY$180,$B115+1,0),data!$B$12:$B$213,0),29))</f>
        <v>0.24460000000000001</v>
      </c>
      <c r="I115" s="54">
        <f>IF(ISERROR(INDEX(data!$A$12:$AI$213,MATCH(HLOOKUP('II. Sledování projektu'!$L$5,vstupy!$N$2:$BY$180,$B115+1,0),data!$B$12:$B$213,0),31)),"",INDEX(data!$A$12:$AI$213,MATCH(HLOOKUP('II. Sledování projektu'!$L$5,vstupy!$N$2:$BY$180,$B115+1,0),data!$B$12:$B$213,0),31))</f>
        <v>25292189.16</v>
      </c>
      <c r="J115" s="53">
        <f t="shared" si="10"/>
        <v>0.20824586496066397</v>
      </c>
      <c r="K115" s="53">
        <f t="shared" si="12"/>
        <v>0.85137311921775938</v>
      </c>
      <c r="L115" s="54">
        <f>IF(ISERROR(INDEX(data!$A$12:$AI$213,MATCH(HLOOKUP('II. Sledování projektu'!$L$5,vstupy!$N$2:$BY$180,$B115+1,0),data!$B$12:$B$213,0),32)),"",INDEX(data!$A$12:$AI$213,MATCH(HLOOKUP('II. Sledování projektu'!$L$5,vstupy!$N$2:$BY$180,$B115+1,0),data!$B$12:$B$213,0),32))</f>
        <v>5482469.6100000003</v>
      </c>
      <c r="M115" s="53">
        <f t="shared" si="13"/>
        <v>0.17814883508454904</v>
      </c>
      <c r="N115" s="54">
        <f>IF(ISERROR(VLOOKUP(C115,data!$C$12:$AD$213,28,0)),0,VLOOKUP(C115,data!$C$12:$AD$213,28,0))</f>
        <v>29707526.100000001</v>
      </c>
    </row>
    <row r="116" spans="2:14" x14ac:dyDescent="0.2">
      <c r="B116" s="19">
        <f t="shared" si="11"/>
        <v>111</v>
      </c>
      <c r="C116" s="19" t="str">
        <f>IF(ISERROR(INDEX(data!$A$12:$AI$213,MATCH(HLOOKUP('II. Sledování projektu'!$L$5,vstupy!$N$2:$BY$180,$B116+1,0),data!$B$12:$B$213,0),3)),"",INDEX(data!$A$12:$AI$213,MATCH(HLOOKUP('II. Sledování projektu'!$L$5,vstupy!$N$2:$BY$180,$B116+1,0),data!$B$12:$B$213,0),3))</f>
        <v>ÚMOb Petřkovice</v>
      </c>
      <c r="D116" s="156">
        <f>IF(ISERROR(INDEX(data!$A$12:$AI$213,MATCH(HLOOKUP('II. Sledování projektu'!$L$5,vstupy!$N$2:$BY$180,$B116+1,0),data!$B$12:$B$213,0),35)),"",INDEX(data!$A$12:$AI$213,MATCH(HLOOKUP('II. Sledování projektu'!$L$5,vstupy!$N$2:$BY$180,$B116+1,0),data!$B$12:$B$213,0),35))</f>
        <v>31.046866349276904</v>
      </c>
      <c r="E116" s="49">
        <f>IF(ISERROR(INDEX(data!$A$12:$AI$213,MATCH(HLOOKUP('II. Sledování projektu'!$L$5,vstupy!$N$2:$BY$180,$B116+1,0),data!$B$12:$B$213,0),27)),"",INDEX(data!$A$12:$AI$213,MATCH(HLOOKUP('II. Sledování projektu'!$L$5,vstupy!$N$2:$BY$180,$B116+1,0),data!$B$12:$B$213,0),27))</f>
        <v>1871000</v>
      </c>
      <c r="F116" s="54">
        <f>IF(ISERROR(INDEX(data!$A$12:$AI$213,MATCH(HLOOKUP('II. Sledování projektu'!$L$5,vstupy!$N$2:$BY$180,$B116+1,0),data!$B$12:$B$213,0),28)),"",INDEX(data!$A$12:$AI$213,MATCH(HLOOKUP('II. Sledování projektu'!$L$5,vstupy!$N$2:$BY$180,$B116+1,0),data!$B$12:$B$213,0),28))</f>
        <v>9083.93</v>
      </c>
      <c r="G116" s="53">
        <f t="shared" si="9"/>
        <v>4.8551202565473009E-3</v>
      </c>
      <c r="H116" s="53">
        <f>IF(ISERROR(INDEX(data!$A$12:$AI$213,MATCH(HLOOKUP('II. Sledování projektu'!$L$5,vstupy!$N$2:$BY$180,$B116+1,0),data!$B$12:$B$213,0),29)),"",INDEX(data!$A$12:$AI$213,MATCH(HLOOKUP('II. Sledování projektu'!$L$5,vstupy!$N$2:$BY$180,$B116+1,0),data!$B$12:$B$213,0),29))</f>
        <v>0.24720811950192934</v>
      </c>
      <c r="I116" s="54">
        <f>IF(ISERROR(INDEX(data!$A$12:$AI$213,MATCH(HLOOKUP('II. Sledování projektu'!$L$5,vstupy!$N$2:$BY$180,$B116+1,0),data!$B$12:$B$213,0),31)),"",INDEX(data!$A$12:$AI$213,MATCH(HLOOKUP('II. Sledování projektu'!$L$5,vstupy!$N$2:$BY$180,$B116+1,0),data!$B$12:$B$213,0),31))</f>
        <v>237461.90000000002</v>
      </c>
      <c r="J116" s="53">
        <f t="shared" si="10"/>
        <v>0.12691710315339391</v>
      </c>
      <c r="K116" s="53">
        <f t="shared" si="12"/>
        <v>0.51340183894082569</v>
      </c>
      <c r="L116" s="54">
        <f>IF(ISERROR(INDEX(data!$A$12:$AI$213,MATCH(HLOOKUP('II. Sledování projektu'!$L$5,vstupy!$N$2:$BY$180,$B116+1,0),data!$B$12:$B$213,0),32)),"",INDEX(data!$A$12:$AI$213,MATCH(HLOOKUP('II. Sledování projektu'!$L$5,vstupy!$N$2:$BY$180,$B116+1,0),data!$B$12:$B$213,0),32))</f>
        <v>185001.4</v>
      </c>
      <c r="M116" s="53">
        <f t="shared" si="13"/>
        <v>0.43791117476950064</v>
      </c>
      <c r="N116" s="54">
        <f>IF(ISERROR(VLOOKUP(C116,data!$C$12:$AD$213,28,0)),0,VLOOKUP(C116,data!$C$12:$AD$213,28,0))</f>
        <v>462526.39158810978</v>
      </c>
    </row>
    <row r="117" spans="2:14" x14ac:dyDescent="0.2">
      <c r="B117" s="19">
        <f t="shared" si="11"/>
        <v>112</v>
      </c>
      <c r="C117" s="19" t="str">
        <f>IF(ISERROR(INDEX(data!$A$12:$AI$213,MATCH(HLOOKUP('II. Sledování projektu'!$L$5,vstupy!$N$2:$BY$180,$B117+1,0),data!$B$12:$B$213,0),3)),"",INDEX(data!$A$12:$AI$213,MATCH(HLOOKUP('II. Sledování projektu'!$L$5,vstupy!$N$2:$BY$180,$B117+1,0),data!$B$12:$B$213,0),3))</f>
        <v>ÚMOb Plesná</v>
      </c>
      <c r="D117" s="156">
        <f>IF(ISERROR(INDEX(data!$A$12:$AI$213,MATCH(HLOOKUP('II. Sledování projektu'!$L$5,vstupy!$N$2:$BY$180,$B117+1,0),data!$B$12:$B$213,0),35)),"",INDEX(data!$A$12:$AI$213,MATCH(HLOOKUP('II. Sledování projektu'!$L$5,vstupy!$N$2:$BY$180,$B117+1,0),data!$B$12:$B$213,0),35))</f>
        <v>67.989346355018398</v>
      </c>
      <c r="E117" s="49">
        <f>IF(ISERROR(INDEX(data!$A$12:$AI$213,MATCH(HLOOKUP('II. Sledování projektu'!$L$5,vstupy!$N$2:$BY$180,$B117+1,0),data!$B$12:$B$213,0),27)),"",INDEX(data!$A$12:$AI$213,MATCH(HLOOKUP('II. Sledování projektu'!$L$5,vstupy!$N$2:$BY$180,$B117+1,0),data!$B$12:$B$213,0),27))</f>
        <v>900500</v>
      </c>
      <c r="F117" s="54">
        <f>IF(ISERROR(INDEX(data!$A$12:$AI$213,MATCH(HLOOKUP('II. Sledování projektu'!$L$5,vstupy!$N$2:$BY$180,$B117+1,0),data!$B$12:$B$213,0),28)),"",INDEX(data!$A$12:$AI$213,MATCH(HLOOKUP('II. Sledování projektu'!$L$5,vstupy!$N$2:$BY$180,$B117+1,0),data!$B$12:$B$213,0),28))</f>
        <v>832062.81</v>
      </c>
      <c r="G117" s="53">
        <f t="shared" si="9"/>
        <v>0.92400089950027764</v>
      </c>
      <c r="H117" s="53">
        <f>IF(ISERROR(INDEX(data!$A$12:$AI$213,MATCH(HLOOKUP('II. Sledování projektu'!$L$5,vstupy!$N$2:$BY$180,$B117+1,0),data!$B$12:$B$213,0),29)),"",INDEX(data!$A$12:$AI$213,MATCH(HLOOKUP('II. Sledování projektu'!$L$5,vstupy!$N$2:$BY$180,$B117+1,0),data!$B$12:$B$213,0),29))</f>
        <v>0.13139999999999999</v>
      </c>
      <c r="I117" s="54">
        <f>IF(ISERROR(INDEX(data!$A$12:$AI$213,MATCH(HLOOKUP('II. Sledování projektu'!$L$5,vstupy!$N$2:$BY$180,$B117+1,0),data!$B$12:$B$213,0),31)),"",INDEX(data!$A$12:$AI$213,MATCH(HLOOKUP('II. Sledování projektu'!$L$5,vstupy!$N$2:$BY$180,$B117+1,0),data!$B$12:$B$213,0),31))</f>
        <v>55197.65</v>
      </c>
      <c r="J117" s="53">
        <f t="shared" si="10"/>
        <v>6.1296668517490285E-2</v>
      </c>
      <c r="K117" s="53">
        <f t="shared" si="12"/>
        <v>0.46648910591697323</v>
      </c>
      <c r="L117" s="54">
        <f>IF(ISERROR(INDEX(data!$A$12:$AI$213,MATCH(HLOOKUP('II. Sledování projektu'!$L$5,vstupy!$N$2:$BY$180,$B117+1,0),data!$B$12:$B$213,0),32)),"",INDEX(data!$A$12:$AI$213,MATCH(HLOOKUP('II. Sledování projektu'!$L$5,vstupy!$N$2:$BY$180,$B117+1,0),data!$B$12:$B$213,0),32))</f>
        <v>54579.79</v>
      </c>
      <c r="M117" s="53">
        <f t="shared" si="13"/>
        <v>0.4971858516649687</v>
      </c>
      <c r="N117" s="54">
        <f>IF(ISERROR(VLOOKUP(C117,data!$C$12:$AD$213,28,0)),0,VLOOKUP(C117,data!$C$12:$AD$213,28,0))</f>
        <v>118325.7</v>
      </c>
    </row>
    <row r="118" spans="2:14" x14ac:dyDescent="0.2">
      <c r="B118" s="19">
        <f t="shared" si="11"/>
        <v>113</v>
      </c>
      <c r="C118" s="19" t="str">
        <f>IF(ISERROR(INDEX(data!$A$12:$AI$213,MATCH(HLOOKUP('II. Sledování projektu'!$L$5,vstupy!$N$2:$BY$180,$B118+1,0),data!$B$12:$B$213,0),3)),"",INDEX(data!$A$12:$AI$213,MATCH(HLOOKUP('II. Sledování projektu'!$L$5,vstupy!$N$2:$BY$180,$B118+1,0),data!$B$12:$B$213,0),3))</f>
        <v>ÚMOb Polanka n/O</v>
      </c>
      <c r="D118" s="156">
        <f>IF(ISERROR(INDEX(data!$A$12:$AI$213,MATCH(HLOOKUP('II. Sledování projektu'!$L$5,vstupy!$N$2:$BY$180,$B118+1,0),data!$B$12:$B$213,0),35)),"",INDEX(data!$A$12:$AI$213,MATCH(HLOOKUP('II. Sledování projektu'!$L$5,vstupy!$N$2:$BY$180,$B118+1,0),data!$B$12:$B$213,0),35))</f>
        <v>48.492698773107207</v>
      </c>
      <c r="E118" s="49">
        <f>IF(ISERROR(INDEX(data!$A$12:$AI$213,MATCH(HLOOKUP('II. Sledování projektu'!$L$5,vstupy!$N$2:$BY$180,$B118+1,0),data!$B$12:$B$213,0),27)),"",INDEX(data!$A$12:$AI$213,MATCH(HLOOKUP('II. Sledování projektu'!$L$5,vstupy!$N$2:$BY$180,$B118+1,0),data!$B$12:$B$213,0),27))</f>
        <v>2993500</v>
      </c>
      <c r="F118" s="54">
        <f>IF(ISERROR(INDEX(data!$A$12:$AI$213,MATCH(HLOOKUP('II. Sledování projektu'!$L$5,vstupy!$N$2:$BY$180,$B118+1,0),data!$B$12:$B$213,0),28)),"",INDEX(data!$A$12:$AI$213,MATCH(HLOOKUP('II. Sledování projektu'!$L$5,vstupy!$N$2:$BY$180,$B118+1,0),data!$B$12:$B$213,0),28))</f>
        <v>2014038.3199999998</v>
      </c>
      <c r="G118" s="53">
        <f t="shared" si="9"/>
        <v>0.67280384833806572</v>
      </c>
      <c r="H118" s="53">
        <f>IF(ISERROR(INDEX(data!$A$12:$AI$213,MATCH(HLOOKUP('II. Sledování projektu'!$L$5,vstupy!$N$2:$BY$180,$B118+1,0),data!$B$12:$B$213,0),29)),"",INDEX(data!$A$12:$AI$213,MATCH(HLOOKUP('II. Sledování projektu'!$L$5,vstupy!$N$2:$BY$180,$B118+1,0),data!$B$12:$B$213,0),29))</f>
        <v>0.12054742985739865</v>
      </c>
      <c r="I118" s="54">
        <f>IF(ISERROR(INDEX(data!$A$12:$AI$213,MATCH(HLOOKUP('II. Sledování projektu'!$L$5,vstupy!$N$2:$BY$180,$B118+1,0),data!$B$12:$B$213,0),31)),"",INDEX(data!$A$12:$AI$213,MATCH(HLOOKUP('II. Sledování projektu'!$L$5,vstupy!$N$2:$BY$180,$B118+1,0),data!$B$12:$B$213,0),31))</f>
        <v>89327.61</v>
      </c>
      <c r="J118" s="53">
        <f t="shared" si="10"/>
        <v>2.9840524469684316E-2</v>
      </c>
      <c r="K118" s="53">
        <f t="shared" si="12"/>
        <v>0.24754177260339857</v>
      </c>
      <c r="L118" s="54">
        <f>IF(ISERROR(INDEX(data!$A$12:$AI$213,MATCH(HLOOKUP('II. Sledování projektu'!$L$5,vstupy!$N$2:$BY$180,$B118+1,0),data!$B$12:$B$213,0),32)),"",INDEX(data!$A$12:$AI$213,MATCH(HLOOKUP('II. Sledování projektu'!$L$5,vstupy!$N$2:$BY$180,$B118+1,0),data!$B$12:$B$213,0),32))</f>
        <v>78709.03</v>
      </c>
      <c r="M118" s="53">
        <f t="shared" si="13"/>
        <v>0.46840397427608643</v>
      </c>
      <c r="N118" s="54">
        <f>IF(ISERROR(VLOOKUP(C118,data!$C$12:$AD$213,28,0)),0,VLOOKUP(C118,data!$C$12:$AD$213,28,0))</f>
        <v>360858.73127812287</v>
      </c>
    </row>
    <row r="119" spans="2:14" x14ac:dyDescent="0.2">
      <c r="B119" s="19">
        <f t="shared" si="11"/>
        <v>114</v>
      </c>
      <c r="C119" s="19" t="str">
        <f>IF(ISERROR(INDEX(data!$A$12:$AI$213,MATCH(HLOOKUP('II. Sledování projektu'!$L$5,vstupy!$N$2:$BY$180,$B119+1,0),data!$B$12:$B$213,0),3)),"",INDEX(data!$A$12:$AI$213,MATCH(HLOOKUP('II. Sledování projektu'!$L$5,vstupy!$N$2:$BY$180,$B119+1,0),data!$B$12:$B$213,0),3))</f>
        <v>ÚMOb Poruba</v>
      </c>
      <c r="D119" s="156">
        <f>IF(ISERROR(INDEX(data!$A$12:$AI$213,MATCH(HLOOKUP('II. Sledování projektu'!$L$5,vstupy!$N$2:$BY$180,$B119+1,0),data!$B$12:$B$213,0),35)),"",INDEX(data!$A$12:$AI$213,MATCH(HLOOKUP('II. Sledování projektu'!$L$5,vstupy!$N$2:$BY$180,$B119+1,0),data!$B$12:$B$213,0),35))</f>
        <v>76.019159312141326</v>
      </c>
      <c r="E119" s="49">
        <f>IF(ISERROR(INDEX(data!$A$12:$AI$213,MATCH(HLOOKUP('II. Sledování projektu'!$L$5,vstupy!$N$2:$BY$180,$B119+1,0),data!$B$12:$B$213,0),27)),"",INDEX(data!$A$12:$AI$213,MATCH(HLOOKUP('II. Sledování projektu'!$L$5,vstupy!$N$2:$BY$180,$B119+1,0),data!$B$12:$B$213,0),27))</f>
        <v>51057000</v>
      </c>
      <c r="F119" s="54">
        <f>IF(ISERROR(INDEX(data!$A$12:$AI$213,MATCH(HLOOKUP('II. Sledování projektu'!$L$5,vstupy!$N$2:$BY$180,$B119+1,0),data!$B$12:$B$213,0),28)),"",INDEX(data!$A$12:$AI$213,MATCH(HLOOKUP('II. Sledování projektu'!$L$5,vstupy!$N$2:$BY$180,$B119+1,0),data!$B$12:$B$213,0),28))</f>
        <v>16357804.34</v>
      </c>
      <c r="G119" s="53">
        <f t="shared" si="9"/>
        <v>0.32038318624282663</v>
      </c>
      <c r="H119" s="53">
        <f>IF(ISERROR(INDEX(data!$A$12:$AI$213,MATCH(HLOOKUP('II. Sledování projektu'!$L$5,vstupy!$N$2:$BY$180,$B119+1,0),data!$B$12:$B$213,0),29)),"",INDEX(data!$A$12:$AI$213,MATCH(HLOOKUP('II. Sledování projektu'!$L$5,vstupy!$N$2:$BY$180,$B119+1,0),data!$B$12:$B$213,0),29))</f>
        <v>0.1867</v>
      </c>
      <c r="I119" s="54">
        <f>IF(ISERROR(INDEX(data!$A$12:$AI$213,MATCH(HLOOKUP('II. Sledování projektu'!$L$5,vstupy!$N$2:$BY$180,$B119+1,0),data!$B$12:$B$213,0),31)),"",INDEX(data!$A$12:$AI$213,MATCH(HLOOKUP('II. Sledování projektu'!$L$5,vstupy!$N$2:$BY$180,$B119+1,0),data!$B$12:$B$213,0),31))</f>
        <v>21894359.32</v>
      </c>
      <c r="J119" s="53">
        <f t="shared" si="10"/>
        <v>0.42882189161133638</v>
      </c>
      <c r="K119" s="53">
        <f t="shared" si="12"/>
        <v>2.2968499818496859</v>
      </c>
      <c r="L119" s="54">
        <f>IF(ISERROR(INDEX(data!$A$12:$AI$213,MATCH(HLOOKUP('II. Sledování projektu'!$L$5,vstupy!$N$2:$BY$180,$B119+1,0),data!$B$12:$B$213,0),32)),"",INDEX(data!$A$12:$AI$213,MATCH(HLOOKUP('II. Sledování projektu'!$L$5,vstupy!$N$2:$BY$180,$B119+1,0),data!$B$12:$B$213,0),32))</f>
        <v>4168388.18</v>
      </c>
      <c r="M119" s="53">
        <f t="shared" si="13"/>
        <v>0.15993663676479236</v>
      </c>
      <c r="N119" s="54">
        <f>IF(ISERROR(VLOOKUP(C119,data!$C$12:$AD$213,28,0)),0,VLOOKUP(C119,data!$C$12:$AD$213,28,0))</f>
        <v>9532341.9000000004</v>
      </c>
    </row>
    <row r="120" spans="2:14" x14ac:dyDescent="0.2">
      <c r="B120" s="19">
        <f t="shared" si="11"/>
        <v>115</v>
      </c>
      <c r="C120" s="19" t="str">
        <f>IF(ISERROR(INDEX(data!$A$12:$AI$213,MATCH(HLOOKUP('II. Sledování projektu'!$L$5,vstupy!$N$2:$BY$180,$B120+1,0),data!$B$12:$B$213,0),3)),"",INDEX(data!$A$12:$AI$213,MATCH(HLOOKUP('II. Sledování projektu'!$L$5,vstupy!$N$2:$BY$180,$B120+1,0),data!$B$12:$B$213,0),3))</f>
        <v>ÚMOb Proskovice</v>
      </c>
      <c r="D120" s="156">
        <f>IF(ISERROR(INDEX(data!$A$12:$AI$213,MATCH(HLOOKUP('II. Sledování projektu'!$L$5,vstupy!$N$2:$BY$180,$B120+1,0),data!$B$12:$B$213,0),35)),"",INDEX(data!$A$12:$AI$213,MATCH(HLOOKUP('II. Sledování projektu'!$L$5,vstupy!$N$2:$BY$180,$B120+1,0),data!$B$12:$B$213,0),35))</f>
        <v>42.249407869081125</v>
      </c>
      <c r="E120" s="49">
        <f>IF(ISERROR(INDEX(data!$A$12:$AI$213,MATCH(HLOOKUP('II. Sledování projektu'!$L$5,vstupy!$N$2:$BY$180,$B120+1,0),data!$B$12:$B$213,0),27)),"",INDEX(data!$A$12:$AI$213,MATCH(HLOOKUP('II. Sledování projektu'!$L$5,vstupy!$N$2:$BY$180,$B120+1,0),data!$B$12:$B$213,0),27))</f>
        <v>1706500</v>
      </c>
      <c r="F120" s="54">
        <f>IF(ISERROR(INDEX(data!$A$12:$AI$213,MATCH(HLOOKUP('II. Sledování projektu'!$L$5,vstupy!$N$2:$BY$180,$B120+1,0),data!$B$12:$B$213,0),28)),"",INDEX(data!$A$12:$AI$213,MATCH(HLOOKUP('II. Sledování projektu'!$L$5,vstupy!$N$2:$BY$180,$B120+1,0),data!$B$12:$B$213,0),28))</f>
        <v>908356.20000000007</v>
      </c>
      <c r="G120" s="53">
        <f t="shared" si="9"/>
        <v>0.53229194257251689</v>
      </c>
      <c r="H120" s="53">
        <f>IF(ISERROR(INDEX(data!$A$12:$AI$213,MATCH(HLOOKUP('II. Sledování projektu'!$L$5,vstupy!$N$2:$BY$180,$B120+1,0),data!$B$12:$B$213,0),29)),"",INDEX(data!$A$12:$AI$213,MATCH(HLOOKUP('II. Sledování projektu'!$L$5,vstupy!$N$2:$BY$180,$B120+1,0),data!$B$12:$B$213,0),29))</f>
        <v>0.27362467245610628</v>
      </c>
      <c r="I120" s="54">
        <f>IF(ISERROR(INDEX(data!$A$12:$AI$213,MATCH(HLOOKUP('II. Sledování projektu'!$L$5,vstupy!$N$2:$BY$180,$B120+1,0),data!$B$12:$B$213,0),31)),"",INDEX(data!$A$12:$AI$213,MATCH(HLOOKUP('II. Sledování projektu'!$L$5,vstupy!$N$2:$BY$180,$B120+1,0),data!$B$12:$B$213,0),31))</f>
        <v>121675.44</v>
      </c>
      <c r="J120" s="53">
        <f t="shared" si="10"/>
        <v>7.1301166129504837E-2</v>
      </c>
      <c r="K120" s="53">
        <f t="shared" si="12"/>
        <v>0.26058017900758812</v>
      </c>
      <c r="L120" s="54">
        <f>IF(ISERROR(INDEX(data!$A$12:$AI$213,MATCH(HLOOKUP('II. Sledování projektu'!$L$5,vstupy!$N$2:$BY$180,$B120+1,0),data!$B$12:$B$213,0),32)),"",INDEX(data!$A$12:$AI$213,MATCH(HLOOKUP('II. Sledování projektu'!$L$5,vstupy!$N$2:$BY$180,$B120+1,0),data!$B$12:$B$213,0),32))</f>
        <v>93053.2</v>
      </c>
      <c r="M120" s="53">
        <f t="shared" si="13"/>
        <v>0.43335253275948654</v>
      </c>
      <c r="N120" s="54">
        <f>IF(ISERROR(VLOOKUP(C120,data!$C$12:$AD$213,28,0)),0,VLOOKUP(C120,data!$C$12:$AD$213,28,0))</f>
        <v>466940.50354634534</v>
      </c>
    </row>
    <row r="121" spans="2:14" x14ac:dyDescent="0.2">
      <c r="B121" s="19">
        <f t="shared" si="11"/>
        <v>116</v>
      </c>
      <c r="C121" s="19" t="str">
        <f>IF(ISERROR(INDEX(data!$A$12:$AI$213,MATCH(HLOOKUP('II. Sledování projektu'!$L$5,vstupy!$N$2:$BY$180,$B121+1,0),data!$B$12:$B$213,0),3)),"",INDEX(data!$A$12:$AI$213,MATCH(HLOOKUP('II. Sledování projektu'!$L$5,vstupy!$N$2:$BY$180,$B121+1,0),data!$B$12:$B$213,0),3))</f>
        <v>ÚMOb Pustkovec</v>
      </c>
      <c r="D121" s="156">
        <f>IF(ISERROR(INDEX(data!$A$12:$AI$213,MATCH(HLOOKUP('II. Sledování projektu'!$L$5,vstupy!$N$2:$BY$180,$B121+1,0),data!$B$12:$B$213,0),35)),"",INDEX(data!$A$12:$AI$213,MATCH(HLOOKUP('II. Sledování projektu'!$L$5,vstupy!$N$2:$BY$180,$B121+1,0),data!$B$12:$B$213,0),35))</f>
        <v>60.199768551945446</v>
      </c>
      <c r="E121" s="49">
        <f>IF(ISERROR(INDEX(data!$A$12:$AI$213,MATCH(HLOOKUP('II. Sledování projektu'!$L$5,vstupy!$N$2:$BY$180,$B121+1,0),data!$B$12:$B$213,0),27)),"",INDEX(data!$A$12:$AI$213,MATCH(HLOOKUP('II. Sledování projektu'!$L$5,vstupy!$N$2:$BY$180,$B121+1,0),data!$B$12:$B$213,0),27))</f>
        <v>1246500</v>
      </c>
      <c r="F121" s="54">
        <f>IF(ISERROR(INDEX(data!$A$12:$AI$213,MATCH(HLOOKUP('II. Sledování projektu'!$L$5,vstupy!$N$2:$BY$180,$B121+1,0),data!$B$12:$B$213,0),28)),"",INDEX(data!$A$12:$AI$213,MATCH(HLOOKUP('II. Sledování projektu'!$L$5,vstupy!$N$2:$BY$180,$B121+1,0),data!$B$12:$B$213,0),28))</f>
        <v>4980.2299999999996</v>
      </c>
      <c r="G121" s="53">
        <f t="shared" si="9"/>
        <v>3.9953710389089448E-3</v>
      </c>
      <c r="H121" s="53">
        <f>IF(ISERROR(INDEX(data!$A$12:$AI$213,MATCH(HLOOKUP('II. Sledování projektu'!$L$5,vstupy!$N$2:$BY$180,$B121+1,0),data!$B$12:$B$213,0),29)),"",INDEX(data!$A$12:$AI$213,MATCH(HLOOKUP('II. Sledování projektu'!$L$5,vstupy!$N$2:$BY$180,$B121+1,0),data!$B$12:$B$213,0),29))</f>
        <v>0.19500000000000001</v>
      </c>
      <c r="I121" s="54">
        <f>IF(ISERROR(INDEX(data!$A$12:$AI$213,MATCH(HLOOKUP('II. Sledování projektu'!$L$5,vstupy!$N$2:$BY$180,$B121+1,0),data!$B$12:$B$213,0),31)),"",INDEX(data!$A$12:$AI$213,MATCH(HLOOKUP('II. Sledování projektu'!$L$5,vstupy!$N$2:$BY$180,$B121+1,0),data!$B$12:$B$213,0),31))</f>
        <v>402851.29</v>
      </c>
      <c r="J121" s="53">
        <f t="shared" si="10"/>
        <v>0.32318595266746891</v>
      </c>
      <c r="K121" s="53">
        <f t="shared" si="12"/>
        <v>1.6573638598331739</v>
      </c>
      <c r="L121" s="54">
        <f>IF(ISERROR(INDEX(data!$A$12:$AI$213,MATCH(HLOOKUP('II. Sledování projektu'!$L$5,vstupy!$N$2:$BY$180,$B121+1,0),data!$B$12:$B$213,0),32)),"",INDEX(data!$A$12:$AI$213,MATCH(HLOOKUP('II. Sledování projektu'!$L$5,vstupy!$N$2:$BY$180,$B121+1,0),data!$B$12:$B$213,0),32))</f>
        <v>55630.67</v>
      </c>
      <c r="M121" s="53">
        <f t="shared" si="13"/>
        <v>0.12133666066163215</v>
      </c>
      <c r="N121" s="54">
        <f>IF(ISERROR(VLOOKUP(C121,data!$C$12:$AD$213,28,0)),0,VLOOKUP(C121,data!$C$12:$AD$213,28,0))</f>
        <v>243067.5</v>
      </c>
    </row>
    <row r="122" spans="2:14" x14ac:dyDescent="0.2">
      <c r="B122" s="19">
        <f t="shared" si="11"/>
        <v>117</v>
      </c>
      <c r="C122" s="19" t="str">
        <f>IF(ISERROR(INDEX(data!$A$12:$AI$213,MATCH(HLOOKUP('II. Sledování projektu'!$L$5,vstupy!$N$2:$BY$180,$B122+1,0),data!$B$12:$B$213,0),3)),"",INDEX(data!$A$12:$AI$213,MATCH(HLOOKUP('II. Sledování projektu'!$L$5,vstupy!$N$2:$BY$180,$B122+1,0),data!$B$12:$B$213,0),3))</f>
        <v>ÚMOb Radvanice a Bartovice</v>
      </c>
      <c r="D122" s="156">
        <f>IF(ISERROR(INDEX(data!$A$12:$AI$213,MATCH(HLOOKUP('II. Sledování projektu'!$L$5,vstupy!$N$2:$BY$180,$B122+1,0),data!$B$12:$B$213,0),35)),"",INDEX(data!$A$12:$AI$213,MATCH(HLOOKUP('II. Sledování projektu'!$L$5,vstupy!$N$2:$BY$180,$B122+1,0),data!$B$12:$B$213,0),35))</f>
        <v>15.109289660900592</v>
      </c>
      <c r="E122" s="49">
        <f>IF(ISERROR(INDEX(data!$A$12:$AI$213,MATCH(HLOOKUP('II. Sledování projektu'!$L$5,vstupy!$N$2:$BY$180,$B122+1,0),data!$B$12:$B$213,0),27)),"",INDEX(data!$A$12:$AI$213,MATCH(HLOOKUP('II. Sledování projektu'!$L$5,vstupy!$N$2:$BY$180,$B122+1,0),data!$B$12:$B$213,0),27))</f>
        <v>5565000</v>
      </c>
      <c r="F122" s="54">
        <f>IF(ISERROR(INDEX(data!$A$12:$AI$213,MATCH(HLOOKUP('II. Sledování projektu'!$L$5,vstupy!$N$2:$BY$180,$B122+1,0),data!$B$12:$B$213,0),28)),"",INDEX(data!$A$12:$AI$213,MATCH(HLOOKUP('II. Sledování projektu'!$L$5,vstupy!$N$2:$BY$180,$B122+1,0),data!$B$12:$B$213,0),28))</f>
        <v>1199.56</v>
      </c>
      <c r="G122" s="53">
        <f t="shared" si="9"/>
        <v>2.1555435759209343E-4</v>
      </c>
      <c r="H122" s="53">
        <f>IF(ISERROR(INDEX(data!$A$12:$AI$213,MATCH(HLOOKUP('II. Sledování projektu'!$L$5,vstupy!$N$2:$BY$180,$B122+1,0),data!$B$12:$B$213,0),29)),"",INDEX(data!$A$12:$AI$213,MATCH(HLOOKUP('II. Sledování projektu'!$L$5,vstupy!$N$2:$BY$180,$B122+1,0),data!$B$12:$B$213,0),29))</f>
        <v>0.22950220472405164</v>
      </c>
      <c r="I122" s="54">
        <f>IF(ISERROR(INDEX(data!$A$12:$AI$213,MATCH(HLOOKUP('II. Sledování projektu'!$L$5,vstupy!$N$2:$BY$180,$B122+1,0),data!$B$12:$B$213,0),31)),"",INDEX(data!$A$12:$AI$213,MATCH(HLOOKUP('II. Sledování projektu'!$L$5,vstupy!$N$2:$BY$180,$B122+1,0),data!$B$12:$B$213,0),31))</f>
        <v>321391.90000000002</v>
      </c>
      <c r="J122" s="53">
        <f t="shared" si="10"/>
        <v>5.7752362982929024E-2</v>
      </c>
      <c r="K122" s="53">
        <f t="shared" si="12"/>
        <v>0.25164186571701647</v>
      </c>
      <c r="L122" s="54">
        <f>IF(ISERROR(INDEX(data!$A$12:$AI$213,MATCH(HLOOKUP('II. Sledování projektu'!$L$5,vstupy!$N$2:$BY$180,$B122+1,0),data!$B$12:$B$213,0),32)),"",INDEX(data!$A$12:$AI$213,MATCH(HLOOKUP('II. Sledování projektu'!$L$5,vstupy!$N$2:$BY$180,$B122+1,0),data!$B$12:$B$213,0),32))</f>
        <v>300442.15000000002</v>
      </c>
      <c r="M122" s="53">
        <f t="shared" si="13"/>
        <v>0.48315487066042784</v>
      </c>
      <c r="N122" s="54">
        <f>IF(ISERROR(VLOOKUP(C122,data!$C$12:$AD$213,28,0)),0,VLOOKUP(C122,data!$C$12:$AD$213,28,0))</f>
        <v>1277179.7692893473</v>
      </c>
    </row>
    <row r="123" spans="2:14" x14ac:dyDescent="0.2">
      <c r="B123" s="19">
        <f t="shared" si="11"/>
        <v>118</v>
      </c>
      <c r="C123" s="19" t="str">
        <f>IF(ISERROR(INDEX(data!$A$12:$AI$213,MATCH(HLOOKUP('II. Sledování projektu'!$L$5,vstupy!$N$2:$BY$180,$B123+1,0),data!$B$12:$B$213,0),3)),"",INDEX(data!$A$12:$AI$213,MATCH(HLOOKUP('II. Sledování projektu'!$L$5,vstupy!$N$2:$BY$180,$B123+1,0),data!$B$12:$B$213,0),3))</f>
        <v>ÚMOb Slezská Ostrava</v>
      </c>
      <c r="D123" s="156">
        <f>IF(ISERROR(INDEX(data!$A$12:$AI$213,MATCH(HLOOKUP('II. Sledování projektu'!$L$5,vstupy!$N$2:$BY$180,$B123+1,0),data!$B$12:$B$213,0),35)),"",INDEX(data!$A$12:$AI$213,MATCH(HLOOKUP('II. Sledování projektu'!$L$5,vstupy!$N$2:$BY$180,$B123+1,0),data!$B$12:$B$213,0),35))</f>
        <v>58.689203280302799</v>
      </c>
      <c r="E123" s="49">
        <f>IF(ISERROR(INDEX(data!$A$12:$AI$213,MATCH(HLOOKUP('II. Sledování projektu'!$L$5,vstupy!$N$2:$BY$180,$B123+1,0),data!$B$12:$B$213,0),27)),"",INDEX(data!$A$12:$AI$213,MATCH(HLOOKUP('II. Sledování projektu'!$L$5,vstupy!$N$2:$BY$180,$B123+1,0),data!$B$12:$B$213,0),27))</f>
        <v>38319500</v>
      </c>
      <c r="F123" s="54">
        <f>IF(ISERROR(INDEX(data!$A$12:$AI$213,MATCH(HLOOKUP('II. Sledování projektu'!$L$5,vstupy!$N$2:$BY$180,$B123+1,0),data!$B$12:$B$213,0),28)),"",INDEX(data!$A$12:$AI$213,MATCH(HLOOKUP('II. Sledování projektu'!$L$5,vstupy!$N$2:$BY$180,$B123+1,0),data!$B$12:$B$213,0),28))</f>
        <v>21457722.77</v>
      </c>
      <c r="G123" s="53">
        <f t="shared" si="9"/>
        <v>0.55996875663826506</v>
      </c>
      <c r="H123" s="53">
        <f>IF(ISERROR(INDEX(data!$A$12:$AI$213,MATCH(HLOOKUP('II. Sledování projektu'!$L$5,vstupy!$N$2:$BY$180,$B123+1,0),data!$B$12:$B$213,0),29)),"",INDEX(data!$A$12:$AI$213,MATCH(HLOOKUP('II. Sledování projektu'!$L$5,vstupy!$N$2:$BY$180,$B123+1,0),data!$B$12:$B$213,0),29))</f>
        <v>0.21337085300724309</v>
      </c>
      <c r="I123" s="54">
        <f>IF(ISERROR(INDEX(data!$A$12:$AI$213,MATCH(HLOOKUP('II. Sledování projektu'!$L$5,vstupy!$N$2:$BY$180,$B123+1,0),data!$B$12:$B$213,0),31)),"",INDEX(data!$A$12:$AI$213,MATCH(HLOOKUP('II. Sledování projektu'!$L$5,vstupy!$N$2:$BY$180,$B123+1,0),data!$B$12:$B$213,0),31))</f>
        <v>4182263.5500000003</v>
      </c>
      <c r="J123" s="53">
        <f t="shared" si="10"/>
        <v>0.10914191338613501</v>
      </c>
      <c r="K123" s="53">
        <f t="shared" si="12"/>
        <v>0.51151275747315905</v>
      </c>
      <c r="L123" s="54">
        <f>IF(ISERROR(INDEX(data!$A$12:$AI$213,MATCH(HLOOKUP('II. Sledování projektu'!$L$5,vstupy!$N$2:$BY$180,$B123+1,0),data!$B$12:$B$213,0),32)),"",INDEX(data!$A$12:$AI$213,MATCH(HLOOKUP('II. Sledování projektu'!$L$5,vstupy!$N$2:$BY$180,$B123+1,0),data!$B$12:$B$213,0),32))</f>
        <v>2976252.7199999997</v>
      </c>
      <c r="M123" s="53">
        <f t="shared" si="13"/>
        <v>0.41576391080829378</v>
      </c>
      <c r="N123" s="54">
        <f>IF(ISERROR(VLOOKUP(C123,data!$C$12:$AD$213,28,0)),0,VLOOKUP(C123,data!$C$12:$AD$213,28,0))</f>
        <v>8176264.4018110521</v>
      </c>
    </row>
    <row r="124" spans="2:14" x14ac:dyDescent="0.2">
      <c r="B124" s="19">
        <f t="shared" si="11"/>
        <v>119</v>
      </c>
      <c r="C124" s="19" t="str">
        <f>IF(ISERROR(INDEX(data!$A$12:$AI$213,MATCH(HLOOKUP('II. Sledování projektu'!$L$5,vstupy!$N$2:$BY$180,$B124+1,0),data!$B$12:$B$213,0),3)),"",INDEX(data!$A$12:$AI$213,MATCH(HLOOKUP('II. Sledování projektu'!$L$5,vstupy!$N$2:$BY$180,$B124+1,0),data!$B$12:$B$213,0),3))</f>
        <v>ÚMOb Stará Bělá</v>
      </c>
      <c r="D124" s="156">
        <f>IF(ISERROR(INDEX(data!$A$12:$AI$213,MATCH(HLOOKUP('II. Sledování projektu'!$L$5,vstupy!$N$2:$BY$180,$B124+1,0),data!$B$12:$B$213,0),35)),"",INDEX(data!$A$12:$AI$213,MATCH(HLOOKUP('II. Sledování projektu'!$L$5,vstupy!$N$2:$BY$180,$B124+1,0),data!$B$12:$B$213,0),35))</f>
        <v>8.1813114180393729</v>
      </c>
      <c r="E124" s="49">
        <f>IF(ISERROR(INDEX(data!$A$12:$AI$213,MATCH(HLOOKUP('II. Sledování projektu'!$L$5,vstupy!$N$2:$BY$180,$B124+1,0),data!$B$12:$B$213,0),27)),"",INDEX(data!$A$12:$AI$213,MATCH(HLOOKUP('II. Sledování projektu'!$L$5,vstupy!$N$2:$BY$180,$B124+1,0),data!$B$12:$B$213,0),27))</f>
        <v>1806500</v>
      </c>
      <c r="F124" s="54">
        <f>IF(ISERROR(INDEX(data!$A$12:$AI$213,MATCH(HLOOKUP('II. Sledování projektu'!$L$5,vstupy!$N$2:$BY$180,$B124+1,0),data!$B$12:$B$213,0),28)),"",INDEX(data!$A$12:$AI$213,MATCH(HLOOKUP('II. Sledování projektu'!$L$5,vstupy!$N$2:$BY$180,$B124+1,0),data!$B$12:$B$213,0),28))</f>
        <v>45481.22</v>
      </c>
      <c r="G124" s="53">
        <f t="shared" si="9"/>
        <v>2.5176429559922504E-2</v>
      </c>
      <c r="H124" s="53">
        <f>IF(ISERROR(INDEX(data!$A$12:$AI$213,MATCH(HLOOKUP('II. Sledování projektu'!$L$5,vstupy!$N$2:$BY$180,$B124+1,0),data!$B$12:$B$213,0),29)),"",INDEX(data!$A$12:$AI$213,MATCH(HLOOKUP('II. Sledování projektu'!$L$5,vstupy!$N$2:$BY$180,$B124+1,0),data!$B$12:$B$213,0),29))</f>
        <v>0.25922545144779635</v>
      </c>
      <c r="I124" s="54">
        <f>IF(ISERROR(INDEX(data!$A$12:$AI$213,MATCH(HLOOKUP('II. Sledování projektu'!$L$5,vstupy!$N$2:$BY$180,$B124+1,0),data!$B$12:$B$213,0),31)),"",INDEX(data!$A$12:$AI$213,MATCH(HLOOKUP('II. Sledování projektu'!$L$5,vstupy!$N$2:$BY$180,$B124+1,0),data!$B$12:$B$213,0),31))</f>
        <v>54028.97</v>
      </c>
      <c r="J124" s="53">
        <f t="shared" si="10"/>
        <v>2.9908092997508996E-2</v>
      </c>
      <c r="K124" s="53">
        <f t="shared" si="12"/>
        <v>0.11537483233405413</v>
      </c>
      <c r="L124" s="54">
        <f>IF(ISERROR(INDEX(data!$A$12:$AI$213,MATCH(HLOOKUP('II. Sledování projektu'!$L$5,vstupy!$N$2:$BY$180,$B124+1,0),data!$B$12:$B$213,0),32)),"",INDEX(data!$A$12:$AI$213,MATCH(HLOOKUP('II. Sledování projektu'!$L$5,vstupy!$N$2:$BY$180,$B124+1,0),data!$B$12:$B$213,0),32))</f>
        <v>51044.31</v>
      </c>
      <c r="M124" s="53">
        <f t="shared" si="13"/>
        <v>0.4857972455033287</v>
      </c>
      <c r="N124" s="54">
        <f>IF(ISERROR(VLOOKUP(C124,data!$C$12:$AD$213,28,0)),0,VLOOKUP(C124,data!$C$12:$AD$213,28,0))</f>
        <v>468290.77804044413</v>
      </c>
    </row>
    <row r="125" spans="2:14" x14ac:dyDescent="0.2">
      <c r="B125" s="19">
        <f t="shared" si="11"/>
        <v>120</v>
      </c>
      <c r="C125" s="19" t="str">
        <f>IF(ISERROR(INDEX(data!$A$12:$AI$213,MATCH(HLOOKUP('II. Sledování projektu'!$L$5,vstupy!$N$2:$BY$180,$B125+1,0),data!$B$12:$B$213,0),3)),"",INDEX(data!$A$12:$AI$213,MATCH(HLOOKUP('II. Sledování projektu'!$L$5,vstupy!$N$2:$BY$180,$B125+1,0),data!$B$12:$B$213,0),3))</f>
        <v>ÚMOb Svinov</v>
      </c>
      <c r="D125" s="156">
        <f>IF(ISERROR(INDEX(data!$A$12:$AI$213,MATCH(HLOOKUP('II. Sledování projektu'!$L$5,vstupy!$N$2:$BY$180,$B125+1,0),data!$B$12:$B$213,0),35)),"",INDEX(data!$A$12:$AI$213,MATCH(HLOOKUP('II. Sledování projektu'!$L$5,vstupy!$N$2:$BY$180,$B125+1,0),data!$B$12:$B$213,0),35))</f>
        <v>61.575880176277643</v>
      </c>
      <c r="E125" s="49">
        <f>IF(ISERROR(INDEX(data!$A$12:$AI$213,MATCH(HLOOKUP('II. Sledování projektu'!$L$5,vstupy!$N$2:$BY$180,$B125+1,0),data!$B$12:$B$213,0),27)),"",INDEX(data!$A$12:$AI$213,MATCH(HLOOKUP('II. Sledování projektu'!$L$5,vstupy!$N$2:$BY$180,$B125+1,0),data!$B$12:$B$213,0),27))</f>
        <v>3687000</v>
      </c>
      <c r="F125" s="54">
        <f>IF(ISERROR(INDEX(data!$A$12:$AI$213,MATCH(HLOOKUP('II. Sledování projektu'!$L$5,vstupy!$N$2:$BY$180,$B125+1,0),data!$B$12:$B$213,0),28)),"",INDEX(data!$A$12:$AI$213,MATCH(HLOOKUP('II. Sledování projektu'!$L$5,vstupy!$N$2:$BY$180,$B125+1,0),data!$B$12:$B$213,0),28))</f>
        <v>2405810.67</v>
      </c>
      <c r="G125" s="53">
        <f t="shared" si="9"/>
        <v>0.65251170870626518</v>
      </c>
      <c r="H125" s="53">
        <f>IF(ISERROR(INDEX(data!$A$12:$AI$213,MATCH(HLOOKUP('II. Sledování projektu'!$L$5,vstupy!$N$2:$BY$180,$B125+1,0),data!$B$12:$B$213,0),29)),"",INDEX(data!$A$12:$AI$213,MATCH(HLOOKUP('II. Sledování projektu'!$L$5,vstupy!$N$2:$BY$180,$B125+1,0),data!$B$12:$B$213,0),29))</f>
        <v>0.14752125202248395</v>
      </c>
      <c r="I125" s="54">
        <f>IF(ISERROR(INDEX(data!$A$12:$AI$213,MATCH(HLOOKUP('II. Sledování projektu'!$L$5,vstupy!$N$2:$BY$180,$B125+1,0),data!$B$12:$B$213,0),31)),"",INDEX(data!$A$12:$AI$213,MATCH(HLOOKUP('II. Sledování projektu'!$L$5,vstupy!$N$2:$BY$180,$B125+1,0),data!$B$12:$B$213,0),31))</f>
        <v>262439.66000000003</v>
      </c>
      <c r="J125" s="53">
        <f t="shared" si="10"/>
        <v>7.1179728776783302E-2</v>
      </c>
      <c r="K125" s="53">
        <f t="shared" si="12"/>
        <v>0.48250491234940635</v>
      </c>
      <c r="L125" s="54">
        <f>IF(ISERROR(INDEX(data!$A$12:$AI$213,MATCH(HLOOKUP('II. Sledování projektu'!$L$5,vstupy!$N$2:$BY$180,$B125+1,0),data!$B$12:$B$213,0),32)),"",INDEX(data!$A$12:$AI$213,MATCH(HLOOKUP('II. Sledování projektu'!$L$5,vstupy!$N$2:$BY$180,$B125+1,0),data!$B$12:$B$213,0),32))</f>
        <v>192694.99</v>
      </c>
      <c r="M125" s="53">
        <f t="shared" si="13"/>
        <v>0.42338017990939603</v>
      </c>
      <c r="N125" s="54">
        <f>IF(ISERROR(VLOOKUP(C125,data!$C$12:$AD$213,28,0)),0,VLOOKUP(C125,data!$C$12:$AD$213,28,0))</f>
        <v>543910.85620689834</v>
      </c>
    </row>
    <row r="126" spans="2:14" x14ac:dyDescent="0.2">
      <c r="B126" s="19">
        <f t="shared" si="11"/>
        <v>121</v>
      </c>
      <c r="C126" s="19" t="str">
        <f>IF(ISERROR(INDEX(data!$A$12:$AI$213,MATCH(HLOOKUP('II. Sledování projektu'!$L$5,vstupy!$N$2:$BY$180,$B126+1,0),data!$B$12:$B$213,0),3)),"",INDEX(data!$A$12:$AI$213,MATCH(HLOOKUP('II. Sledování projektu'!$L$5,vstupy!$N$2:$BY$180,$B126+1,0),data!$B$12:$B$213,0),3))</f>
        <v>ÚMOb Třebovice</v>
      </c>
      <c r="D126" s="156">
        <f>IF(ISERROR(INDEX(data!$A$12:$AI$213,MATCH(HLOOKUP('II. Sledování projektu'!$L$5,vstupy!$N$2:$BY$180,$B126+1,0),data!$B$12:$B$213,0),35)),"",INDEX(data!$A$12:$AI$213,MATCH(HLOOKUP('II. Sledování projektu'!$L$5,vstupy!$N$2:$BY$180,$B126+1,0),data!$B$12:$B$213,0),35))</f>
        <v>36.294231429211912</v>
      </c>
      <c r="E126" s="49">
        <f>IF(ISERROR(INDEX(data!$A$12:$AI$213,MATCH(HLOOKUP('II. Sledování projektu'!$L$5,vstupy!$N$2:$BY$180,$B126+1,0),data!$B$12:$B$213,0),27)),"",INDEX(data!$A$12:$AI$213,MATCH(HLOOKUP('II. Sledování projektu'!$L$5,vstupy!$N$2:$BY$180,$B126+1,0),data!$B$12:$B$213,0),27))</f>
        <v>1696000</v>
      </c>
      <c r="F126" s="54">
        <f>IF(ISERROR(INDEX(data!$A$12:$AI$213,MATCH(HLOOKUP('II. Sledování projektu'!$L$5,vstupy!$N$2:$BY$180,$B126+1,0),data!$B$12:$B$213,0),28)),"",INDEX(data!$A$12:$AI$213,MATCH(HLOOKUP('II. Sledování projektu'!$L$5,vstupy!$N$2:$BY$180,$B126+1,0),data!$B$12:$B$213,0),28))</f>
        <v>801822.54</v>
      </c>
      <c r="G126" s="53">
        <f t="shared" si="9"/>
        <v>0.47277272405660381</v>
      </c>
      <c r="H126" s="53">
        <f>IF(ISERROR(INDEX(data!$A$12:$AI$213,MATCH(HLOOKUP('II. Sledování projektu'!$L$5,vstupy!$N$2:$BY$180,$B126+1,0),data!$B$12:$B$213,0),29)),"",INDEX(data!$A$12:$AI$213,MATCH(HLOOKUP('II. Sledování projektu'!$L$5,vstupy!$N$2:$BY$180,$B126+1,0),data!$B$12:$B$213,0),29))</f>
        <v>0.32468997749544032</v>
      </c>
      <c r="I126" s="54">
        <f>IF(ISERROR(INDEX(data!$A$12:$AI$213,MATCH(HLOOKUP('II. Sledování projektu'!$L$5,vstupy!$N$2:$BY$180,$B126+1,0),data!$B$12:$B$213,0),31)),"",INDEX(data!$A$12:$AI$213,MATCH(HLOOKUP('II. Sledování projektu'!$L$5,vstupy!$N$2:$BY$180,$B126+1,0),data!$B$12:$B$213,0),31))</f>
        <v>116151.83</v>
      </c>
      <c r="J126" s="53">
        <f t="shared" si="10"/>
        <v>6.8485748820754713E-2</v>
      </c>
      <c r="K126" s="53">
        <f t="shared" si="12"/>
        <v>0.21092658710636203</v>
      </c>
      <c r="L126" s="54">
        <f>IF(ISERROR(INDEX(data!$A$12:$AI$213,MATCH(HLOOKUP('II. Sledování projektu'!$L$5,vstupy!$N$2:$BY$180,$B126+1,0),data!$B$12:$B$213,0),32)),"",INDEX(data!$A$12:$AI$213,MATCH(HLOOKUP('II. Sledování projektu'!$L$5,vstupy!$N$2:$BY$180,$B126+1,0),data!$B$12:$B$213,0),32))</f>
        <v>102029.89</v>
      </c>
      <c r="M126" s="53">
        <f t="shared" si="13"/>
        <v>0.46763720627007616</v>
      </c>
      <c r="N126" s="54">
        <f>IF(ISERROR(VLOOKUP(C126,data!$C$12:$AD$213,28,0)),0,VLOOKUP(C126,data!$C$12:$AD$213,28,0))</f>
        <v>550674.20183226676</v>
      </c>
    </row>
    <row r="127" spans="2:14" x14ac:dyDescent="0.2">
      <c r="B127" s="19">
        <f t="shared" si="11"/>
        <v>122</v>
      </c>
      <c r="C127" s="19" t="str">
        <f>IF(ISERROR(INDEX(data!$A$12:$AI$213,MATCH(HLOOKUP('II. Sledování projektu'!$L$5,vstupy!$N$2:$BY$180,$B127+1,0),data!$B$12:$B$213,0),3)),"",INDEX(data!$A$12:$AI$213,MATCH(HLOOKUP('II. Sledování projektu'!$L$5,vstupy!$N$2:$BY$180,$B127+1,0),data!$B$12:$B$213,0),3))</f>
        <v>ÚMOb Vítkovice</v>
      </c>
      <c r="D127" s="156">
        <f>IF(ISERROR(INDEX(data!$A$12:$AI$213,MATCH(HLOOKUP('II. Sledování projektu'!$L$5,vstupy!$N$2:$BY$180,$B127+1,0),data!$B$12:$B$213,0),35)),"",INDEX(data!$A$12:$AI$213,MATCH(HLOOKUP('II. Sledování projektu'!$L$5,vstupy!$N$2:$BY$180,$B127+1,0),data!$B$12:$B$213,0),35))</f>
        <v>72.236118808137576</v>
      </c>
      <c r="E127" s="49">
        <f>IF(ISERROR(INDEX(data!$A$12:$AI$213,MATCH(HLOOKUP('II. Sledování projektu'!$L$5,vstupy!$N$2:$BY$180,$B127+1,0),data!$B$12:$B$213,0),27)),"",INDEX(data!$A$12:$AI$213,MATCH(HLOOKUP('II. Sledování projektu'!$L$5,vstupy!$N$2:$BY$180,$B127+1,0),data!$B$12:$B$213,0),27))</f>
        <v>15960000</v>
      </c>
      <c r="F127" s="54">
        <f>IF(ISERROR(INDEX(data!$A$12:$AI$213,MATCH(HLOOKUP('II. Sledování projektu'!$L$5,vstupy!$N$2:$BY$180,$B127+1,0),data!$B$12:$B$213,0),28)),"",INDEX(data!$A$12:$AI$213,MATCH(HLOOKUP('II. Sledování projektu'!$L$5,vstupy!$N$2:$BY$180,$B127+1,0),data!$B$12:$B$213,0),28))</f>
        <v>10623543.33</v>
      </c>
      <c r="G127" s="53">
        <f t="shared" si="9"/>
        <v>0.66563554699248118</v>
      </c>
      <c r="H127" s="53">
        <f>IF(ISERROR(INDEX(data!$A$12:$AI$213,MATCH(HLOOKUP('II. Sledování projektu'!$L$5,vstupy!$N$2:$BY$180,$B127+1,0),data!$B$12:$B$213,0),29)),"",INDEX(data!$A$12:$AI$213,MATCH(HLOOKUP('II. Sledování projektu'!$L$5,vstupy!$N$2:$BY$180,$B127+1,0),data!$B$12:$B$213,0),29))</f>
        <v>0.16601831318436977</v>
      </c>
      <c r="I127" s="54">
        <f>IF(ISERROR(INDEX(data!$A$12:$AI$213,MATCH(HLOOKUP('II. Sledování projektu'!$L$5,vstupy!$N$2:$BY$180,$B127+1,0),data!$B$12:$B$213,0),31)),"",INDEX(data!$A$12:$AI$213,MATCH(HLOOKUP('II. Sledování projektu'!$L$5,vstupy!$N$2:$BY$180,$B127+1,0),data!$B$12:$B$213,0),31))</f>
        <v>1720257.66</v>
      </c>
      <c r="J127" s="53">
        <f t="shared" si="10"/>
        <v>0.10778556766917292</v>
      </c>
      <c r="K127" s="53">
        <f t="shared" si="12"/>
        <v>0.64923902430855851</v>
      </c>
      <c r="L127" s="54">
        <f>IF(ISERROR(INDEX(data!$A$12:$AI$213,MATCH(HLOOKUP('II. Sledování projektu'!$L$5,vstupy!$N$2:$BY$180,$B127+1,0),data!$B$12:$B$213,0),32)),"",INDEX(data!$A$12:$AI$213,MATCH(HLOOKUP('II. Sledování projektu'!$L$5,vstupy!$N$2:$BY$180,$B127+1,0),data!$B$12:$B$213,0),32))</f>
        <v>1330075.18</v>
      </c>
      <c r="M127" s="53">
        <f t="shared" si="13"/>
        <v>0.43604263854694625</v>
      </c>
      <c r="N127" s="54">
        <f>IF(ISERROR(VLOOKUP(C127,data!$C$12:$AD$213,28,0)),0,VLOOKUP(C127,data!$C$12:$AD$213,28,0))</f>
        <v>2649652.2784225415</v>
      </c>
    </row>
    <row r="128" spans="2:14" x14ac:dyDescent="0.2">
      <c r="B128" s="19">
        <f t="shared" si="11"/>
        <v>123</v>
      </c>
      <c r="C128" s="19" t="str">
        <f>IF(ISERROR(INDEX(data!$A$12:$AI$213,MATCH(HLOOKUP('II. Sledování projektu'!$L$5,vstupy!$N$2:$BY$180,$B128+1,0),data!$B$12:$B$213,0),3)),"",INDEX(data!$A$12:$AI$213,MATCH(HLOOKUP('II. Sledování projektu'!$L$5,vstupy!$N$2:$BY$180,$B128+1,0),data!$B$12:$B$213,0),3))</f>
        <v>Waldorfská ZŠ a MŠ MO a Přívoz</v>
      </c>
      <c r="D128" s="156">
        <f>IF(ISERROR(INDEX(data!$A$12:$AI$213,MATCH(HLOOKUP('II. Sledování projektu'!$L$5,vstupy!$N$2:$BY$180,$B128+1,0),data!$B$12:$B$213,0),35)),"",INDEX(data!$A$12:$AI$213,MATCH(HLOOKUP('II. Sledování projektu'!$L$5,vstupy!$N$2:$BY$180,$B128+1,0),data!$B$12:$B$213,0),35))</f>
        <v>14.890895527052994</v>
      </c>
      <c r="E128" s="49">
        <f>IF(ISERROR(INDEX(data!$A$12:$AI$213,MATCH(HLOOKUP('II. Sledování projektu'!$L$5,vstupy!$N$2:$BY$180,$B128+1,0),data!$B$12:$B$213,0),27)),"",INDEX(data!$A$12:$AI$213,MATCH(HLOOKUP('II. Sledování projektu'!$L$5,vstupy!$N$2:$BY$180,$B128+1,0),data!$B$12:$B$213,0),27))</f>
        <v>919000</v>
      </c>
      <c r="F128" s="54">
        <f>IF(ISERROR(INDEX(data!$A$12:$AI$213,MATCH(HLOOKUP('II. Sledování projektu'!$L$5,vstupy!$N$2:$BY$180,$B128+1,0),data!$B$12:$B$213,0),28)),"",INDEX(data!$A$12:$AI$213,MATCH(HLOOKUP('II. Sledování projektu'!$L$5,vstupy!$N$2:$BY$180,$B128+1,0),data!$B$12:$B$213,0),28))</f>
        <v>216000.83</v>
      </c>
      <c r="G128" s="53">
        <f t="shared" si="9"/>
        <v>0.23503898803046788</v>
      </c>
      <c r="H128" s="53">
        <f>IF(ISERROR(INDEX(data!$A$12:$AI$213,MATCH(HLOOKUP('II. Sledování projektu'!$L$5,vstupy!$N$2:$BY$180,$B128+1,0),data!$B$12:$B$213,0),29)),"",INDEX(data!$A$12:$AI$213,MATCH(HLOOKUP('II. Sledování projektu'!$L$5,vstupy!$N$2:$BY$180,$B128+1,0),data!$B$12:$B$213,0),29))</f>
        <v>3.7600000000000001E-2</v>
      </c>
      <c r="I128" s="54">
        <f>IF(ISERROR(INDEX(data!$A$12:$AI$213,MATCH(HLOOKUP('II. Sledování projektu'!$L$5,vstupy!$N$2:$BY$180,$B128+1,0),data!$B$12:$B$213,0),31)),"",INDEX(data!$A$12:$AI$213,MATCH(HLOOKUP('II. Sledování projektu'!$L$5,vstupy!$N$2:$BY$180,$B128+1,0),data!$B$12:$B$213,0),31))</f>
        <v>1807.74</v>
      </c>
      <c r="J128" s="53">
        <f t="shared" si="10"/>
        <v>1.9670729053318826E-3</v>
      </c>
      <c r="K128" s="53">
        <f t="shared" si="12"/>
        <v>5.231576875882666E-2</v>
      </c>
      <c r="L128" s="54">
        <f>IF(ISERROR(INDEX(data!$A$12:$AI$213,MATCH(HLOOKUP('II. Sledování projektu'!$L$5,vstupy!$N$2:$BY$180,$B128+1,0),data!$B$12:$B$213,0),32)),"",INDEX(data!$A$12:$AI$213,MATCH(HLOOKUP('II. Sledování projektu'!$L$5,vstupy!$N$2:$BY$180,$B128+1,0),data!$B$12:$B$213,0),32))</f>
        <v>12778.86</v>
      </c>
      <c r="M128" s="53">
        <f t="shared" si="13"/>
        <v>0.87606844638229608</v>
      </c>
      <c r="N128" s="54">
        <f>IF(ISERROR(VLOOKUP(C128,data!$C$12:$AD$213,28,0)),0,VLOOKUP(C128,data!$C$12:$AD$213,28,0))</f>
        <v>34554.400000000001</v>
      </c>
    </row>
    <row r="129" spans="2:14" x14ac:dyDescent="0.2">
      <c r="B129" s="19">
        <f t="shared" si="11"/>
        <v>124</v>
      </c>
      <c r="C129" s="19" t="str">
        <f>IF(ISERROR(INDEX(data!$A$12:$AI$213,MATCH(HLOOKUP('II. Sledování projektu'!$L$5,vstupy!$N$2:$BY$180,$B129+1,0),data!$B$12:$B$213,0),3)),"",INDEX(data!$A$12:$AI$213,MATCH(HLOOKUP('II. Sledování projektu'!$L$5,vstupy!$N$2:$BY$180,$B129+1,0),data!$B$12:$B$213,0),3))</f>
        <v>ZŠ a MŠ O-Dubina, V.Košaře</v>
      </c>
      <c r="D129" s="156">
        <f>IF(ISERROR(INDEX(data!$A$12:$AI$213,MATCH(HLOOKUP('II. Sledování projektu'!$L$5,vstupy!$N$2:$BY$180,$B129+1,0),data!$B$12:$B$213,0),35)),"",INDEX(data!$A$12:$AI$213,MATCH(HLOOKUP('II. Sledování projektu'!$L$5,vstupy!$N$2:$BY$180,$B129+1,0),data!$B$12:$B$213,0),35))</f>
        <v>35.187589053819735</v>
      </c>
      <c r="E129" s="49">
        <f>IF(ISERROR(INDEX(data!$A$12:$AI$213,MATCH(HLOOKUP('II. Sledování projektu'!$L$5,vstupy!$N$2:$BY$180,$B129+1,0),data!$B$12:$B$213,0),27)),"",INDEX(data!$A$12:$AI$213,MATCH(HLOOKUP('II. Sledování projektu'!$L$5,vstupy!$N$2:$BY$180,$B129+1,0),data!$B$12:$B$213,0),27))</f>
        <v>2349500</v>
      </c>
      <c r="F129" s="54">
        <f>IF(ISERROR(INDEX(data!$A$12:$AI$213,MATCH(HLOOKUP('II. Sledování projektu'!$L$5,vstupy!$N$2:$BY$180,$B129+1,0),data!$B$12:$B$213,0),28)),"",INDEX(data!$A$12:$AI$213,MATCH(HLOOKUP('II. Sledování projektu'!$L$5,vstupy!$N$2:$BY$180,$B129+1,0),data!$B$12:$B$213,0),28))</f>
        <v>1092799.51</v>
      </c>
      <c r="G129" s="53">
        <f t="shared" si="9"/>
        <v>0.46512002979357309</v>
      </c>
      <c r="H129" s="53">
        <f>IF(ISERROR(INDEX(data!$A$12:$AI$213,MATCH(HLOOKUP('II. Sledování projektu'!$L$5,vstupy!$N$2:$BY$180,$B129+1,0),data!$B$12:$B$213,0),29)),"",INDEX(data!$A$12:$AI$213,MATCH(HLOOKUP('II. Sledování projektu'!$L$5,vstupy!$N$2:$BY$180,$B129+1,0),data!$B$12:$B$213,0),29))</f>
        <v>0.13850000000000001</v>
      </c>
      <c r="I129" s="54">
        <f>IF(ISERROR(INDEX(data!$A$12:$AI$213,MATCH(HLOOKUP('II. Sledování projektu'!$L$5,vstupy!$N$2:$BY$180,$B129+1,0),data!$B$12:$B$213,0),31)),"",INDEX(data!$A$12:$AI$213,MATCH(HLOOKUP('II. Sledování projektu'!$L$5,vstupy!$N$2:$BY$180,$B129+1,0),data!$B$12:$B$213,0),31))</f>
        <v>64710.12</v>
      </c>
      <c r="J129" s="53">
        <f t="shared" si="10"/>
        <v>2.754208129389232E-2</v>
      </c>
      <c r="K129" s="53">
        <f t="shared" si="12"/>
        <v>0.1988597927356846</v>
      </c>
      <c r="L129" s="54">
        <f>IF(ISERROR(INDEX(data!$A$12:$AI$213,MATCH(HLOOKUP('II. Sledování projektu'!$L$5,vstupy!$N$2:$BY$180,$B129+1,0),data!$B$12:$B$213,0),32)),"",INDEX(data!$A$12:$AI$213,MATCH(HLOOKUP('II. Sledování projektu'!$L$5,vstupy!$N$2:$BY$180,$B129+1,0),data!$B$12:$B$213,0),32))</f>
        <v>62521.26</v>
      </c>
      <c r="M129" s="53">
        <f t="shared" si="13"/>
        <v>0.4913981126354206</v>
      </c>
      <c r="N129" s="54">
        <f>IF(ISERROR(VLOOKUP(C129,data!$C$12:$AD$213,28,0)),0,VLOOKUP(C129,data!$C$12:$AD$213,28,0))</f>
        <v>325405.75</v>
      </c>
    </row>
    <row r="130" spans="2:14" x14ac:dyDescent="0.2">
      <c r="B130" s="19">
        <f t="shared" si="11"/>
        <v>125</v>
      </c>
      <c r="C130" s="19" t="str">
        <f>IF(ISERROR(INDEX(data!$A$12:$AI$213,MATCH(HLOOKUP('II. Sledování projektu'!$L$5,vstupy!$N$2:$BY$180,$B130+1,0),data!$B$12:$B$213,0),3)),"",INDEX(data!$A$12:$AI$213,MATCH(HLOOKUP('II. Sledování projektu'!$L$5,vstupy!$N$2:$BY$180,$B130+1,0),data!$B$12:$B$213,0),3))</f>
        <v>ZŠ a MŠ O-Hošťálkovice</v>
      </c>
      <c r="D130" s="156">
        <f>IF(ISERROR(INDEX(data!$A$12:$AI$213,MATCH(HLOOKUP('II. Sledování projektu'!$L$5,vstupy!$N$2:$BY$180,$B130+1,0),data!$B$12:$B$213,0),35)),"",INDEX(data!$A$12:$AI$213,MATCH(HLOOKUP('II. Sledování projektu'!$L$5,vstupy!$N$2:$BY$180,$B130+1,0),data!$B$12:$B$213,0),35))</f>
        <v>5.7031843262460677</v>
      </c>
      <c r="E130" s="49">
        <f>IF(ISERROR(INDEX(data!$A$12:$AI$213,MATCH(HLOOKUP('II. Sledování projektu'!$L$5,vstupy!$N$2:$BY$180,$B130+1,0),data!$B$12:$B$213,0),27)),"",INDEX(data!$A$12:$AI$213,MATCH(HLOOKUP('II. Sledování projektu'!$L$5,vstupy!$N$2:$BY$180,$B130+1,0),data!$B$12:$B$213,0),27))</f>
        <v>1773500</v>
      </c>
      <c r="F130" s="54">
        <f>IF(ISERROR(INDEX(data!$A$12:$AI$213,MATCH(HLOOKUP('II. Sledování projektu'!$L$5,vstupy!$N$2:$BY$180,$B130+1,0),data!$B$12:$B$213,0),28)),"",INDEX(data!$A$12:$AI$213,MATCH(HLOOKUP('II. Sledování projektu'!$L$5,vstupy!$N$2:$BY$180,$B130+1,0),data!$B$12:$B$213,0),28))</f>
        <v>0</v>
      </c>
      <c r="G130" s="53">
        <f t="shared" si="9"/>
        <v>0</v>
      </c>
      <c r="H130" s="53">
        <f>IF(ISERROR(INDEX(data!$A$12:$AI$213,MATCH(HLOOKUP('II. Sledování projektu'!$L$5,vstupy!$N$2:$BY$180,$B130+1,0),data!$B$12:$B$213,0),29)),"",INDEX(data!$A$12:$AI$213,MATCH(HLOOKUP('II. Sledování projektu'!$L$5,vstupy!$N$2:$BY$180,$B130+1,0),data!$B$12:$B$213,0),29))</f>
        <v>0.24640000000000001</v>
      </c>
      <c r="I130" s="54">
        <f>IF(ISERROR(INDEX(data!$A$12:$AI$213,MATCH(HLOOKUP('II. Sledování projektu'!$L$5,vstupy!$N$2:$BY$180,$B130+1,0),data!$B$12:$B$213,0),31)),"",INDEX(data!$A$12:$AI$213,MATCH(HLOOKUP('II. Sledování projektu'!$L$5,vstupy!$N$2:$BY$180,$B130+1,0),data!$B$12:$B$213,0),31))</f>
        <v>41537.279999999999</v>
      </c>
      <c r="J130" s="53">
        <f t="shared" si="10"/>
        <v>2.3421076966450519E-2</v>
      </c>
      <c r="K130" s="53">
        <f t="shared" si="12"/>
        <v>9.5053072104101133E-2</v>
      </c>
      <c r="L130" s="54">
        <f>IF(ISERROR(INDEX(data!$A$12:$AI$213,MATCH(HLOOKUP('II. Sledování projektu'!$L$5,vstupy!$N$2:$BY$180,$B130+1,0),data!$B$12:$B$213,0),32)),"",INDEX(data!$A$12:$AI$213,MATCH(HLOOKUP('II. Sledování projektu'!$L$5,vstupy!$N$2:$BY$180,$B130+1,0),data!$B$12:$B$213,0),32))</f>
        <v>25575.66</v>
      </c>
      <c r="M130" s="53">
        <f t="shared" si="13"/>
        <v>0.38108388635634199</v>
      </c>
      <c r="N130" s="54">
        <f>IF(ISERROR(VLOOKUP(C130,data!$C$12:$AD$213,28,0)),0,VLOOKUP(C130,data!$C$12:$AD$213,28,0))</f>
        <v>436990.4</v>
      </c>
    </row>
    <row r="131" spans="2:14" x14ac:dyDescent="0.2">
      <c r="B131" s="19">
        <f t="shared" si="11"/>
        <v>126</v>
      </c>
      <c r="C131" s="19" t="str">
        <f>IF(ISERROR(INDEX(data!$A$12:$AI$213,MATCH(HLOOKUP('II. Sledování projektu'!$L$5,vstupy!$N$2:$BY$180,$B131+1,0),data!$B$12:$B$213,0),3)),"",INDEX(data!$A$12:$AI$213,MATCH(HLOOKUP('II. Sledování projektu'!$L$5,vstupy!$N$2:$BY$180,$B131+1,0),data!$B$12:$B$213,0),3))</f>
        <v>ZŠ a MŠ O-Hrabůvka, Klegova 29</v>
      </c>
      <c r="D131" s="156">
        <f>IF(ISERROR(INDEX(data!$A$12:$AI$213,MATCH(HLOOKUP('II. Sledování projektu'!$L$5,vstupy!$N$2:$BY$180,$B131+1,0),data!$B$12:$B$213,0),35)),"",INDEX(data!$A$12:$AI$213,MATCH(HLOOKUP('II. Sledování projektu'!$L$5,vstupy!$N$2:$BY$180,$B131+1,0),data!$B$12:$B$213,0),35))</f>
        <v>14.104812628237504</v>
      </c>
      <c r="E131" s="49">
        <f>IF(ISERROR(INDEX(data!$A$12:$AI$213,MATCH(HLOOKUP('II. Sledování projektu'!$L$5,vstupy!$N$2:$BY$180,$B131+1,0),data!$B$12:$B$213,0),27)),"",INDEX(data!$A$12:$AI$213,MATCH(HLOOKUP('II. Sledování projektu'!$L$5,vstupy!$N$2:$BY$180,$B131+1,0),data!$B$12:$B$213,0),27))</f>
        <v>3662000</v>
      </c>
      <c r="F131" s="54">
        <f>IF(ISERROR(INDEX(data!$A$12:$AI$213,MATCH(HLOOKUP('II. Sledování projektu'!$L$5,vstupy!$N$2:$BY$180,$B131+1,0),data!$B$12:$B$213,0),28)),"",INDEX(data!$A$12:$AI$213,MATCH(HLOOKUP('II. Sledování projektu'!$L$5,vstupy!$N$2:$BY$180,$B131+1,0),data!$B$12:$B$213,0),28))</f>
        <v>150871.66</v>
      </c>
      <c r="G131" s="53">
        <f t="shared" si="9"/>
        <v>4.1199251774986345E-2</v>
      </c>
      <c r="H131" s="53">
        <f>IF(ISERROR(INDEX(data!$A$12:$AI$213,MATCH(HLOOKUP('II. Sledování projektu'!$L$5,vstupy!$N$2:$BY$180,$B131+1,0),data!$B$12:$B$213,0),29)),"",INDEX(data!$A$12:$AI$213,MATCH(HLOOKUP('II. Sledování projektu'!$L$5,vstupy!$N$2:$BY$180,$B131+1,0),data!$B$12:$B$213,0),29))</f>
        <v>0.30309999999999998</v>
      </c>
      <c r="I131" s="54">
        <f>IF(ISERROR(INDEX(data!$A$12:$AI$213,MATCH(HLOOKUP('II. Sledování projektu'!$L$5,vstupy!$N$2:$BY$180,$B131+1,0),data!$B$12:$B$213,0),31)),"",INDEX(data!$A$12:$AI$213,MATCH(HLOOKUP('II. Sledování projektu'!$L$5,vstupy!$N$2:$BY$180,$B131+1,0),data!$B$12:$B$213,0),31))</f>
        <v>222820.13</v>
      </c>
      <c r="J131" s="53">
        <f t="shared" si="10"/>
        <v>6.0846567449481158E-2</v>
      </c>
      <c r="K131" s="53">
        <f t="shared" si="12"/>
        <v>0.20074750065813646</v>
      </c>
      <c r="L131" s="54">
        <f>IF(ISERROR(INDEX(data!$A$12:$AI$213,MATCH(HLOOKUP('II. Sledování projektu'!$L$5,vstupy!$N$2:$BY$180,$B131+1,0),data!$B$12:$B$213,0),32)),"",INDEX(data!$A$12:$AI$213,MATCH(HLOOKUP('II. Sledování projektu'!$L$5,vstupy!$N$2:$BY$180,$B131+1,0),data!$B$12:$B$213,0),32))</f>
        <v>94885.4</v>
      </c>
      <c r="M131" s="53">
        <f t="shared" si="13"/>
        <v>0.29865832048941671</v>
      </c>
      <c r="N131" s="54">
        <f>IF(ISERROR(VLOOKUP(C131,data!$C$12:$AD$213,28,0)),0,VLOOKUP(C131,data!$C$12:$AD$213,28,0))</f>
        <v>1109952.2</v>
      </c>
    </row>
    <row r="132" spans="2:14" x14ac:dyDescent="0.2">
      <c r="B132" s="19">
        <f t="shared" si="11"/>
        <v>127</v>
      </c>
      <c r="C132" s="19" t="str">
        <f>IF(ISERROR(INDEX(data!$A$12:$AI$213,MATCH(HLOOKUP('II. Sledování projektu'!$L$5,vstupy!$N$2:$BY$180,$B132+1,0),data!$B$12:$B$213,0),3)),"",INDEX(data!$A$12:$AI$213,MATCH(HLOOKUP('II. Sledování projektu'!$L$5,vstupy!$N$2:$BY$180,$B132+1,0),data!$B$12:$B$213,0),3))</f>
        <v>ZŠ a MŠ O-Hrabůvka, Krestova</v>
      </c>
      <c r="D132" s="156">
        <f>IF(ISERROR(INDEX(data!$A$12:$AI$213,MATCH(HLOOKUP('II. Sledování projektu'!$L$5,vstupy!$N$2:$BY$180,$B132+1,0),data!$B$12:$B$213,0),35)),"",INDEX(data!$A$12:$AI$213,MATCH(HLOOKUP('II. Sledování projektu'!$L$5,vstupy!$N$2:$BY$180,$B132+1,0),data!$B$12:$B$213,0),35))</f>
        <v>90.246264576919486</v>
      </c>
      <c r="E132" s="49">
        <f>IF(ISERROR(INDEX(data!$A$12:$AI$213,MATCH(HLOOKUP('II. Sledování projektu'!$L$5,vstupy!$N$2:$BY$180,$B132+1,0),data!$B$12:$B$213,0),27)),"",INDEX(data!$A$12:$AI$213,MATCH(HLOOKUP('II. Sledování projektu'!$L$5,vstupy!$N$2:$BY$180,$B132+1,0),data!$B$12:$B$213,0),27))</f>
        <v>3215700</v>
      </c>
      <c r="F132" s="54">
        <f>IF(ISERROR(INDEX(data!$A$12:$AI$213,MATCH(HLOOKUP('II. Sledování projektu'!$L$5,vstupy!$N$2:$BY$180,$B132+1,0),data!$B$12:$B$213,0),28)),"",INDEX(data!$A$12:$AI$213,MATCH(HLOOKUP('II. Sledování projektu'!$L$5,vstupy!$N$2:$BY$180,$B132+1,0),data!$B$12:$B$213,0),28))</f>
        <v>1945258.26</v>
      </c>
      <c r="G132" s="53">
        <f t="shared" si="9"/>
        <v>0.60492529153838981</v>
      </c>
      <c r="H132" s="53">
        <f>IF(ISERROR(INDEX(data!$A$12:$AI$213,MATCH(HLOOKUP('II. Sledování projektu'!$L$5,vstupy!$N$2:$BY$180,$B132+1,0),data!$B$12:$B$213,0),29)),"",INDEX(data!$A$12:$AI$213,MATCH(HLOOKUP('II. Sledování projektu'!$L$5,vstupy!$N$2:$BY$180,$B132+1,0),data!$B$12:$B$213,0),29))</f>
        <v>0.23280000000000001</v>
      </c>
      <c r="I132" s="54">
        <f>IF(ISERROR(INDEX(data!$A$12:$AI$213,MATCH(HLOOKUP('II. Sledování projektu'!$L$5,vstupy!$N$2:$BY$180,$B132+1,0),data!$B$12:$B$213,0),31)),"",INDEX(data!$A$12:$AI$213,MATCH(HLOOKUP('II. Sledování projektu'!$L$5,vstupy!$N$2:$BY$180,$B132+1,0),data!$B$12:$B$213,0),31))</f>
        <v>1100474.3599999999</v>
      </c>
      <c r="J132" s="53">
        <f t="shared" si="10"/>
        <v>0.34221922443013958</v>
      </c>
      <c r="K132" s="53">
        <f t="shared" si="12"/>
        <v>1.4700138506449294</v>
      </c>
      <c r="L132" s="54">
        <f>IF(ISERROR(INDEX(data!$A$12:$AI$213,MATCH(HLOOKUP('II. Sledování projektu'!$L$5,vstupy!$N$2:$BY$180,$B132+1,0),data!$B$12:$B$213,0),32)),"",INDEX(data!$A$12:$AI$213,MATCH(HLOOKUP('II. Sledování projektu'!$L$5,vstupy!$N$2:$BY$180,$B132+1,0),data!$B$12:$B$213,0),32))</f>
        <v>172295.38999999998</v>
      </c>
      <c r="M132" s="53">
        <f t="shared" si="13"/>
        <v>0.13537043129756973</v>
      </c>
      <c r="N132" s="54">
        <f>IF(ISERROR(VLOOKUP(C132,data!$C$12:$AD$213,28,0)),0,VLOOKUP(C132,data!$C$12:$AD$213,28,0))</f>
        <v>748614.96000000008</v>
      </c>
    </row>
    <row r="133" spans="2:14" x14ac:dyDescent="0.2">
      <c r="B133" s="19">
        <f t="shared" si="11"/>
        <v>128</v>
      </c>
      <c r="C133" s="19" t="str">
        <f>IF(ISERROR(INDEX(data!$A$12:$AI$213,MATCH(HLOOKUP('II. Sledování projektu'!$L$5,vstupy!$N$2:$BY$180,$B133+1,0),data!$B$12:$B$213,0),3)),"",INDEX(data!$A$12:$AI$213,MATCH(HLOOKUP('II. Sledování projektu'!$L$5,vstupy!$N$2:$BY$180,$B133+1,0),data!$B$12:$B$213,0),3))</f>
        <v>ZŠ a MŠ O-Hrabůvka, Mitušova 16</v>
      </c>
      <c r="D133" s="156">
        <f>IF(ISERROR(INDEX(data!$A$12:$AI$213,MATCH(HLOOKUP('II. Sledování projektu'!$L$5,vstupy!$N$2:$BY$180,$B133+1,0),data!$B$12:$B$213,0),35)),"",INDEX(data!$A$12:$AI$213,MATCH(HLOOKUP('II. Sledování projektu'!$L$5,vstupy!$N$2:$BY$180,$B133+1,0),data!$B$12:$B$213,0),35))</f>
        <v>38.446619611267238</v>
      </c>
      <c r="E133" s="49">
        <f>IF(ISERROR(INDEX(data!$A$12:$AI$213,MATCH(HLOOKUP('II. Sledování projektu'!$L$5,vstupy!$N$2:$BY$180,$B133+1,0),data!$B$12:$B$213,0),27)),"",INDEX(data!$A$12:$AI$213,MATCH(HLOOKUP('II. Sledování projektu'!$L$5,vstupy!$N$2:$BY$180,$B133+1,0),data!$B$12:$B$213,0),27))</f>
        <v>6687500</v>
      </c>
      <c r="F133" s="54">
        <f>IF(ISERROR(INDEX(data!$A$12:$AI$213,MATCH(HLOOKUP('II. Sledování projektu'!$L$5,vstupy!$N$2:$BY$180,$B133+1,0),data!$B$12:$B$213,0),28)),"",INDEX(data!$A$12:$AI$213,MATCH(HLOOKUP('II. Sledování projektu'!$L$5,vstupy!$N$2:$BY$180,$B133+1,0),data!$B$12:$B$213,0),28))</f>
        <v>832568.38</v>
      </c>
      <c r="G133" s="53">
        <f t="shared" si="9"/>
        <v>0.12449620635514019</v>
      </c>
      <c r="H133" s="53">
        <f>IF(ISERROR(INDEX(data!$A$12:$AI$213,MATCH(HLOOKUP('II. Sledování projektu'!$L$5,vstupy!$N$2:$BY$180,$B133+1,0),data!$B$12:$B$213,0),29)),"",INDEX(data!$A$12:$AI$213,MATCH(HLOOKUP('II. Sledování projektu'!$L$5,vstupy!$N$2:$BY$180,$B133+1,0),data!$B$12:$B$213,0),29))</f>
        <v>0.20019999999999999</v>
      </c>
      <c r="I133" s="54">
        <f>IF(ISERROR(INDEX(data!$A$12:$AI$213,MATCH(HLOOKUP('II. Sledování projektu'!$L$5,vstupy!$N$2:$BY$180,$B133+1,0),data!$B$12:$B$213,0),31)),"",INDEX(data!$A$12:$AI$213,MATCH(HLOOKUP('II. Sledování projektu'!$L$5,vstupy!$N$2:$BY$180,$B133+1,0),data!$B$12:$B$213,0),31))</f>
        <v>718996.11</v>
      </c>
      <c r="J133" s="53">
        <f t="shared" si="10"/>
        <v>0.10751343700934579</v>
      </c>
      <c r="K133" s="53">
        <f t="shared" si="12"/>
        <v>0.53703015489183714</v>
      </c>
      <c r="L133" s="54">
        <f>IF(ISERROR(INDEX(data!$A$12:$AI$213,MATCH(HLOOKUP('II. Sledování projektu'!$L$5,vstupy!$N$2:$BY$180,$B133+1,0),data!$B$12:$B$213,0),32)),"",INDEX(data!$A$12:$AI$213,MATCH(HLOOKUP('II. Sledování projektu'!$L$5,vstupy!$N$2:$BY$180,$B133+1,0),data!$B$12:$B$213,0),32))</f>
        <v>160981.59999999998</v>
      </c>
      <c r="M133" s="53">
        <f t="shared" si="13"/>
        <v>0.18293827010686439</v>
      </c>
      <c r="N133" s="54">
        <f>IF(ISERROR(VLOOKUP(C133,data!$C$12:$AD$213,28,0)),0,VLOOKUP(C133,data!$C$12:$AD$213,28,0))</f>
        <v>1338837.5</v>
      </c>
    </row>
    <row r="134" spans="2:14" x14ac:dyDescent="0.2">
      <c r="B134" s="19">
        <f t="shared" si="11"/>
        <v>129</v>
      </c>
      <c r="C134" s="19" t="str">
        <f>IF(ISERROR(INDEX(data!$A$12:$AI$213,MATCH(HLOOKUP('II. Sledování projektu'!$L$5,vstupy!$N$2:$BY$180,$B134+1,0),data!$B$12:$B$213,0),3)),"",INDEX(data!$A$12:$AI$213,MATCH(HLOOKUP('II. Sledování projektu'!$L$5,vstupy!$N$2:$BY$180,$B134+1,0),data!$B$12:$B$213,0),3))</f>
        <v>ZŠ a MŠ O-Krásné Pole</v>
      </c>
      <c r="D134" s="156">
        <f>IF(ISERROR(INDEX(data!$A$12:$AI$213,MATCH(HLOOKUP('II. Sledování projektu'!$L$5,vstupy!$N$2:$BY$180,$B134+1,0),data!$B$12:$B$213,0),35)),"",INDEX(data!$A$12:$AI$213,MATCH(HLOOKUP('II. Sledování projektu'!$L$5,vstupy!$N$2:$BY$180,$B134+1,0),data!$B$12:$B$213,0),35))</f>
        <v>76.787773628048782</v>
      </c>
      <c r="E134" s="49">
        <f>IF(ISERROR(INDEX(data!$A$12:$AI$213,MATCH(HLOOKUP('II. Sledování projektu'!$L$5,vstupy!$N$2:$BY$180,$B134+1,0),data!$B$12:$B$213,0),27)),"",INDEX(data!$A$12:$AI$213,MATCH(HLOOKUP('II. Sledování projektu'!$L$5,vstupy!$N$2:$BY$180,$B134+1,0),data!$B$12:$B$213,0),27))</f>
        <v>1968000</v>
      </c>
      <c r="F134" s="54">
        <f>IF(ISERROR(INDEX(data!$A$12:$AI$213,MATCH(HLOOKUP('II. Sledování projektu'!$L$5,vstupy!$N$2:$BY$180,$B134+1,0),data!$B$12:$B$213,0),28)),"",INDEX(data!$A$12:$AI$213,MATCH(HLOOKUP('II. Sledování projektu'!$L$5,vstupy!$N$2:$BY$180,$B134+1,0),data!$B$12:$B$213,0),28))</f>
        <v>660766.77</v>
      </c>
      <c r="G134" s="53">
        <f t="shared" si="9"/>
        <v>0.3357554725609756</v>
      </c>
      <c r="H134" s="53">
        <f>IF(ISERROR(INDEX(data!$A$12:$AI$213,MATCH(HLOOKUP('II. Sledování projektu'!$L$5,vstupy!$N$2:$BY$180,$B134+1,0),data!$B$12:$B$213,0),29)),"",INDEX(data!$A$12:$AI$213,MATCH(HLOOKUP('II. Sledování projektu'!$L$5,vstupy!$N$2:$BY$180,$B134+1,0),data!$B$12:$B$213,0),29))</f>
        <v>0.38900000000000001</v>
      </c>
      <c r="I134" s="54">
        <f>IF(ISERROR(INDEX(data!$A$12:$AI$213,MATCH(HLOOKUP('II. Sledování projektu'!$L$5,vstupy!$N$2:$BY$180,$B134+1,0),data!$B$12:$B$213,0),31)),"",INDEX(data!$A$12:$AI$213,MATCH(HLOOKUP('II. Sledování projektu'!$L$5,vstupy!$N$2:$BY$180,$B134+1,0),data!$B$12:$B$213,0),31))</f>
        <v>827690.08</v>
      </c>
      <c r="J134" s="53">
        <f t="shared" si="10"/>
        <v>0.42057422764227642</v>
      </c>
      <c r="K134" s="53">
        <f t="shared" si="12"/>
        <v>1.0811676803143353</v>
      </c>
      <c r="L134" s="54">
        <f>IF(ISERROR(INDEX(data!$A$12:$AI$213,MATCH(HLOOKUP('II. Sledování projektu'!$L$5,vstupy!$N$2:$BY$180,$B134+1,0),data!$B$12:$B$213,0),32)),"",INDEX(data!$A$12:$AI$213,MATCH(HLOOKUP('II. Sledování projektu'!$L$5,vstupy!$N$2:$BY$180,$B134+1,0),data!$B$12:$B$213,0),32))</f>
        <v>281114.03000000003</v>
      </c>
      <c r="M134" s="53">
        <f t="shared" ref="M134:M165" si="14">IF(ISERROR(L134/I134),0,IF(uspora="A",L134/I134,L134/(I134+L134)))</f>
        <v>0.25352902957764112</v>
      </c>
      <c r="N134" s="54">
        <f>IF(ISERROR(VLOOKUP(C134,data!$C$12:$AD$213,28,0)),0,VLOOKUP(C134,data!$C$12:$AD$213,28,0))</f>
        <v>765552</v>
      </c>
    </row>
    <row r="135" spans="2:14" x14ac:dyDescent="0.2">
      <c r="B135" s="19">
        <f t="shared" si="11"/>
        <v>130</v>
      </c>
      <c r="C135" s="19" t="str">
        <f>IF(ISERROR(INDEX(data!$A$12:$AI$213,MATCH(HLOOKUP('II. Sledování projektu'!$L$5,vstupy!$N$2:$BY$180,$B135+1,0),data!$B$12:$B$213,0),3)),"",INDEX(data!$A$12:$AI$213,MATCH(HLOOKUP('II. Sledování projektu'!$L$5,vstupy!$N$2:$BY$180,$B135+1,0),data!$B$12:$B$213,0),3))</f>
        <v>ZŠ a MŠ O-Lhotka</v>
      </c>
      <c r="D135" s="156">
        <f>IF(ISERROR(INDEX(data!$A$12:$AI$213,MATCH(HLOOKUP('II. Sledování projektu'!$L$5,vstupy!$N$2:$BY$180,$B135+1,0),data!$B$12:$B$213,0),35)),"",INDEX(data!$A$12:$AI$213,MATCH(HLOOKUP('II. Sledování projektu'!$L$5,vstupy!$N$2:$BY$180,$B135+1,0),data!$B$12:$B$213,0),35))</f>
        <v>31.451694673150211</v>
      </c>
      <c r="E135" s="49">
        <f>IF(ISERROR(INDEX(data!$A$12:$AI$213,MATCH(HLOOKUP('II. Sledování projektu'!$L$5,vstupy!$N$2:$BY$180,$B135+1,0),data!$B$12:$B$213,0),27)),"",INDEX(data!$A$12:$AI$213,MATCH(HLOOKUP('II. Sledování projektu'!$L$5,vstupy!$N$2:$BY$180,$B135+1,0),data!$B$12:$B$213,0),27))</f>
        <v>658500</v>
      </c>
      <c r="F135" s="54">
        <f>IF(ISERROR(INDEX(data!$A$12:$AI$213,MATCH(HLOOKUP('II. Sledování projektu'!$L$5,vstupy!$N$2:$BY$180,$B135+1,0),data!$B$12:$B$213,0),28)),"",INDEX(data!$A$12:$AI$213,MATCH(HLOOKUP('II. Sledování projektu'!$L$5,vstupy!$N$2:$BY$180,$B135+1,0),data!$B$12:$B$213,0),28))</f>
        <v>0</v>
      </c>
      <c r="G135" s="53">
        <f t="shared" ref="G135:G181" si="15">IF(ISERROR(F135/E135),0,F135/E135)</f>
        <v>0</v>
      </c>
      <c r="H135" s="53">
        <f>IF(ISERROR(INDEX(data!$A$12:$AI$213,MATCH(HLOOKUP('II. Sledování projektu'!$L$5,vstupy!$N$2:$BY$180,$B135+1,0),data!$B$12:$B$213,0),29)),"",INDEX(data!$A$12:$AI$213,MATCH(HLOOKUP('II. Sledování projektu'!$L$5,vstupy!$N$2:$BY$180,$B135+1,0),data!$B$12:$B$213,0),29))</f>
        <v>0.1507</v>
      </c>
      <c r="I135" s="54">
        <f>IF(ISERROR(INDEX(data!$A$12:$AI$213,MATCH(HLOOKUP('II. Sledování projektu'!$L$5,vstupy!$N$2:$BY$180,$B135+1,0),data!$B$12:$B$213,0),31)),"",INDEX(data!$A$12:$AI$213,MATCH(HLOOKUP('II. Sledování projektu'!$L$5,vstupy!$N$2:$BY$180,$B135+1,0),data!$B$12:$B$213,0),31))</f>
        <v>52018.98</v>
      </c>
      <c r="J135" s="53">
        <f t="shared" ref="J135:J181" si="16">IF(ISERROR(I135/(E135)),0,I135/(E135))</f>
        <v>7.899617312072893E-2</v>
      </c>
      <c r="K135" s="53">
        <f t="shared" si="12"/>
        <v>0.52419491121917017</v>
      </c>
      <c r="L135" s="54">
        <f>IF(ISERROR(INDEX(data!$A$12:$AI$213,MATCH(HLOOKUP('II. Sledování projektu'!$L$5,vstupy!$N$2:$BY$180,$B135+1,0),data!$B$12:$B$213,0),32)),"",INDEX(data!$A$12:$AI$213,MATCH(HLOOKUP('II. Sledování projektu'!$L$5,vstupy!$N$2:$BY$180,$B135+1,0),data!$B$12:$B$213,0),32))</f>
        <v>53282.82</v>
      </c>
      <c r="M135" s="53">
        <f t="shared" si="14"/>
        <v>0.50600103701931021</v>
      </c>
      <c r="N135" s="54">
        <f>IF(ISERROR(VLOOKUP(C135,data!$C$12:$AD$213,28,0)),0,VLOOKUP(C135,data!$C$12:$AD$213,28,0))</f>
        <v>99235.95</v>
      </c>
    </row>
    <row r="136" spans="2:14" x14ac:dyDescent="0.2">
      <c r="B136" s="19">
        <f t="shared" ref="B136:B181" si="17">B135+1</f>
        <v>131</v>
      </c>
      <c r="C136" s="19" t="str">
        <f>IF(ISERROR(INDEX(data!$A$12:$AI$213,MATCH(HLOOKUP('II. Sledování projektu'!$L$5,vstupy!$N$2:$BY$180,$B136+1,0),data!$B$12:$B$213,0),3)),"",INDEX(data!$A$12:$AI$213,MATCH(HLOOKUP('II. Sledování projektu'!$L$5,vstupy!$N$2:$BY$180,$B136+1,0),data!$B$12:$B$213,0),3))</f>
        <v>ZŠ a MŠ O-Proskovice</v>
      </c>
      <c r="D136" s="156">
        <f>IF(ISERROR(INDEX(data!$A$12:$AI$213,MATCH(HLOOKUP('II. Sledování projektu'!$L$5,vstupy!$N$2:$BY$180,$B136+1,0),data!$B$12:$B$213,0),35)),"",INDEX(data!$A$12:$AI$213,MATCH(HLOOKUP('II. Sledování projektu'!$L$5,vstupy!$N$2:$BY$180,$B136+1,0),data!$B$12:$B$213,0),35))</f>
        <v>20.793111365756374</v>
      </c>
      <c r="E136" s="49">
        <f>IF(ISERROR(INDEX(data!$A$12:$AI$213,MATCH(HLOOKUP('II. Sledování projektu'!$L$5,vstupy!$N$2:$BY$180,$B136+1,0),data!$B$12:$B$213,0),27)),"",INDEX(data!$A$12:$AI$213,MATCH(HLOOKUP('II. Sledování projektu'!$L$5,vstupy!$N$2:$BY$180,$B136+1,0),data!$B$12:$B$213,0),27))</f>
        <v>1138950</v>
      </c>
      <c r="F136" s="54">
        <f>IF(ISERROR(INDEX(data!$A$12:$AI$213,MATCH(HLOOKUP('II. Sledování projektu'!$L$5,vstupy!$N$2:$BY$180,$B136+1,0),data!$B$12:$B$213,0),28)),"",INDEX(data!$A$12:$AI$213,MATCH(HLOOKUP('II. Sledování projektu'!$L$5,vstupy!$N$2:$BY$180,$B136+1,0),data!$B$12:$B$213,0),28))</f>
        <v>8919.36</v>
      </c>
      <c r="G136" s="53">
        <f t="shared" si="15"/>
        <v>7.8312129593046224E-3</v>
      </c>
      <c r="H136" s="53">
        <f>IF(ISERROR(INDEX(data!$A$12:$AI$213,MATCH(HLOOKUP('II. Sledování projektu'!$L$5,vstupy!$N$2:$BY$180,$B136+1,0),data!$B$12:$B$213,0),29)),"",INDEX(data!$A$12:$AI$213,MATCH(HLOOKUP('II. Sledování projektu'!$L$5,vstupy!$N$2:$BY$180,$B136+1,0),data!$B$12:$B$213,0),29))</f>
        <v>0.31890000000000002</v>
      </c>
      <c r="I136" s="54">
        <f>IF(ISERROR(INDEX(data!$A$12:$AI$213,MATCH(HLOOKUP('II. Sledování projektu'!$L$5,vstupy!$N$2:$BY$180,$B136+1,0),data!$B$12:$B$213,0),31)),"",INDEX(data!$A$12:$AI$213,MATCH(HLOOKUP('II. Sledování projektu'!$L$5,vstupy!$N$2:$BY$180,$B136+1,0),data!$B$12:$B$213,0),31))</f>
        <v>123501.18000000001</v>
      </c>
      <c r="J136" s="53">
        <f t="shared" si="16"/>
        <v>0.10843424206505993</v>
      </c>
      <c r="K136" s="53">
        <f t="shared" ref="K136:K181" si="18">IF(ISERROR(I136/(N136)),0,I136/(N136))</f>
        <v>0.34002584529651902</v>
      </c>
      <c r="L136" s="54">
        <f>IF(ISERROR(INDEX(data!$A$12:$AI$213,MATCH(HLOOKUP('II. Sledování projektu'!$L$5,vstupy!$N$2:$BY$180,$B136+1,0),data!$B$12:$B$213,0),32)),"",INDEX(data!$A$12:$AI$213,MATCH(HLOOKUP('II. Sledování projektu'!$L$5,vstupy!$N$2:$BY$180,$B136+1,0),data!$B$12:$B$213,0),32))</f>
        <v>92016.81</v>
      </c>
      <c r="M136" s="53">
        <f t="shared" si="14"/>
        <v>0.42695651532384837</v>
      </c>
      <c r="N136" s="54">
        <f>IF(ISERROR(VLOOKUP(C136,data!$C$12:$AD$213,28,0)),0,VLOOKUP(C136,data!$C$12:$AD$213,28,0))</f>
        <v>363211.15500000003</v>
      </c>
    </row>
    <row r="137" spans="2:14" x14ac:dyDescent="0.2">
      <c r="B137" s="19">
        <f t="shared" si="17"/>
        <v>132</v>
      </c>
      <c r="C137" s="19" t="str">
        <f>IF(ISERROR(INDEX(data!$A$12:$AI$213,MATCH(HLOOKUP('II. Sledování projektu'!$L$5,vstupy!$N$2:$BY$180,$B137+1,0),data!$B$12:$B$213,0),3)),"",INDEX(data!$A$12:$AI$213,MATCH(HLOOKUP('II. Sledování projektu'!$L$5,vstupy!$N$2:$BY$180,$B137+1,0),data!$B$12:$B$213,0),3))</f>
        <v>ZŠ a MŠ O-Svinov</v>
      </c>
      <c r="D137" s="156">
        <f>IF(ISERROR(INDEX(data!$A$12:$AI$213,MATCH(HLOOKUP('II. Sledování projektu'!$L$5,vstupy!$N$2:$BY$180,$B137+1,0),data!$B$12:$B$213,0),35)),"",INDEX(data!$A$12:$AI$213,MATCH(HLOOKUP('II. Sledování projektu'!$L$5,vstupy!$N$2:$BY$180,$B137+1,0),data!$B$12:$B$213,0),35))</f>
        <v>68.681486973411495</v>
      </c>
      <c r="E137" s="49">
        <f>IF(ISERROR(INDEX(data!$A$12:$AI$213,MATCH(HLOOKUP('II. Sledování projektu'!$L$5,vstupy!$N$2:$BY$180,$B137+1,0),data!$B$12:$B$213,0),27)),"",INDEX(data!$A$12:$AI$213,MATCH(HLOOKUP('II. Sledování projektu'!$L$5,vstupy!$N$2:$BY$180,$B137+1,0),data!$B$12:$B$213,0),27))</f>
        <v>4033413</v>
      </c>
      <c r="F137" s="54">
        <f>IF(ISERROR(INDEX(data!$A$12:$AI$213,MATCH(HLOOKUP('II. Sledování projektu'!$L$5,vstupy!$N$2:$BY$180,$B137+1,0),data!$B$12:$B$213,0),28)),"",INDEX(data!$A$12:$AI$213,MATCH(HLOOKUP('II. Sledování projektu'!$L$5,vstupy!$N$2:$BY$180,$B137+1,0),data!$B$12:$B$213,0),28))</f>
        <v>1526229.89</v>
      </c>
      <c r="G137" s="53">
        <f t="shared" si="15"/>
        <v>0.3783966308434073</v>
      </c>
      <c r="H137" s="53">
        <f>IF(ISERROR(INDEX(data!$A$12:$AI$213,MATCH(HLOOKUP('II. Sledování projektu'!$L$5,vstupy!$N$2:$BY$180,$B137+1,0),data!$B$12:$B$213,0),29)),"",INDEX(data!$A$12:$AI$213,MATCH(HLOOKUP('II. Sledování projektu'!$L$5,vstupy!$N$2:$BY$180,$B137+1,0),data!$B$12:$B$213,0),29))</f>
        <v>0.37509999999999999</v>
      </c>
      <c r="I137" s="54">
        <f>IF(ISERROR(INDEX(data!$A$12:$AI$213,MATCH(HLOOKUP('II. Sledování projektu'!$L$5,vstupy!$N$2:$BY$180,$B137+1,0),data!$B$12:$B$213,0),31)),"",INDEX(data!$A$12:$AI$213,MATCH(HLOOKUP('II. Sledování projektu'!$L$5,vstupy!$N$2:$BY$180,$B137+1,0),data!$B$12:$B$213,0),31))</f>
        <v>1254767.69</v>
      </c>
      <c r="J137" s="53">
        <f t="shared" si="16"/>
        <v>0.3110932825376424</v>
      </c>
      <c r="K137" s="53">
        <f t="shared" si="18"/>
        <v>0.82936092385401872</v>
      </c>
      <c r="L137" s="54">
        <f>IF(ISERROR(INDEX(data!$A$12:$AI$213,MATCH(HLOOKUP('II. Sledování projektu'!$L$5,vstupy!$N$2:$BY$180,$B137+1,0),data!$B$12:$B$213,0),32)),"",INDEX(data!$A$12:$AI$213,MATCH(HLOOKUP('II. Sledování projektu'!$L$5,vstupy!$N$2:$BY$180,$B137+1,0),data!$B$12:$B$213,0),32))</f>
        <v>521359.96</v>
      </c>
      <c r="M137" s="53">
        <f t="shared" si="14"/>
        <v>0.29353743803267746</v>
      </c>
      <c r="N137" s="54">
        <f>IF(ISERROR(VLOOKUP(C137,data!$C$12:$AD$213,28,0)),0,VLOOKUP(C137,data!$C$12:$AD$213,28,0))</f>
        <v>1512933.2163</v>
      </c>
    </row>
    <row r="138" spans="2:14" x14ac:dyDescent="0.2">
      <c r="B138" s="19">
        <f t="shared" si="17"/>
        <v>133</v>
      </c>
      <c r="C138" s="19" t="str">
        <f>IF(ISERROR(INDEX(data!$A$12:$AI$213,MATCH(HLOOKUP('II. Sledování projektu'!$L$5,vstupy!$N$2:$BY$180,$B138+1,0),data!$B$12:$B$213,0),3)),"",INDEX(data!$A$12:$AI$213,MATCH(HLOOKUP('II. Sledování projektu'!$L$5,vstupy!$N$2:$BY$180,$B138+1,0),data!$B$12:$B$213,0),3))</f>
        <v>ZŠ a MŠ O-Výškovice, Šeříková</v>
      </c>
      <c r="D138" s="156">
        <f>IF(ISERROR(INDEX(data!$A$12:$AI$213,MATCH(HLOOKUP('II. Sledování projektu'!$L$5,vstupy!$N$2:$BY$180,$B138+1,0),data!$B$12:$B$213,0),35)),"",INDEX(data!$A$12:$AI$213,MATCH(HLOOKUP('II. Sledování projektu'!$L$5,vstupy!$N$2:$BY$180,$B138+1,0),data!$B$12:$B$213,0),35))</f>
        <v>4.6780749320719321</v>
      </c>
      <c r="E138" s="49">
        <f>IF(ISERROR(INDEX(data!$A$12:$AI$213,MATCH(HLOOKUP('II. Sledování projektu'!$L$5,vstupy!$N$2:$BY$180,$B138+1,0),data!$B$12:$B$213,0),27)),"",INDEX(data!$A$12:$AI$213,MATCH(HLOOKUP('II. Sledování projektu'!$L$5,vstupy!$N$2:$BY$180,$B138+1,0),data!$B$12:$B$213,0),27))</f>
        <v>3876100</v>
      </c>
      <c r="F138" s="54">
        <f>IF(ISERROR(INDEX(data!$A$12:$AI$213,MATCH(HLOOKUP('II. Sledování projektu'!$L$5,vstupy!$N$2:$BY$180,$B138+1,0),data!$B$12:$B$213,0),28)),"",INDEX(data!$A$12:$AI$213,MATCH(HLOOKUP('II. Sledování projektu'!$L$5,vstupy!$N$2:$BY$180,$B138+1,0),data!$B$12:$B$213,0),28))</f>
        <v>0</v>
      </c>
      <c r="G138" s="53">
        <f t="shared" si="15"/>
        <v>0</v>
      </c>
      <c r="H138" s="53">
        <f>IF(ISERROR(INDEX(data!$A$12:$AI$213,MATCH(HLOOKUP('II. Sledování projektu'!$L$5,vstupy!$N$2:$BY$180,$B138+1,0),data!$B$12:$B$213,0),29)),"",INDEX(data!$A$12:$AI$213,MATCH(HLOOKUP('II. Sledování projektu'!$L$5,vstupy!$N$2:$BY$180,$B138+1,0),data!$B$12:$B$213,0),29))</f>
        <v>0.19409999999999999</v>
      </c>
      <c r="I138" s="54">
        <f>IF(ISERROR(INDEX(data!$A$12:$AI$213,MATCH(HLOOKUP('II. Sledování projektu'!$L$5,vstupy!$N$2:$BY$180,$B138+1,0),data!$B$12:$B$213,0),31)),"",INDEX(data!$A$12:$AI$213,MATCH(HLOOKUP('II. Sledování projektu'!$L$5,vstupy!$N$2:$BY$180,$B138+1,0),data!$B$12:$B$213,0),31))</f>
        <v>58659.24</v>
      </c>
      <c r="J138" s="53">
        <f t="shared" si="16"/>
        <v>1.5133572405252703E-2</v>
      </c>
      <c r="K138" s="53">
        <f t="shared" si="18"/>
        <v>7.7967915534532209E-2</v>
      </c>
      <c r="L138" s="54">
        <f>IF(ISERROR(INDEX(data!$A$12:$AI$213,MATCH(HLOOKUP('II. Sledování projektu'!$L$5,vstupy!$N$2:$BY$180,$B138+1,0),data!$B$12:$B$213,0),32)),"",INDEX(data!$A$12:$AI$213,MATCH(HLOOKUP('II. Sledování projektu'!$L$5,vstupy!$N$2:$BY$180,$B138+1,0),data!$B$12:$B$213,0),32))</f>
        <v>47129.7</v>
      </c>
      <c r="M138" s="53">
        <f t="shared" si="14"/>
        <v>0.44550687434811237</v>
      </c>
      <c r="N138" s="54">
        <f>IF(ISERROR(VLOOKUP(C138,data!$C$12:$AD$213,28,0)),0,VLOOKUP(C138,data!$C$12:$AD$213,28,0))</f>
        <v>752351.01</v>
      </c>
    </row>
    <row r="139" spans="2:14" x14ac:dyDescent="0.2">
      <c r="B139" s="19">
        <f t="shared" si="17"/>
        <v>134</v>
      </c>
      <c r="C139" s="19" t="str">
        <f>IF(ISERROR(INDEX(data!$A$12:$AI$213,MATCH(HLOOKUP('II. Sledování projektu'!$L$5,vstupy!$N$2:$BY$180,$B139+1,0),data!$B$12:$B$213,0),3)),"",INDEX(data!$A$12:$AI$213,MATCH(HLOOKUP('II. Sledování projektu'!$L$5,vstupy!$N$2:$BY$180,$B139+1,0),data!$B$12:$B$213,0),3))</f>
        <v>ZŠ a MŠ O-Zábřeh, Březinova</v>
      </c>
      <c r="D139" s="156">
        <f>IF(ISERROR(INDEX(data!$A$12:$AI$213,MATCH(HLOOKUP('II. Sledování projektu'!$L$5,vstupy!$N$2:$BY$180,$B139+1,0),data!$B$12:$B$213,0),35)),"",INDEX(data!$A$12:$AI$213,MATCH(HLOOKUP('II. Sledování projektu'!$L$5,vstupy!$N$2:$BY$180,$B139+1,0),data!$B$12:$B$213,0),35))</f>
        <v>11.422842272471811</v>
      </c>
      <c r="E139" s="49">
        <f>IF(ISERROR(INDEX(data!$A$12:$AI$213,MATCH(HLOOKUP('II. Sledování projektu'!$L$5,vstupy!$N$2:$BY$180,$B139+1,0),data!$B$12:$B$213,0),27)),"",INDEX(data!$A$12:$AI$213,MATCH(HLOOKUP('II. Sledování projektu'!$L$5,vstupy!$N$2:$BY$180,$B139+1,0),data!$B$12:$B$213,0),27))</f>
        <v>1947728</v>
      </c>
      <c r="F139" s="54">
        <f>IF(ISERROR(INDEX(data!$A$12:$AI$213,MATCH(HLOOKUP('II. Sledování projektu'!$L$5,vstupy!$N$2:$BY$180,$B139+1,0),data!$B$12:$B$213,0),28)),"",INDEX(data!$A$12:$AI$213,MATCH(HLOOKUP('II. Sledování projektu'!$L$5,vstupy!$N$2:$BY$180,$B139+1,0),data!$B$12:$B$213,0),28))</f>
        <v>14334.75</v>
      </c>
      <c r="G139" s="53">
        <f t="shared" si="15"/>
        <v>7.3597288738468615E-3</v>
      </c>
      <c r="H139" s="53">
        <f>IF(ISERROR(INDEX(data!$A$12:$AI$213,MATCH(HLOOKUP('II. Sledování projektu'!$L$5,vstupy!$N$2:$BY$180,$B139+1,0),data!$B$12:$B$213,0),29)),"",INDEX(data!$A$12:$AI$213,MATCH(HLOOKUP('II. Sledování projektu'!$L$5,vstupy!$N$2:$BY$180,$B139+1,0),data!$B$12:$B$213,0),29))</f>
        <v>0.17460000000000001</v>
      </c>
      <c r="I139" s="54">
        <f>IF(ISERROR(INDEX(data!$A$12:$AI$213,MATCH(HLOOKUP('II. Sledování projektu'!$L$5,vstupy!$N$2:$BY$180,$B139+1,0),data!$B$12:$B$213,0),31)),"",INDEX(data!$A$12:$AI$213,MATCH(HLOOKUP('II. Sledování projektu'!$L$5,vstupy!$N$2:$BY$180,$B139+1,0),data!$B$12:$B$213,0),31))</f>
        <v>62657.69</v>
      </c>
      <c r="J139" s="53">
        <f t="shared" si="16"/>
        <v>3.2169630461748255E-2</v>
      </c>
      <c r="K139" s="53">
        <f t="shared" si="18"/>
        <v>0.18424759714632447</v>
      </c>
      <c r="L139" s="54">
        <f>IF(ISERROR(INDEX(data!$A$12:$AI$213,MATCH(HLOOKUP('II. Sledování projektu'!$L$5,vstupy!$N$2:$BY$180,$B139+1,0),data!$B$12:$B$213,0),32)),"",INDEX(data!$A$12:$AI$213,MATCH(HLOOKUP('II. Sledování projektu'!$L$5,vstupy!$N$2:$BY$180,$B139+1,0),data!$B$12:$B$213,0),32))</f>
        <v>39597.14</v>
      </c>
      <c r="M139" s="53">
        <f t="shared" si="14"/>
        <v>0.38723980079962972</v>
      </c>
      <c r="N139" s="54">
        <f>IF(ISERROR(VLOOKUP(C139,data!$C$12:$AD$213,28,0)),0,VLOOKUP(C139,data!$C$12:$AD$213,28,0))</f>
        <v>340073.3088</v>
      </c>
    </row>
    <row r="140" spans="2:14" x14ac:dyDescent="0.2">
      <c r="B140" s="19">
        <f t="shared" si="17"/>
        <v>135</v>
      </c>
      <c r="C140" s="19" t="str">
        <f>IF(ISERROR(INDEX(data!$A$12:$AI$213,MATCH(HLOOKUP('II. Sledování projektu'!$L$5,vstupy!$N$2:$BY$180,$B140+1,0),data!$B$12:$B$213,0),3)),"",INDEX(data!$A$12:$AI$213,MATCH(HLOOKUP('II. Sledování projektu'!$L$5,vstupy!$N$2:$BY$180,$B140+1,0),data!$B$12:$B$213,0),3))</f>
        <v>ZŠ a MŠ O-Zábřeh, Horymírova</v>
      </c>
      <c r="D140" s="156">
        <f>IF(ISERROR(INDEX(data!$A$12:$AI$213,MATCH(HLOOKUP('II. Sledování projektu'!$L$5,vstupy!$N$2:$BY$180,$B140+1,0),data!$B$12:$B$213,0),35)),"",INDEX(data!$A$12:$AI$213,MATCH(HLOOKUP('II. Sledování projektu'!$L$5,vstupy!$N$2:$BY$180,$B140+1,0),data!$B$12:$B$213,0),35))</f>
        <v>53.269643004611595</v>
      </c>
      <c r="E140" s="49">
        <f>IF(ISERROR(INDEX(data!$A$12:$AI$213,MATCH(HLOOKUP('II. Sledování projektu'!$L$5,vstupy!$N$2:$BY$180,$B140+1,0),data!$B$12:$B$213,0),27)),"",INDEX(data!$A$12:$AI$213,MATCH(HLOOKUP('II. Sledování projektu'!$L$5,vstupy!$N$2:$BY$180,$B140+1,0),data!$B$12:$B$213,0),27))</f>
        <v>3749150</v>
      </c>
      <c r="F140" s="54">
        <f>IF(ISERROR(INDEX(data!$A$12:$AI$213,MATCH(HLOOKUP('II. Sledování projektu'!$L$5,vstupy!$N$2:$BY$180,$B140+1,0),data!$B$12:$B$213,0),28)),"",INDEX(data!$A$12:$AI$213,MATCH(HLOOKUP('II. Sledování projektu'!$L$5,vstupy!$N$2:$BY$180,$B140+1,0),data!$B$12:$B$213,0),28))</f>
        <v>1529415.6800000002</v>
      </c>
      <c r="G140" s="53">
        <f t="shared" si="15"/>
        <v>0.407936646973314</v>
      </c>
      <c r="H140" s="53">
        <f>IF(ISERROR(INDEX(data!$A$12:$AI$213,MATCH(HLOOKUP('II. Sledování projektu'!$L$5,vstupy!$N$2:$BY$180,$B140+1,0),data!$B$12:$B$213,0),29)),"",INDEX(data!$A$12:$AI$213,MATCH(HLOOKUP('II. Sledování projektu'!$L$5,vstupy!$N$2:$BY$180,$B140+1,0),data!$B$12:$B$213,0),29))</f>
        <v>0.24879999999999999</v>
      </c>
      <c r="I140" s="54">
        <f>IF(ISERROR(INDEX(data!$A$12:$AI$213,MATCH(HLOOKUP('II. Sledování projektu'!$L$5,vstupy!$N$2:$BY$180,$B140+1,0),data!$B$12:$B$213,0),31)),"",INDEX(data!$A$12:$AI$213,MATCH(HLOOKUP('II. Sledování projektu'!$L$5,vstupy!$N$2:$BY$180,$B140+1,0),data!$B$12:$B$213,0),31))</f>
        <v>511056.34</v>
      </c>
      <c r="J140" s="53">
        <f t="shared" si="16"/>
        <v>0.13631258818665565</v>
      </c>
      <c r="K140" s="53">
        <f t="shared" si="18"/>
        <v>0.54788017759909824</v>
      </c>
      <c r="L140" s="54">
        <f>IF(ISERROR(INDEX(data!$A$12:$AI$213,MATCH(HLOOKUP('II. Sledování projektu'!$L$5,vstupy!$N$2:$BY$180,$B140+1,0),data!$B$12:$B$213,0),32)),"",INDEX(data!$A$12:$AI$213,MATCH(HLOOKUP('II. Sledování projektu'!$L$5,vstupy!$N$2:$BY$180,$B140+1,0),data!$B$12:$B$213,0),32))</f>
        <v>128842.18</v>
      </c>
      <c r="M140" s="53">
        <f t="shared" si="14"/>
        <v>0.20134783246568533</v>
      </c>
      <c r="N140" s="54">
        <f>IF(ISERROR(VLOOKUP(C140,data!$C$12:$AD$213,28,0)),0,VLOOKUP(C140,data!$C$12:$AD$213,28,0))</f>
        <v>932788.52</v>
      </c>
    </row>
    <row r="141" spans="2:14" x14ac:dyDescent="0.2">
      <c r="B141" s="19">
        <f t="shared" si="17"/>
        <v>136</v>
      </c>
      <c r="C141" s="19" t="str">
        <f>IF(ISERROR(INDEX(data!$A$12:$AI$213,MATCH(HLOOKUP('II. Sledování projektu'!$L$5,vstupy!$N$2:$BY$180,$B141+1,0),data!$B$12:$B$213,0),3)),"",INDEX(data!$A$12:$AI$213,MATCH(HLOOKUP('II. Sledování projektu'!$L$5,vstupy!$N$2:$BY$180,$B141+1,0),data!$B$12:$B$213,0),3))</f>
        <v>ZŠ a MŠ O-Zábřeh, Kosmonautů 13</v>
      </c>
      <c r="D141" s="156">
        <f>IF(ISERROR(INDEX(data!$A$12:$AI$213,MATCH(HLOOKUP('II. Sledování projektu'!$L$5,vstupy!$N$2:$BY$180,$B141+1,0),data!$B$12:$B$213,0),35)),"",INDEX(data!$A$12:$AI$213,MATCH(HLOOKUP('II. Sledování projektu'!$L$5,vstupy!$N$2:$BY$180,$B141+1,0),data!$B$12:$B$213,0),35))</f>
        <v>79.231954407037733</v>
      </c>
      <c r="E141" s="49">
        <f>IF(ISERROR(INDEX(data!$A$12:$AI$213,MATCH(HLOOKUP('II. Sledování projektu'!$L$5,vstupy!$N$2:$BY$180,$B141+1,0),data!$B$12:$B$213,0),27)),"",INDEX(data!$A$12:$AI$213,MATCH(HLOOKUP('II. Sledování projektu'!$L$5,vstupy!$N$2:$BY$180,$B141+1,0),data!$B$12:$B$213,0),27))</f>
        <v>1542000</v>
      </c>
      <c r="F141" s="54">
        <f>IF(ISERROR(INDEX(data!$A$12:$AI$213,MATCH(HLOOKUP('II. Sledování projektu'!$L$5,vstupy!$N$2:$BY$180,$B141+1,0),data!$B$12:$B$213,0),28)),"",INDEX(data!$A$12:$AI$213,MATCH(HLOOKUP('II. Sledování projektu'!$L$5,vstupy!$N$2:$BY$180,$B141+1,0),data!$B$12:$B$213,0),28))</f>
        <v>929605.3</v>
      </c>
      <c r="G141" s="53">
        <f t="shared" si="15"/>
        <v>0.60285687418936451</v>
      </c>
      <c r="H141" s="53">
        <f>IF(ISERROR(INDEX(data!$A$12:$AI$213,MATCH(HLOOKUP('II. Sledování projektu'!$L$5,vstupy!$N$2:$BY$180,$B141+1,0),data!$B$12:$B$213,0),29)),"",INDEX(data!$A$12:$AI$213,MATCH(HLOOKUP('II. Sledování projektu'!$L$5,vstupy!$N$2:$BY$180,$B141+1,0),data!$B$12:$B$213,0),29))</f>
        <v>0.10349999999999999</v>
      </c>
      <c r="I141" s="54">
        <f>IF(ISERROR(INDEX(data!$A$12:$AI$213,MATCH(HLOOKUP('II. Sledování projektu'!$L$5,vstupy!$N$2:$BY$180,$B141+1,0),data!$B$12:$B$213,0),31)),"",INDEX(data!$A$12:$AI$213,MATCH(HLOOKUP('II. Sledování projektu'!$L$5,vstupy!$N$2:$BY$180,$B141+1,0),data!$B$12:$B$213,0),31))</f>
        <v>130574.57999999999</v>
      </c>
      <c r="J141" s="53">
        <f t="shared" si="16"/>
        <v>8.4678715953307379E-2</v>
      </c>
      <c r="K141" s="53">
        <f t="shared" si="18"/>
        <v>0.81815184495949167</v>
      </c>
      <c r="L141" s="54">
        <f>IF(ISERROR(INDEX(data!$A$12:$AI$213,MATCH(HLOOKUP('II. Sledování projektu'!$L$5,vstupy!$N$2:$BY$180,$B141+1,0),data!$B$12:$B$213,0),32)),"",INDEX(data!$A$12:$AI$213,MATCH(HLOOKUP('II. Sledování projektu'!$L$5,vstupy!$N$2:$BY$180,$B141+1,0),data!$B$12:$B$213,0),32))</f>
        <v>52485.66</v>
      </c>
      <c r="M141" s="53">
        <f t="shared" si="14"/>
        <v>0.28671250512945906</v>
      </c>
      <c r="N141" s="54">
        <f>IF(ISERROR(VLOOKUP(C141,data!$C$12:$AD$213,28,0)),0,VLOOKUP(C141,data!$C$12:$AD$213,28,0))</f>
        <v>159597</v>
      </c>
    </row>
    <row r="142" spans="2:14" x14ac:dyDescent="0.2">
      <c r="B142" s="19">
        <f t="shared" si="17"/>
        <v>137</v>
      </c>
      <c r="C142" s="19" t="str">
        <f>IF(ISERROR(INDEX(data!$A$12:$AI$213,MATCH(HLOOKUP('II. Sledování projektu'!$L$5,vstupy!$N$2:$BY$180,$B142+1,0),data!$B$12:$B$213,0),3)),"",INDEX(data!$A$12:$AI$213,MATCH(HLOOKUP('II. Sledování projektu'!$L$5,vstupy!$N$2:$BY$180,$B142+1,0),data!$B$12:$B$213,0),3))</f>
        <v>ZŠ a MŠ O-Zábřeh, Kosmonautů 15</v>
      </c>
      <c r="D142" s="156">
        <f>IF(ISERROR(INDEX(data!$A$12:$AI$213,MATCH(HLOOKUP('II. Sledování projektu'!$L$5,vstupy!$N$2:$BY$180,$B142+1,0),data!$B$12:$B$213,0),35)),"",INDEX(data!$A$12:$AI$213,MATCH(HLOOKUP('II. Sledování projektu'!$L$5,vstupy!$N$2:$BY$180,$B142+1,0),data!$B$12:$B$213,0),35))</f>
        <v>100</v>
      </c>
      <c r="E142" s="49">
        <f>IF(ISERROR(INDEX(data!$A$12:$AI$213,MATCH(HLOOKUP('II. Sledování projektu'!$L$5,vstupy!$N$2:$BY$180,$B142+1,0),data!$B$12:$B$213,0),27)),"",INDEX(data!$A$12:$AI$213,MATCH(HLOOKUP('II. Sledování projektu'!$L$5,vstupy!$N$2:$BY$180,$B142+1,0),data!$B$12:$B$213,0),27))</f>
        <v>4695750</v>
      </c>
      <c r="F142" s="54">
        <f>IF(ISERROR(INDEX(data!$A$12:$AI$213,MATCH(HLOOKUP('II. Sledování projektu'!$L$5,vstupy!$N$2:$BY$180,$B142+1,0),data!$B$12:$B$213,0),28)),"",INDEX(data!$A$12:$AI$213,MATCH(HLOOKUP('II. Sledování projektu'!$L$5,vstupy!$N$2:$BY$180,$B142+1,0),data!$B$12:$B$213,0),28))</f>
        <v>4012846.17</v>
      </c>
      <c r="G142" s="53">
        <f t="shared" si="15"/>
        <v>0.85456980674013738</v>
      </c>
      <c r="H142" s="53">
        <f>IF(ISERROR(INDEX(data!$A$12:$AI$213,MATCH(HLOOKUP('II. Sledování projektu'!$L$5,vstupy!$N$2:$BY$180,$B142+1,0),data!$B$12:$B$213,0),29)),"",INDEX(data!$A$12:$AI$213,MATCH(HLOOKUP('II. Sledování projektu'!$L$5,vstupy!$N$2:$BY$180,$B142+1,0),data!$B$12:$B$213,0),29))</f>
        <v>0.30020000000000002</v>
      </c>
      <c r="I142" s="54">
        <f>IF(ISERROR(INDEX(data!$A$12:$AI$213,MATCH(HLOOKUP('II. Sledování projektu'!$L$5,vstupy!$N$2:$BY$180,$B142+1,0),data!$B$12:$B$213,0),31)),"",INDEX(data!$A$12:$AI$213,MATCH(HLOOKUP('II. Sledování projektu'!$L$5,vstupy!$N$2:$BY$180,$B142+1,0),data!$B$12:$B$213,0),31))</f>
        <v>2002449.5899999999</v>
      </c>
      <c r="J142" s="53">
        <f t="shared" si="16"/>
        <v>0.42643871373050096</v>
      </c>
      <c r="K142" s="53">
        <f t="shared" si="18"/>
        <v>1.4205153688557659</v>
      </c>
      <c r="L142" s="54">
        <f>IF(ISERROR(INDEX(data!$A$12:$AI$213,MATCH(HLOOKUP('II. Sledování projektu'!$L$5,vstupy!$N$2:$BY$180,$B142+1,0),data!$B$12:$B$213,0),32)),"",INDEX(data!$A$12:$AI$213,MATCH(HLOOKUP('II. Sledování projektu'!$L$5,vstupy!$N$2:$BY$180,$B142+1,0),data!$B$12:$B$213,0),32))</f>
        <v>345964.08999999997</v>
      </c>
      <c r="M142" s="53">
        <f t="shared" si="14"/>
        <v>0.14731820587929806</v>
      </c>
      <c r="N142" s="54">
        <f>IF(ISERROR(VLOOKUP(C142,data!$C$12:$AD$213,28,0)),0,VLOOKUP(C142,data!$C$12:$AD$213,28,0))</f>
        <v>1409664.1500000001</v>
      </c>
    </row>
    <row r="143" spans="2:14" x14ac:dyDescent="0.2">
      <c r="B143" s="19">
        <f t="shared" si="17"/>
        <v>138</v>
      </c>
      <c r="C143" s="19" t="str">
        <f>IF(ISERROR(INDEX(data!$A$12:$AI$213,MATCH(HLOOKUP('II. Sledování projektu'!$L$5,vstupy!$N$2:$BY$180,$B143+1,0),data!$B$12:$B$213,0),3)),"",INDEX(data!$A$12:$AI$213,MATCH(HLOOKUP('II. Sledování projektu'!$L$5,vstupy!$N$2:$BY$180,$B143+1,0),data!$B$12:$B$213,0),3))</f>
        <v>ZŠ a MŠ O-Zábřeh, Volgogradská</v>
      </c>
      <c r="D143" s="156">
        <f>IF(ISERROR(INDEX(data!$A$12:$AI$213,MATCH(HLOOKUP('II. Sledování projektu'!$L$5,vstupy!$N$2:$BY$180,$B143+1,0),data!$B$12:$B$213,0),35)),"",INDEX(data!$A$12:$AI$213,MATCH(HLOOKUP('II. Sledování projektu'!$L$5,vstupy!$N$2:$BY$180,$B143+1,0),data!$B$12:$B$213,0),35))</f>
        <v>4.3252762670508886</v>
      </c>
      <c r="E143" s="49">
        <f>IF(ISERROR(INDEX(data!$A$12:$AI$213,MATCH(HLOOKUP('II. Sledování projektu'!$L$5,vstupy!$N$2:$BY$180,$B143+1,0),data!$B$12:$B$213,0),27)),"",INDEX(data!$A$12:$AI$213,MATCH(HLOOKUP('II. Sledování projektu'!$L$5,vstupy!$N$2:$BY$180,$B143+1,0),data!$B$12:$B$213,0),27))</f>
        <v>3293100</v>
      </c>
      <c r="F143" s="54">
        <f>IF(ISERROR(INDEX(data!$A$12:$AI$213,MATCH(HLOOKUP('II. Sledování projektu'!$L$5,vstupy!$N$2:$BY$180,$B143+1,0),data!$B$12:$B$213,0),28)),"",INDEX(data!$A$12:$AI$213,MATCH(HLOOKUP('II. Sledování projektu'!$L$5,vstupy!$N$2:$BY$180,$B143+1,0),data!$B$12:$B$213,0),28))</f>
        <v>6816.3</v>
      </c>
      <c r="G143" s="53">
        <f t="shared" si="15"/>
        <v>2.0698733715951534E-3</v>
      </c>
      <c r="H143" s="53">
        <f>IF(ISERROR(INDEX(data!$A$12:$AI$213,MATCH(HLOOKUP('II. Sledování projektu'!$L$5,vstupy!$N$2:$BY$180,$B143+1,0),data!$B$12:$B$213,0),29)),"",INDEX(data!$A$12:$AI$213,MATCH(HLOOKUP('II. Sledování projektu'!$L$5,vstupy!$N$2:$BY$180,$B143+1,0),data!$B$12:$B$213,0),29))</f>
        <v>0.1978</v>
      </c>
      <c r="I143" s="54">
        <f>IF(ISERROR(INDEX(data!$A$12:$AI$213,MATCH(HLOOKUP('II. Sledování projektu'!$L$5,vstupy!$N$2:$BY$180,$B143+1,0),data!$B$12:$B$213,0),31)),"",INDEX(data!$A$12:$AI$213,MATCH(HLOOKUP('II. Sledování projektu'!$L$5,vstupy!$N$2:$BY$180,$B143+1,0),data!$B$12:$B$213,0),31))</f>
        <v>45832.740000000005</v>
      </c>
      <c r="J143" s="53">
        <f t="shared" si="16"/>
        <v>1.391780996629316E-2</v>
      </c>
      <c r="K143" s="53">
        <f t="shared" si="18"/>
        <v>7.0363043307852174E-2</v>
      </c>
      <c r="L143" s="54">
        <f>IF(ISERROR(INDEX(data!$A$12:$AI$213,MATCH(HLOOKUP('II. Sledování projektu'!$L$5,vstupy!$N$2:$BY$180,$B143+1,0),data!$B$12:$B$213,0),32)),"",INDEX(data!$A$12:$AI$213,MATCH(HLOOKUP('II. Sledování projektu'!$L$5,vstupy!$N$2:$BY$180,$B143+1,0),data!$B$12:$B$213,0),32))</f>
        <v>30983.190000000002</v>
      </c>
      <c r="M143" s="53">
        <f t="shared" si="14"/>
        <v>0.40334329090333215</v>
      </c>
      <c r="N143" s="54">
        <f>IF(ISERROR(VLOOKUP(C143,data!$C$12:$AD$213,28,0)),0,VLOOKUP(C143,data!$C$12:$AD$213,28,0))</f>
        <v>651375.18000000005</v>
      </c>
    </row>
    <row r="144" spans="2:14" x14ac:dyDescent="0.2">
      <c r="B144" s="19">
        <f t="shared" si="17"/>
        <v>139</v>
      </c>
      <c r="C144" s="19" t="str">
        <f>IF(ISERROR(INDEX(data!$A$12:$AI$213,MATCH(HLOOKUP('II. Sledování projektu'!$L$5,vstupy!$N$2:$BY$180,$B144+1,0),data!$B$12:$B$213,0),3)),"",INDEX(data!$A$12:$AI$213,MATCH(HLOOKUP('II. Sledování projektu'!$L$5,vstupy!$N$2:$BY$180,$B144+1,0),data!$B$12:$B$213,0),3))</f>
        <v>ZŠ a waldorfská ZŠ O-Poruba</v>
      </c>
      <c r="D144" s="156">
        <f>IF(ISERROR(INDEX(data!$A$12:$AI$213,MATCH(HLOOKUP('II. Sledování projektu'!$L$5,vstupy!$N$2:$BY$180,$B144+1,0),data!$B$12:$B$213,0),35)),"",INDEX(data!$A$12:$AI$213,MATCH(HLOOKUP('II. Sledování projektu'!$L$5,vstupy!$N$2:$BY$180,$B144+1,0),data!$B$12:$B$213,0),35))</f>
        <v>35.19986289380099</v>
      </c>
      <c r="E144" s="49">
        <f>IF(ISERROR(INDEX(data!$A$12:$AI$213,MATCH(HLOOKUP('II. Sledování projektu'!$L$5,vstupy!$N$2:$BY$180,$B144+1,0),data!$B$12:$B$213,0),27)),"",INDEX(data!$A$12:$AI$213,MATCH(HLOOKUP('II. Sledování projektu'!$L$5,vstupy!$N$2:$BY$180,$B144+1,0),data!$B$12:$B$213,0),27))</f>
        <v>3283000</v>
      </c>
      <c r="F144" s="54">
        <f>IF(ISERROR(INDEX(data!$A$12:$AI$213,MATCH(HLOOKUP('II. Sledování projektu'!$L$5,vstupy!$N$2:$BY$180,$B144+1,0),data!$B$12:$B$213,0),28)),"",INDEX(data!$A$12:$AI$213,MATCH(HLOOKUP('II. Sledování projektu'!$L$5,vstupy!$N$2:$BY$180,$B144+1,0),data!$B$12:$B$213,0),28))</f>
        <v>1198683.79</v>
      </c>
      <c r="G144" s="53">
        <f t="shared" si="15"/>
        <v>0.3651184252208346</v>
      </c>
      <c r="H144" s="53">
        <f>IF(ISERROR(INDEX(data!$A$12:$AI$213,MATCH(HLOOKUP('II. Sledování projektu'!$L$5,vstupy!$N$2:$BY$180,$B144+1,0),data!$B$12:$B$213,0),29)),"",INDEX(data!$A$12:$AI$213,MATCH(HLOOKUP('II. Sledování projektu'!$L$5,vstupy!$N$2:$BY$180,$B144+1,0),data!$B$12:$B$213,0),29))</f>
        <v>0.1893</v>
      </c>
      <c r="I144" s="54">
        <f>IF(ISERROR(INDEX(data!$A$12:$AI$213,MATCH(HLOOKUP('II. Sledování projektu'!$L$5,vstupy!$N$2:$BY$180,$B144+1,0),data!$B$12:$B$213,0),31)),"",INDEX(data!$A$12:$AI$213,MATCH(HLOOKUP('II. Sledování projektu'!$L$5,vstupy!$N$2:$BY$180,$B144+1,0),data!$B$12:$B$213,0),31))</f>
        <v>175503.06</v>
      </c>
      <c r="J144" s="53">
        <f t="shared" si="16"/>
        <v>5.3458135851355469E-2</v>
      </c>
      <c r="K144" s="53">
        <f t="shared" si="18"/>
        <v>0.28239902721265431</v>
      </c>
      <c r="L144" s="54">
        <f>IF(ISERROR(INDEX(data!$A$12:$AI$213,MATCH(HLOOKUP('II. Sledování projektu'!$L$5,vstupy!$N$2:$BY$180,$B144+1,0),data!$B$12:$B$213,0),32)),"",INDEX(data!$A$12:$AI$213,MATCH(HLOOKUP('II. Sledování projektu'!$L$5,vstupy!$N$2:$BY$180,$B144+1,0),data!$B$12:$B$213,0),32))</f>
        <v>70626.149999999994</v>
      </c>
      <c r="M144" s="53">
        <f t="shared" si="14"/>
        <v>0.28694745333152449</v>
      </c>
      <c r="N144" s="54">
        <f>IF(ISERROR(VLOOKUP(C144,data!$C$12:$AD$213,28,0)),0,VLOOKUP(C144,data!$C$12:$AD$213,28,0))</f>
        <v>621471.9</v>
      </c>
    </row>
    <row r="145" spans="2:14" x14ac:dyDescent="0.2">
      <c r="B145" s="19">
        <f t="shared" si="17"/>
        <v>140</v>
      </c>
      <c r="C145" s="19" t="str">
        <f>IF(ISERROR(INDEX(data!$A$12:$AI$213,MATCH(HLOOKUP('II. Sledování projektu'!$L$5,vstupy!$N$2:$BY$180,$B145+1,0),data!$B$12:$B$213,0),3)),"",INDEX(data!$A$12:$AI$213,MATCH(HLOOKUP('II. Sledování projektu'!$L$5,vstupy!$N$2:$BY$180,$B145+1,0),data!$B$12:$B$213,0),3))</f>
        <v>ZŠ gen.Z.Škarvady, O-Poruba</v>
      </c>
      <c r="D145" s="156">
        <f>IF(ISERROR(INDEX(data!$A$12:$AI$213,MATCH(HLOOKUP('II. Sledování projektu'!$L$5,vstupy!$N$2:$BY$180,$B145+1,0),data!$B$12:$B$213,0),35)),"",INDEX(data!$A$12:$AI$213,MATCH(HLOOKUP('II. Sledování projektu'!$L$5,vstupy!$N$2:$BY$180,$B145+1,0),data!$B$12:$B$213,0),35))</f>
        <v>46.306903103419145</v>
      </c>
      <c r="E145" s="49">
        <f>IF(ISERROR(INDEX(data!$A$12:$AI$213,MATCH(HLOOKUP('II. Sledování projektu'!$L$5,vstupy!$N$2:$BY$180,$B145+1,0),data!$B$12:$B$213,0),27)),"",INDEX(data!$A$12:$AI$213,MATCH(HLOOKUP('II. Sledování projektu'!$L$5,vstupy!$N$2:$BY$180,$B145+1,0),data!$B$12:$B$213,0),27))</f>
        <v>2850500</v>
      </c>
      <c r="F145" s="54">
        <f>IF(ISERROR(INDEX(data!$A$12:$AI$213,MATCH(HLOOKUP('II. Sledování projektu'!$L$5,vstupy!$N$2:$BY$180,$B145+1,0),data!$B$12:$B$213,0),28)),"",INDEX(data!$A$12:$AI$213,MATCH(HLOOKUP('II. Sledování projektu'!$L$5,vstupy!$N$2:$BY$180,$B145+1,0),data!$B$12:$B$213,0),28))</f>
        <v>597745.62</v>
      </c>
      <c r="G145" s="53">
        <f t="shared" si="15"/>
        <v>0.20969851604981582</v>
      </c>
      <c r="H145" s="53">
        <f>IF(ISERROR(INDEX(data!$A$12:$AI$213,MATCH(HLOOKUP('II. Sledování projektu'!$L$5,vstupy!$N$2:$BY$180,$B145+1,0),data!$B$12:$B$213,0),29)),"",INDEX(data!$A$12:$AI$213,MATCH(HLOOKUP('II. Sledování projektu'!$L$5,vstupy!$N$2:$BY$180,$B145+1,0),data!$B$12:$B$213,0),29))</f>
        <v>0.32400000000000001</v>
      </c>
      <c r="I145" s="54">
        <f>IF(ISERROR(INDEX(data!$A$12:$AI$213,MATCH(HLOOKUP('II. Sledování projektu'!$L$5,vstupy!$N$2:$BY$180,$B145+1,0),data!$B$12:$B$213,0),31)),"",INDEX(data!$A$12:$AI$213,MATCH(HLOOKUP('II. Sledování projektu'!$L$5,vstupy!$N$2:$BY$180,$B145+1,0),data!$B$12:$B$213,0),31))</f>
        <v>551396.94999999995</v>
      </c>
      <c r="J145" s="53">
        <f t="shared" si="16"/>
        <v>0.19343867742501314</v>
      </c>
      <c r="K145" s="53">
        <f t="shared" si="18"/>
        <v>0.5970329550154726</v>
      </c>
      <c r="L145" s="54">
        <f>IF(ISERROR(INDEX(data!$A$12:$AI$213,MATCH(HLOOKUP('II. Sledování projektu'!$L$5,vstupy!$N$2:$BY$180,$B145+1,0),data!$B$12:$B$213,0),32)),"",INDEX(data!$A$12:$AI$213,MATCH(HLOOKUP('II. Sledování projektu'!$L$5,vstupy!$N$2:$BY$180,$B145+1,0),data!$B$12:$B$213,0),32))</f>
        <v>86771.07</v>
      </c>
      <c r="M145" s="53">
        <f t="shared" si="14"/>
        <v>0.13596900389963132</v>
      </c>
      <c r="N145" s="54">
        <f>IF(ISERROR(VLOOKUP(C145,data!$C$12:$AD$213,28,0)),0,VLOOKUP(C145,data!$C$12:$AD$213,28,0))</f>
        <v>923562</v>
      </c>
    </row>
    <row r="146" spans="2:14" x14ac:dyDescent="0.2">
      <c r="B146" s="19">
        <f t="shared" si="17"/>
        <v>141</v>
      </c>
      <c r="C146" s="19" t="str">
        <f>IF(ISERROR(INDEX(data!$A$12:$AI$213,MATCH(HLOOKUP('II. Sledování projektu'!$L$5,vstupy!$N$2:$BY$180,$B146+1,0),data!$B$12:$B$213,0),3)),"",INDEX(data!$A$12:$AI$213,MATCH(HLOOKUP('II. Sledování projektu'!$L$5,vstupy!$N$2:$BY$180,$B146+1,0),data!$B$12:$B$213,0),3))</f>
        <v>ZŠ MO a Přívoz, Gajdošova</v>
      </c>
      <c r="D146" s="156">
        <f>IF(ISERROR(INDEX(data!$A$12:$AI$213,MATCH(HLOOKUP('II. Sledování projektu'!$L$5,vstupy!$N$2:$BY$180,$B146+1,0),data!$B$12:$B$213,0),35)),"",INDEX(data!$A$12:$AI$213,MATCH(HLOOKUP('II. Sledování projektu'!$L$5,vstupy!$N$2:$BY$180,$B146+1,0),data!$B$12:$B$213,0),35))</f>
        <v>62.426086956521736</v>
      </c>
      <c r="E146" s="49">
        <f>IF(ISERROR(INDEX(data!$A$12:$AI$213,MATCH(HLOOKUP('II. Sledování projektu'!$L$5,vstupy!$N$2:$BY$180,$B146+1,0),data!$B$12:$B$213,0),27)),"",INDEX(data!$A$12:$AI$213,MATCH(HLOOKUP('II. Sledování projektu'!$L$5,vstupy!$N$2:$BY$180,$B146+1,0),data!$B$12:$B$213,0),27))</f>
        <v>494500</v>
      </c>
      <c r="F146" s="54">
        <f>IF(ISERROR(INDEX(data!$A$12:$AI$213,MATCH(HLOOKUP('II. Sledování projektu'!$L$5,vstupy!$N$2:$BY$180,$B146+1,0),data!$B$12:$B$213,0),28)),"",INDEX(data!$A$12:$AI$213,MATCH(HLOOKUP('II. Sledování projektu'!$L$5,vstupy!$N$2:$BY$180,$B146+1,0),data!$B$12:$B$213,0),28))</f>
        <v>23994</v>
      </c>
      <c r="G146" s="53">
        <f t="shared" si="15"/>
        <v>4.8521739130434782E-2</v>
      </c>
      <c r="H146" s="53">
        <f>IF(ISERROR(INDEX(data!$A$12:$AI$213,MATCH(HLOOKUP('II. Sledování projektu'!$L$5,vstupy!$N$2:$BY$180,$B146+1,0),data!$B$12:$B$213,0),29)),"",INDEX(data!$A$12:$AI$213,MATCH(HLOOKUP('II. Sledování projektu'!$L$5,vstupy!$N$2:$BY$180,$B146+1,0),data!$B$12:$B$213,0),29))</f>
        <v>5.6599999999999998E-2</v>
      </c>
      <c r="I146" s="54">
        <f>IF(ISERROR(INDEX(data!$A$12:$AI$213,MATCH(HLOOKUP('II. Sledování projektu'!$L$5,vstupy!$N$2:$BY$180,$B146+1,0),data!$B$12:$B$213,0),31)),"",INDEX(data!$A$12:$AI$213,MATCH(HLOOKUP('II. Sledování projektu'!$L$5,vstupy!$N$2:$BY$180,$B146+1,0),data!$B$12:$B$213,0),31))</f>
        <v>36189.599999999999</v>
      </c>
      <c r="J146" s="53">
        <f t="shared" si="16"/>
        <v>7.3184226491405463E-2</v>
      </c>
      <c r="K146" s="53">
        <f t="shared" si="18"/>
        <v>1.2930075351838421</v>
      </c>
      <c r="L146" s="54">
        <f>IF(ISERROR(INDEX(data!$A$12:$AI$213,MATCH(HLOOKUP('II. Sledování projektu'!$L$5,vstupy!$N$2:$BY$180,$B146+1,0),data!$B$12:$B$213,0),32)),"",INDEX(data!$A$12:$AI$213,MATCH(HLOOKUP('II. Sledování projektu'!$L$5,vstupy!$N$2:$BY$180,$B146+1,0),data!$B$12:$B$213,0),32))</f>
        <v>18560.97</v>
      </c>
      <c r="M146" s="53">
        <f t="shared" si="14"/>
        <v>0.33900962126969642</v>
      </c>
      <c r="N146" s="54">
        <f>IF(ISERROR(VLOOKUP(C146,data!$C$12:$AD$213,28,0)),0,VLOOKUP(C146,data!$C$12:$AD$213,28,0))</f>
        <v>27988.699999999997</v>
      </c>
    </row>
    <row r="147" spans="2:14" x14ac:dyDescent="0.2">
      <c r="B147" s="19">
        <f t="shared" si="17"/>
        <v>142</v>
      </c>
      <c r="C147" s="19" t="str">
        <f>IF(ISERROR(INDEX(data!$A$12:$AI$213,MATCH(HLOOKUP('II. Sledování projektu'!$L$5,vstupy!$N$2:$BY$180,$B147+1,0),data!$B$12:$B$213,0),3)),"",INDEX(data!$A$12:$AI$213,MATCH(HLOOKUP('II. Sledování projektu'!$L$5,vstupy!$N$2:$BY$180,$B147+1,0),data!$B$12:$B$213,0),3))</f>
        <v>ZŠ O-Dubina, F.Formana</v>
      </c>
      <c r="D147" s="156">
        <f>IF(ISERROR(INDEX(data!$A$12:$AI$213,MATCH(HLOOKUP('II. Sledování projektu'!$L$5,vstupy!$N$2:$BY$180,$B147+1,0),data!$B$12:$B$213,0),35)),"",INDEX(data!$A$12:$AI$213,MATCH(HLOOKUP('II. Sledování projektu'!$L$5,vstupy!$N$2:$BY$180,$B147+1,0),data!$B$12:$B$213,0),35))</f>
        <v>64.313400083612038</v>
      </c>
      <c r="E147" s="49">
        <f>IF(ISERROR(INDEX(data!$A$12:$AI$213,MATCH(HLOOKUP('II. Sledování projektu'!$L$5,vstupy!$N$2:$BY$180,$B147+1,0),data!$B$12:$B$213,0),27)),"",INDEX(data!$A$12:$AI$213,MATCH(HLOOKUP('II. Sledování projektu'!$L$5,vstupy!$N$2:$BY$180,$B147+1,0),data!$B$12:$B$213,0),27))</f>
        <v>3588000</v>
      </c>
      <c r="F147" s="54">
        <f>IF(ISERROR(INDEX(data!$A$12:$AI$213,MATCH(HLOOKUP('II. Sledování projektu'!$L$5,vstupy!$N$2:$BY$180,$B147+1,0),data!$B$12:$B$213,0),28)),"",INDEX(data!$A$12:$AI$213,MATCH(HLOOKUP('II. Sledování projektu'!$L$5,vstupy!$N$2:$BY$180,$B147+1,0),data!$B$12:$B$213,0),28))</f>
        <v>309529.59000000003</v>
      </c>
      <c r="G147" s="53">
        <f t="shared" si="15"/>
        <v>8.6268001672240816E-2</v>
      </c>
      <c r="H147" s="53">
        <f>IF(ISERROR(INDEX(data!$A$12:$AI$213,MATCH(HLOOKUP('II. Sledování projektu'!$L$5,vstupy!$N$2:$BY$180,$B147+1,0),data!$B$12:$B$213,0),29)),"",INDEX(data!$A$12:$AI$213,MATCH(HLOOKUP('II. Sledování projektu'!$L$5,vstupy!$N$2:$BY$180,$B147+1,0),data!$B$12:$B$213,0),29))</f>
        <v>0.20780000000000001</v>
      </c>
      <c r="I147" s="54">
        <f>IF(ISERROR(INDEX(data!$A$12:$AI$213,MATCH(HLOOKUP('II. Sledování projektu'!$L$5,vstupy!$N$2:$BY$180,$B147+1,0),data!$B$12:$B$213,0),31)),"",INDEX(data!$A$12:$AI$213,MATCH(HLOOKUP('II. Sledování projektu'!$L$5,vstupy!$N$2:$BY$180,$B147+1,0),data!$B$12:$B$213,0),31))</f>
        <v>1657211.98</v>
      </c>
      <c r="J147" s="53">
        <f t="shared" si="16"/>
        <v>0.46187624860646598</v>
      </c>
      <c r="K147" s="53">
        <f t="shared" si="18"/>
        <v>2.2226960953150434</v>
      </c>
      <c r="L147" s="54">
        <f>IF(ISERROR(INDEX(data!$A$12:$AI$213,MATCH(HLOOKUP('II. Sledování projektu'!$L$5,vstupy!$N$2:$BY$180,$B147+1,0),data!$B$12:$B$213,0),32)),"",INDEX(data!$A$12:$AI$213,MATCH(HLOOKUP('II. Sledování projektu'!$L$5,vstupy!$N$2:$BY$180,$B147+1,0),data!$B$12:$B$213,0),32))</f>
        <v>600046.91999999993</v>
      </c>
      <c r="M147" s="53">
        <f t="shared" si="14"/>
        <v>0.2658299054663158</v>
      </c>
      <c r="N147" s="54">
        <f>IF(ISERROR(VLOOKUP(C147,data!$C$12:$AD$213,28,0)),0,VLOOKUP(C147,data!$C$12:$AD$213,28,0))</f>
        <v>745586.4</v>
      </c>
    </row>
    <row r="148" spans="2:14" x14ac:dyDescent="0.2">
      <c r="B148" s="19">
        <f t="shared" si="17"/>
        <v>143</v>
      </c>
      <c r="C148" s="19" t="str">
        <f>IF(ISERROR(INDEX(data!$A$12:$AI$213,MATCH(HLOOKUP('II. Sledování projektu'!$L$5,vstupy!$N$2:$BY$180,$B148+1,0),data!$B$12:$B$213,0),3)),"",INDEX(data!$A$12:$AI$213,MATCH(HLOOKUP('II. Sledování projektu'!$L$5,vstupy!$N$2:$BY$180,$B148+1,0),data!$B$12:$B$213,0),3))</f>
        <v>ZŠ O-Hrabová, Paskovská</v>
      </c>
      <c r="D148" s="156">
        <f>IF(ISERROR(INDEX(data!$A$12:$AI$213,MATCH(HLOOKUP('II. Sledování projektu'!$L$5,vstupy!$N$2:$BY$180,$B148+1,0),data!$B$12:$B$213,0),35)),"",INDEX(data!$A$12:$AI$213,MATCH(HLOOKUP('II. Sledování projektu'!$L$5,vstupy!$N$2:$BY$180,$B148+1,0),data!$B$12:$B$213,0),35))</f>
        <v>8.4051166471681249</v>
      </c>
      <c r="E148" s="49">
        <f>IF(ISERROR(INDEX(data!$A$12:$AI$213,MATCH(HLOOKUP('II. Sledování projektu'!$L$5,vstupy!$N$2:$BY$180,$B148+1,0),data!$B$12:$B$213,0),27)),"",INDEX(data!$A$12:$AI$213,MATCH(HLOOKUP('II. Sledování projektu'!$L$5,vstupy!$N$2:$BY$180,$B148+1,0),data!$B$12:$B$213,0),27))</f>
        <v>2376000</v>
      </c>
      <c r="F148" s="54">
        <f>IF(ISERROR(INDEX(data!$A$12:$AI$213,MATCH(HLOOKUP('II. Sledování projektu'!$L$5,vstupy!$N$2:$BY$180,$B148+1,0),data!$B$12:$B$213,0),28)),"",INDEX(data!$A$12:$AI$213,MATCH(HLOOKUP('II. Sledování projektu'!$L$5,vstupy!$N$2:$BY$180,$B148+1,0),data!$B$12:$B$213,0),28))</f>
        <v>0</v>
      </c>
      <c r="G148" s="53">
        <f t="shared" si="15"/>
        <v>0</v>
      </c>
      <c r="H148" s="53">
        <f>IF(ISERROR(INDEX(data!$A$12:$AI$213,MATCH(HLOOKUP('II. Sledování projektu'!$L$5,vstupy!$N$2:$BY$180,$B148+1,0),data!$B$12:$B$213,0),29)),"",INDEX(data!$A$12:$AI$213,MATCH(HLOOKUP('II. Sledování projektu'!$L$5,vstupy!$N$2:$BY$180,$B148+1,0),data!$B$12:$B$213,0),29))</f>
        <v>0.26419999999999999</v>
      </c>
      <c r="I148" s="54">
        <f>IF(ISERROR(INDEX(data!$A$12:$AI$213,MATCH(HLOOKUP('II. Sledování projektu'!$L$5,vstupy!$N$2:$BY$180,$B148+1,0),data!$B$12:$B$213,0),31)),"",INDEX(data!$A$12:$AI$213,MATCH(HLOOKUP('II. Sledování projektu'!$L$5,vstupy!$N$2:$BY$180,$B148+1,0),data!$B$12:$B$213,0),31))</f>
        <v>87937.02</v>
      </c>
      <c r="J148" s="53">
        <f t="shared" si="16"/>
        <v>3.7010530303030302E-2</v>
      </c>
      <c r="K148" s="53">
        <f t="shared" si="18"/>
        <v>0.14008527745280208</v>
      </c>
      <c r="L148" s="54">
        <f>IF(ISERROR(INDEX(data!$A$12:$AI$213,MATCH(HLOOKUP('II. Sledování projektu'!$L$5,vstupy!$N$2:$BY$180,$B148+1,0),data!$B$12:$B$213,0),32)),"",INDEX(data!$A$12:$AI$213,MATCH(HLOOKUP('II. Sledování projektu'!$L$5,vstupy!$N$2:$BY$180,$B148+1,0),data!$B$12:$B$213,0),32))</f>
        <v>64415.58</v>
      </c>
      <c r="M148" s="53">
        <f t="shared" si="14"/>
        <v>0.42280591207501544</v>
      </c>
      <c r="N148" s="54">
        <f>IF(ISERROR(VLOOKUP(C148,data!$C$12:$AD$213,28,0)),0,VLOOKUP(C148,data!$C$12:$AD$213,28,0))</f>
        <v>627739.19999999995</v>
      </c>
    </row>
    <row r="149" spans="2:14" x14ac:dyDescent="0.2">
      <c r="B149" s="19">
        <f t="shared" si="17"/>
        <v>144</v>
      </c>
      <c r="C149" s="19" t="str">
        <f>IF(ISERROR(INDEX(data!$A$12:$AI$213,MATCH(HLOOKUP('II. Sledování projektu'!$L$5,vstupy!$N$2:$BY$180,$B149+1,0),data!$B$12:$B$213,0),3)),"",INDEX(data!$A$12:$AI$213,MATCH(HLOOKUP('II. Sledování projektu'!$L$5,vstupy!$N$2:$BY$180,$B149+1,0),data!$B$12:$B$213,0),3))</f>
        <v>ZŠ O-Hrabůvka, Klegova 27</v>
      </c>
      <c r="D149" s="156">
        <f>IF(ISERROR(INDEX(data!$A$12:$AI$213,MATCH(HLOOKUP('II. Sledování projektu'!$L$5,vstupy!$N$2:$BY$180,$B149+1,0),data!$B$12:$B$213,0),35)),"",INDEX(data!$A$12:$AI$213,MATCH(HLOOKUP('II. Sledování projektu'!$L$5,vstupy!$N$2:$BY$180,$B149+1,0),data!$B$12:$B$213,0),35))</f>
        <v>21.00917958848175</v>
      </c>
      <c r="E149" s="49">
        <f>IF(ISERROR(INDEX(data!$A$12:$AI$213,MATCH(HLOOKUP('II. Sledování projektu'!$L$5,vstupy!$N$2:$BY$180,$B149+1,0),data!$B$12:$B$213,0),27)),"",INDEX(data!$A$12:$AI$213,MATCH(HLOOKUP('II. Sledování projektu'!$L$5,vstupy!$N$2:$BY$180,$B149+1,0),data!$B$12:$B$213,0),27))</f>
        <v>1414918.5</v>
      </c>
      <c r="F149" s="54">
        <f>IF(ISERROR(INDEX(data!$A$12:$AI$213,MATCH(HLOOKUP('II. Sledování projektu'!$L$5,vstupy!$N$2:$BY$180,$B149+1,0),data!$B$12:$B$213,0),28)),"",INDEX(data!$A$12:$AI$213,MATCH(HLOOKUP('II. Sledování projektu'!$L$5,vstupy!$N$2:$BY$180,$B149+1,0),data!$B$12:$B$213,0),28))</f>
        <v>8992.32</v>
      </c>
      <c r="G149" s="53">
        <f t="shared" si="15"/>
        <v>6.3553625173464051E-3</v>
      </c>
      <c r="H149" s="53">
        <f>IF(ISERROR(INDEX(data!$A$12:$AI$213,MATCH(HLOOKUP('II. Sledování projektu'!$L$5,vstupy!$N$2:$BY$180,$B149+1,0),data!$B$12:$B$213,0),29)),"",INDEX(data!$A$12:$AI$213,MATCH(HLOOKUP('II. Sledování projektu'!$L$5,vstupy!$N$2:$BY$180,$B149+1,0),data!$B$12:$B$213,0),29))</f>
        <v>6.9000000000000006E-2</v>
      </c>
      <c r="I149" s="54">
        <f>IF(ISERROR(INDEX(data!$A$12:$AI$213,MATCH(HLOOKUP('II. Sledování projektu'!$L$5,vstupy!$N$2:$BY$180,$B149+1,0),data!$B$12:$B$213,0),31)),"",INDEX(data!$A$12:$AI$213,MATCH(HLOOKUP('II. Sledování projektu'!$L$5,vstupy!$N$2:$BY$180,$B149+1,0),data!$B$12:$B$213,0),31))</f>
        <v>33668.160000000003</v>
      </c>
      <c r="J149" s="53">
        <f t="shared" si="16"/>
        <v>2.3795123182006599E-2</v>
      </c>
      <c r="K149" s="53">
        <f t="shared" si="18"/>
        <v>0.34485685771024049</v>
      </c>
      <c r="L149" s="54">
        <f>IF(ISERROR(INDEX(data!$A$12:$AI$213,MATCH(HLOOKUP('II. Sledování projektu'!$L$5,vstupy!$N$2:$BY$180,$B149+1,0),data!$B$12:$B$213,0),32)),"",INDEX(data!$A$12:$AI$213,MATCH(HLOOKUP('II. Sledování projektu'!$L$5,vstupy!$N$2:$BY$180,$B149+1,0),data!$B$12:$B$213,0),32))</f>
        <v>53880.520000000004</v>
      </c>
      <c r="M149" s="53">
        <f t="shared" si="14"/>
        <v>0.61543497857420582</v>
      </c>
      <c r="N149" s="54">
        <f>IF(ISERROR(VLOOKUP(C149,data!$C$12:$AD$213,28,0)),0,VLOOKUP(C149,data!$C$12:$AD$213,28,0))</f>
        <v>97629.376500000013</v>
      </c>
    </row>
    <row r="150" spans="2:14" x14ac:dyDescent="0.2">
      <c r="B150" s="19">
        <f t="shared" si="17"/>
        <v>145</v>
      </c>
      <c r="C150" s="19" t="str">
        <f>IF(ISERROR(INDEX(data!$A$12:$AI$213,MATCH(HLOOKUP('II. Sledování projektu'!$L$5,vstupy!$N$2:$BY$180,$B150+1,0),data!$B$12:$B$213,0),3)),"",INDEX(data!$A$12:$AI$213,MATCH(HLOOKUP('II. Sledování projektu'!$L$5,vstupy!$N$2:$BY$180,$B150+1,0),data!$B$12:$B$213,0),3))</f>
        <v>ZŠ O-Hrabůvka, Provaznická</v>
      </c>
      <c r="D150" s="156">
        <f>IF(ISERROR(INDEX(data!$A$12:$AI$213,MATCH(HLOOKUP('II. Sledování projektu'!$L$5,vstupy!$N$2:$BY$180,$B150+1,0),data!$B$12:$B$213,0),35)),"",INDEX(data!$A$12:$AI$213,MATCH(HLOOKUP('II. Sledování projektu'!$L$5,vstupy!$N$2:$BY$180,$B150+1,0),data!$B$12:$B$213,0),35))</f>
        <v>54.589368805867572</v>
      </c>
      <c r="E150" s="49">
        <f>IF(ISERROR(INDEX(data!$A$12:$AI$213,MATCH(HLOOKUP('II. Sledování projektu'!$L$5,vstupy!$N$2:$BY$180,$B150+1,0),data!$B$12:$B$213,0),27)),"",INDEX(data!$A$12:$AI$213,MATCH(HLOOKUP('II. Sledování projektu'!$L$5,vstupy!$N$2:$BY$180,$B150+1,0),data!$B$12:$B$213,0),27))</f>
        <v>1989686</v>
      </c>
      <c r="F150" s="54">
        <f>IF(ISERROR(INDEX(data!$A$12:$AI$213,MATCH(HLOOKUP('II. Sledování projektu'!$L$5,vstupy!$N$2:$BY$180,$B150+1,0),data!$B$12:$B$213,0),28)),"",INDEX(data!$A$12:$AI$213,MATCH(HLOOKUP('II. Sledování projektu'!$L$5,vstupy!$N$2:$BY$180,$B150+1,0),data!$B$12:$B$213,0),28))</f>
        <v>563877.52</v>
      </c>
      <c r="G150" s="53">
        <f t="shared" si="15"/>
        <v>0.28340025511563133</v>
      </c>
      <c r="H150" s="53">
        <f>IF(ISERROR(INDEX(data!$A$12:$AI$213,MATCH(HLOOKUP('II. Sledování projektu'!$L$5,vstupy!$N$2:$BY$180,$B150+1,0),data!$B$12:$B$213,0),29)),"",INDEX(data!$A$12:$AI$213,MATCH(HLOOKUP('II. Sledování projektu'!$L$5,vstupy!$N$2:$BY$180,$B150+1,0),data!$B$12:$B$213,0),29))</f>
        <v>0.15709999999999999</v>
      </c>
      <c r="I150" s="54">
        <f>IF(ISERROR(INDEX(data!$A$12:$AI$213,MATCH(HLOOKUP('II. Sledování projektu'!$L$5,vstupy!$N$2:$BY$180,$B150+1,0),data!$B$12:$B$213,0),31)),"",INDEX(data!$A$12:$AI$213,MATCH(HLOOKUP('II. Sledování projektu'!$L$5,vstupy!$N$2:$BY$180,$B150+1,0),data!$B$12:$B$213,0),31))</f>
        <v>210571.15</v>
      </c>
      <c r="J150" s="53">
        <f t="shared" si="16"/>
        <v>0.10583134725780852</v>
      </c>
      <c r="K150" s="53">
        <f t="shared" si="18"/>
        <v>0.6736559341681001</v>
      </c>
      <c r="L150" s="54">
        <f>IF(ISERROR(INDEX(data!$A$12:$AI$213,MATCH(HLOOKUP('II. Sledování projektu'!$L$5,vstupy!$N$2:$BY$180,$B150+1,0),data!$B$12:$B$213,0),32)),"",INDEX(data!$A$12:$AI$213,MATCH(HLOOKUP('II. Sledování projektu'!$L$5,vstupy!$N$2:$BY$180,$B150+1,0),data!$B$12:$B$213,0),32))</f>
        <v>56096.67</v>
      </c>
      <c r="M150" s="53">
        <f t="shared" si="14"/>
        <v>0.21036160268606838</v>
      </c>
      <c r="N150" s="54">
        <f>IF(ISERROR(VLOOKUP(C150,data!$C$12:$AD$213,28,0)),0,VLOOKUP(C150,data!$C$12:$AD$213,28,0))</f>
        <v>312579.67059999995</v>
      </c>
    </row>
    <row r="151" spans="2:14" x14ac:dyDescent="0.2">
      <c r="B151" s="19">
        <f t="shared" si="17"/>
        <v>146</v>
      </c>
      <c r="C151" s="19" t="str">
        <f>IF(ISERROR(INDEX(data!$A$12:$AI$213,MATCH(HLOOKUP('II. Sledování projektu'!$L$5,vstupy!$N$2:$BY$180,$B151+1,0),data!$B$12:$B$213,0),3)),"",INDEX(data!$A$12:$AI$213,MATCH(HLOOKUP('II. Sledování projektu'!$L$5,vstupy!$N$2:$BY$180,$B151+1,0),data!$B$12:$B$213,0),3))</f>
        <v>ZŠ O-Mar.Hory, Gen.Janka</v>
      </c>
      <c r="D151" s="156">
        <f>IF(ISERROR(INDEX(data!$A$12:$AI$213,MATCH(HLOOKUP('II. Sledování projektu'!$L$5,vstupy!$N$2:$BY$180,$B151+1,0),data!$B$12:$B$213,0),35)),"",INDEX(data!$A$12:$AI$213,MATCH(HLOOKUP('II. Sledování projektu'!$L$5,vstupy!$N$2:$BY$180,$B151+1,0),data!$B$12:$B$213,0),35))</f>
        <v>27.65864555176266</v>
      </c>
      <c r="E151" s="49">
        <f>IF(ISERROR(INDEX(data!$A$12:$AI$213,MATCH(HLOOKUP('II. Sledování projektu'!$L$5,vstupy!$N$2:$BY$180,$B151+1,0),data!$B$12:$B$213,0),27)),"",INDEX(data!$A$12:$AI$213,MATCH(HLOOKUP('II. Sledování projektu'!$L$5,vstupy!$N$2:$BY$180,$B151+1,0),data!$B$12:$B$213,0),27))</f>
        <v>2438670.9500000002</v>
      </c>
      <c r="F151" s="54">
        <f>IF(ISERROR(INDEX(data!$A$12:$AI$213,MATCH(HLOOKUP('II. Sledování projektu'!$L$5,vstupy!$N$2:$BY$180,$B151+1,0),data!$B$12:$B$213,0),28)),"",INDEX(data!$A$12:$AI$213,MATCH(HLOOKUP('II. Sledování projektu'!$L$5,vstupy!$N$2:$BY$180,$B151+1,0),data!$B$12:$B$213,0),28))</f>
        <v>269089.71000000002</v>
      </c>
      <c r="G151" s="53">
        <f t="shared" si="15"/>
        <v>0.11034277092610628</v>
      </c>
      <c r="H151" s="53">
        <f>IF(ISERROR(INDEX(data!$A$12:$AI$213,MATCH(HLOOKUP('II. Sledování projektu'!$L$5,vstupy!$N$2:$BY$180,$B151+1,0),data!$B$12:$B$213,0),29)),"",INDEX(data!$A$12:$AI$213,MATCH(HLOOKUP('II. Sledování projektu'!$L$5,vstupy!$N$2:$BY$180,$B151+1,0),data!$B$12:$B$213,0),29))</f>
        <v>0.19589999999999999</v>
      </c>
      <c r="I151" s="54">
        <f>IF(ISERROR(INDEX(data!$A$12:$AI$213,MATCH(HLOOKUP('II. Sledování projektu'!$L$5,vstupy!$N$2:$BY$180,$B151+1,0),data!$B$12:$B$213,0),31)),"",INDEX(data!$A$12:$AI$213,MATCH(HLOOKUP('II. Sledování projektu'!$L$5,vstupy!$N$2:$BY$180,$B151+1,0),data!$B$12:$B$213,0),31))</f>
        <v>176296.45</v>
      </c>
      <c r="J151" s="53">
        <f t="shared" si="16"/>
        <v>7.2292020372818233E-2</v>
      </c>
      <c r="K151" s="53">
        <f t="shared" si="18"/>
        <v>0.36902511675762245</v>
      </c>
      <c r="L151" s="54">
        <f>IF(ISERROR(INDEX(data!$A$12:$AI$213,MATCH(HLOOKUP('II. Sledování projektu'!$L$5,vstupy!$N$2:$BY$180,$B151+1,0),data!$B$12:$B$213,0),32)),"",INDEX(data!$A$12:$AI$213,MATCH(HLOOKUP('II. Sledování projektu'!$L$5,vstupy!$N$2:$BY$180,$B151+1,0),data!$B$12:$B$213,0),32))</f>
        <v>52036.51</v>
      </c>
      <c r="M151" s="53">
        <f t="shared" si="14"/>
        <v>0.22789749670831577</v>
      </c>
      <c r="N151" s="54">
        <f>IF(ISERROR(VLOOKUP(C151,data!$C$12:$AD$213,28,0)),0,VLOOKUP(C151,data!$C$12:$AD$213,28,0))</f>
        <v>477735.63910500001</v>
      </c>
    </row>
    <row r="152" spans="2:14" x14ac:dyDescent="0.2">
      <c r="B152" s="19">
        <f t="shared" si="17"/>
        <v>147</v>
      </c>
      <c r="C152" s="19" t="str">
        <f>IF(ISERROR(INDEX(data!$A$12:$AI$213,MATCH(HLOOKUP('II. Sledování projektu'!$L$5,vstupy!$N$2:$BY$180,$B152+1,0),data!$B$12:$B$213,0),3)),"",INDEX(data!$A$12:$AI$213,MATCH(HLOOKUP('II. Sledování projektu'!$L$5,vstupy!$N$2:$BY$180,$B152+1,0),data!$B$12:$B$213,0),3))</f>
        <v>ZŠ O-Michálkovice</v>
      </c>
      <c r="D152" s="156">
        <f>IF(ISERROR(INDEX(data!$A$12:$AI$213,MATCH(HLOOKUP('II. Sledování projektu'!$L$5,vstupy!$N$2:$BY$180,$B152+1,0),data!$B$12:$B$213,0),35)),"",INDEX(data!$A$12:$AI$213,MATCH(HLOOKUP('II. Sledování projektu'!$L$5,vstupy!$N$2:$BY$180,$B152+1,0),data!$B$12:$B$213,0),35))</f>
        <v>29.795377351834375</v>
      </c>
      <c r="E152" s="49">
        <f>IF(ISERROR(INDEX(data!$A$12:$AI$213,MATCH(HLOOKUP('II. Sledování projektu'!$L$5,vstupy!$N$2:$BY$180,$B152+1,0),data!$B$12:$B$213,0),27)),"",INDEX(data!$A$12:$AI$213,MATCH(HLOOKUP('II. Sledování projektu'!$L$5,vstupy!$N$2:$BY$180,$B152+1,0),data!$B$12:$B$213,0),27))</f>
        <v>1764250</v>
      </c>
      <c r="F152" s="54">
        <f>IF(ISERROR(INDEX(data!$A$12:$AI$213,MATCH(HLOOKUP('II. Sledování projektu'!$L$5,vstupy!$N$2:$BY$180,$B152+1,0),data!$B$12:$B$213,0),28)),"",INDEX(data!$A$12:$AI$213,MATCH(HLOOKUP('II. Sledování projektu'!$L$5,vstupy!$N$2:$BY$180,$B152+1,0),data!$B$12:$B$213,0),28))</f>
        <v>0</v>
      </c>
      <c r="G152" s="53">
        <f t="shared" si="15"/>
        <v>0</v>
      </c>
      <c r="H152" s="53">
        <f>IF(ISERROR(INDEX(data!$A$12:$AI$213,MATCH(HLOOKUP('II. Sledování projektu'!$L$5,vstupy!$N$2:$BY$180,$B152+1,0),data!$B$12:$B$213,0),29)),"",INDEX(data!$A$12:$AI$213,MATCH(HLOOKUP('II. Sledování projektu'!$L$5,vstupy!$N$2:$BY$180,$B152+1,0),data!$B$12:$B$213,0),29))</f>
        <v>0.26329999999999998</v>
      </c>
      <c r="I152" s="54">
        <f>IF(ISERROR(INDEX(data!$A$12:$AI$213,MATCH(HLOOKUP('II. Sledování projektu'!$L$5,vstupy!$N$2:$BY$180,$B152+1,0),data!$B$12:$B$213,0),31)),"",INDEX(data!$A$12:$AI$213,MATCH(HLOOKUP('II. Sledování projektu'!$L$5,vstupy!$N$2:$BY$180,$B152+1,0),data!$B$12:$B$213,0),31))</f>
        <v>230679.3</v>
      </c>
      <c r="J152" s="53">
        <f t="shared" si="16"/>
        <v>0.13075204761229983</v>
      </c>
      <c r="K152" s="53">
        <f t="shared" si="18"/>
        <v>0.49658962253057293</v>
      </c>
      <c r="L152" s="54">
        <f>IF(ISERROR(INDEX(data!$A$12:$AI$213,MATCH(HLOOKUP('II. Sledování projektu'!$L$5,vstupy!$N$2:$BY$180,$B152+1,0),data!$B$12:$B$213,0),32)),"",INDEX(data!$A$12:$AI$213,MATCH(HLOOKUP('II. Sledování projektu'!$L$5,vstupy!$N$2:$BY$180,$B152+1,0),data!$B$12:$B$213,0),32))</f>
        <v>168809.7</v>
      </c>
      <c r="M152" s="53">
        <f t="shared" si="14"/>
        <v>0.42256407560658743</v>
      </c>
      <c r="N152" s="54">
        <f>IF(ISERROR(VLOOKUP(C152,data!$C$12:$AD$213,28,0)),0,VLOOKUP(C152,data!$C$12:$AD$213,28,0))</f>
        <v>464527.02499999997</v>
      </c>
    </row>
    <row r="153" spans="2:14" x14ac:dyDescent="0.2">
      <c r="B153" s="19">
        <f t="shared" si="17"/>
        <v>148</v>
      </c>
      <c r="C153" s="19" t="str">
        <f>IF(ISERROR(INDEX(data!$A$12:$AI$213,MATCH(HLOOKUP('II. Sledování projektu'!$L$5,vstupy!$N$2:$BY$180,$B153+1,0),data!$B$12:$B$213,0),3)),"",INDEX(data!$A$12:$AI$213,MATCH(HLOOKUP('II. Sledování projektu'!$L$5,vstupy!$N$2:$BY$180,$B153+1,0),data!$B$12:$B$213,0),3))</f>
        <v>ZŠ O-Muglinov</v>
      </c>
      <c r="D153" s="156">
        <f>IF(ISERROR(INDEX(data!$A$12:$AI$213,MATCH(HLOOKUP('II. Sledování projektu'!$L$5,vstupy!$N$2:$BY$180,$B153+1,0),data!$B$12:$B$213,0),35)),"",INDEX(data!$A$12:$AI$213,MATCH(HLOOKUP('II. Sledování projektu'!$L$5,vstupy!$N$2:$BY$180,$B153+1,0),data!$B$12:$B$213,0),35))</f>
        <v>60.103522522522525</v>
      </c>
      <c r="E153" s="49">
        <f>IF(ISERROR(INDEX(data!$A$12:$AI$213,MATCH(HLOOKUP('II. Sledování projektu'!$L$5,vstupy!$N$2:$BY$180,$B153+1,0),data!$B$12:$B$213,0),27)),"",INDEX(data!$A$12:$AI$213,MATCH(HLOOKUP('II. Sledování projektu'!$L$5,vstupy!$N$2:$BY$180,$B153+1,0),data!$B$12:$B$213,0),27))</f>
        <v>832500</v>
      </c>
      <c r="F153" s="54">
        <f>IF(ISERROR(INDEX(data!$A$12:$AI$213,MATCH(HLOOKUP('II. Sledování projektu'!$L$5,vstupy!$N$2:$BY$180,$B153+1,0),data!$B$12:$B$213,0),28)),"",INDEX(data!$A$12:$AI$213,MATCH(HLOOKUP('II. Sledování projektu'!$L$5,vstupy!$N$2:$BY$180,$B153+1,0),data!$B$12:$B$213,0),28))</f>
        <v>1723.65</v>
      </c>
      <c r="G153" s="53">
        <f t="shared" si="15"/>
        <v>2.0704504504504505E-3</v>
      </c>
      <c r="H153" s="53">
        <f>IF(ISERROR(INDEX(data!$A$12:$AI$213,MATCH(HLOOKUP('II. Sledování projektu'!$L$5,vstupy!$N$2:$BY$180,$B153+1,0),data!$B$12:$B$213,0),29)),"",INDEX(data!$A$12:$AI$213,MATCH(HLOOKUP('II. Sledování projektu'!$L$5,vstupy!$N$2:$BY$180,$B153+1,0),data!$B$12:$B$213,0),29))</f>
        <v>0.21249999999999999</v>
      </c>
      <c r="I153" s="54">
        <f>IF(ISERROR(INDEX(data!$A$12:$AI$213,MATCH(HLOOKUP('II. Sledování projektu'!$L$5,vstupy!$N$2:$BY$180,$B153+1,0),data!$B$12:$B$213,0),31)),"",INDEX(data!$A$12:$AI$213,MATCH(HLOOKUP('II. Sledování projektu'!$L$5,vstupy!$N$2:$BY$180,$B153+1,0),data!$B$12:$B$213,0),31))</f>
        <v>183979.94999999998</v>
      </c>
      <c r="J153" s="53">
        <f t="shared" si="16"/>
        <v>0.22099693693693692</v>
      </c>
      <c r="K153" s="53">
        <f t="shared" si="18"/>
        <v>1.0399855855855855</v>
      </c>
      <c r="L153" s="54">
        <f>IF(ISERROR(INDEX(data!$A$12:$AI$213,MATCH(HLOOKUP('II. Sledování projektu'!$L$5,vstupy!$N$2:$BY$180,$B153+1,0),data!$B$12:$B$213,0),32)),"",INDEX(data!$A$12:$AI$213,MATCH(HLOOKUP('II. Sledování projektu'!$L$5,vstupy!$N$2:$BY$180,$B153+1,0),data!$B$12:$B$213,0),32))</f>
        <v>129579.91</v>
      </c>
      <c r="M153" s="53">
        <f t="shared" si="14"/>
        <v>0.41325413909803382</v>
      </c>
      <c r="N153" s="54">
        <f>IF(ISERROR(VLOOKUP(C153,data!$C$12:$AD$213,28,0)),0,VLOOKUP(C153,data!$C$12:$AD$213,28,0))</f>
        <v>176906.25</v>
      </c>
    </row>
    <row r="154" spans="2:14" x14ac:dyDescent="0.2">
      <c r="B154" s="19">
        <f t="shared" si="17"/>
        <v>149</v>
      </c>
      <c r="C154" s="19" t="str">
        <f>IF(ISERROR(INDEX(data!$A$12:$AI$213,MATCH(HLOOKUP('II. Sledování projektu'!$L$5,vstupy!$N$2:$BY$180,$B154+1,0),data!$B$12:$B$213,0),3)),"",INDEX(data!$A$12:$AI$213,MATCH(HLOOKUP('II. Sledování projektu'!$L$5,vstupy!$N$2:$BY$180,$B154+1,0),data!$B$12:$B$213,0),3))</f>
        <v>ZŠ O-Nová Bělá</v>
      </c>
      <c r="D154" s="156">
        <f>IF(ISERROR(INDEX(data!$A$12:$AI$213,MATCH(HLOOKUP('II. Sledování projektu'!$L$5,vstupy!$N$2:$BY$180,$B154+1,0),data!$B$12:$B$213,0),35)),"",INDEX(data!$A$12:$AI$213,MATCH(HLOOKUP('II. Sledování projektu'!$L$5,vstupy!$N$2:$BY$180,$B154+1,0),data!$B$12:$B$213,0),35))</f>
        <v>23.696121681271755</v>
      </c>
      <c r="E154" s="49">
        <f>IF(ISERROR(INDEX(data!$A$12:$AI$213,MATCH(HLOOKUP('II. Sledování projektu'!$L$5,vstupy!$N$2:$BY$180,$B154+1,0),data!$B$12:$B$213,0),27)),"",INDEX(data!$A$12:$AI$213,MATCH(HLOOKUP('II. Sledování projektu'!$L$5,vstupy!$N$2:$BY$180,$B154+1,0),data!$B$12:$B$213,0),27))</f>
        <v>889622.84</v>
      </c>
      <c r="F154" s="54">
        <f>IF(ISERROR(INDEX(data!$A$12:$AI$213,MATCH(HLOOKUP('II. Sledování projektu'!$L$5,vstupy!$N$2:$BY$180,$B154+1,0),data!$B$12:$B$213,0),28)),"",INDEX(data!$A$12:$AI$213,MATCH(HLOOKUP('II. Sledování projektu'!$L$5,vstupy!$N$2:$BY$180,$B154+1,0),data!$B$12:$B$213,0),28))</f>
        <v>138863.66</v>
      </c>
      <c r="G154" s="53">
        <f t="shared" si="15"/>
        <v>0.15609273251122915</v>
      </c>
      <c r="H154" s="53">
        <f>IF(ISERROR(INDEX(data!$A$12:$AI$213,MATCH(HLOOKUP('II. Sledování projektu'!$L$5,vstupy!$N$2:$BY$180,$B154+1,0),data!$B$12:$B$213,0),29)),"",INDEX(data!$A$12:$AI$213,MATCH(HLOOKUP('II. Sledování projektu'!$L$5,vstupy!$N$2:$BY$180,$B154+1,0),data!$B$12:$B$213,0),29))</f>
        <v>0.33989999999999998</v>
      </c>
      <c r="I154" s="54">
        <f>IF(ISERROR(INDEX(data!$A$12:$AI$213,MATCH(HLOOKUP('II. Sledování projektu'!$L$5,vstupy!$N$2:$BY$180,$B154+1,0),data!$B$12:$B$213,0),31)),"",INDEX(data!$A$12:$AI$213,MATCH(HLOOKUP('II. Sledování projektu'!$L$5,vstupy!$N$2:$BY$180,$B154+1,0),data!$B$12:$B$213,0),31))</f>
        <v>80088.53</v>
      </c>
      <c r="J154" s="53">
        <f t="shared" si="16"/>
        <v>9.0025262840598835E-2</v>
      </c>
      <c r="K154" s="53">
        <f t="shared" si="18"/>
        <v>0.26485808426183832</v>
      </c>
      <c r="L154" s="54">
        <f>IF(ISERROR(INDEX(data!$A$12:$AI$213,MATCH(HLOOKUP('II. Sledování projektu'!$L$5,vstupy!$N$2:$BY$180,$B154+1,0),data!$B$12:$B$213,0),32)),"",INDEX(data!$A$12:$AI$213,MATCH(HLOOKUP('II. Sledování projektu'!$L$5,vstupy!$N$2:$BY$180,$B154+1,0),data!$B$12:$B$213,0),32))</f>
        <v>54568.12</v>
      </c>
      <c r="M154" s="53">
        <f t="shared" si="14"/>
        <v>0.40523895403606136</v>
      </c>
      <c r="N154" s="54">
        <f>IF(ISERROR(VLOOKUP(C154,data!$C$12:$AD$213,28,0)),0,VLOOKUP(C154,data!$C$12:$AD$213,28,0))</f>
        <v>302382.80331599998</v>
      </c>
    </row>
    <row r="155" spans="2:14" x14ac:dyDescent="0.2">
      <c r="B155" s="19">
        <f t="shared" si="17"/>
        <v>150</v>
      </c>
      <c r="C155" s="19" t="str">
        <f>IF(ISERROR(INDEX(data!$A$12:$AI$213,MATCH(HLOOKUP('II. Sledování projektu'!$L$5,vstupy!$N$2:$BY$180,$B155+1,0),data!$B$12:$B$213,0),3)),"",INDEX(data!$A$12:$AI$213,MATCH(HLOOKUP('II. Sledování projektu'!$L$5,vstupy!$N$2:$BY$180,$B155+1,0),data!$B$12:$B$213,0),3))</f>
        <v>ZŠ O-Petřkovice</v>
      </c>
      <c r="D155" s="156">
        <f>IF(ISERROR(INDEX(data!$A$12:$AI$213,MATCH(HLOOKUP('II. Sledování projektu'!$L$5,vstupy!$N$2:$BY$180,$B155+1,0),data!$B$12:$B$213,0),35)),"",INDEX(data!$A$12:$AI$213,MATCH(HLOOKUP('II. Sledování projektu'!$L$5,vstupy!$N$2:$BY$180,$B155+1,0),data!$B$12:$B$213,0),35))</f>
        <v>64.149026332512747</v>
      </c>
      <c r="E155" s="49">
        <f>IF(ISERROR(INDEX(data!$A$12:$AI$213,MATCH(HLOOKUP('II. Sledování projektu'!$L$5,vstupy!$N$2:$BY$180,$B155+1,0),data!$B$12:$B$213,0),27)),"",INDEX(data!$A$12:$AI$213,MATCH(HLOOKUP('II. Sledování projektu'!$L$5,vstupy!$N$2:$BY$180,$B155+1,0),data!$B$12:$B$213,0),27))</f>
        <v>1667500</v>
      </c>
      <c r="F155" s="54">
        <f>IF(ISERROR(INDEX(data!$A$12:$AI$213,MATCH(HLOOKUP('II. Sledování projektu'!$L$5,vstupy!$N$2:$BY$180,$B155+1,0),data!$B$12:$B$213,0),28)),"",INDEX(data!$A$12:$AI$213,MATCH(HLOOKUP('II. Sledování projektu'!$L$5,vstupy!$N$2:$BY$180,$B155+1,0),data!$B$12:$B$213,0),28))</f>
        <v>274082.95</v>
      </c>
      <c r="G155" s="53">
        <f t="shared" si="15"/>
        <v>0.16436758620689657</v>
      </c>
      <c r="H155" s="53">
        <f>IF(ISERROR(INDEX(data!$A$12:$AI$213,MATCH(HLOOKUP('II. Sledování projektu'!$L$5,vstupy!$N$2:$BY$180,$B155+1,0),data!$B$12:$B$213,0),29)),"",INDEX(data!$A$12:$AI$213,MATCH(HLOOKUP('II. Sledování projektu'!$L$5,vstupy!$N$2:$BY$180,$B155+1,0),data!$B$12:$B$213,0),29))</f>
        <v>0.29160000000000003</v>
      </c>
      <c r="I155" s="54">
        <f>IF(ISERROR(INDEX(data!$A$12:$AI$213,MATCH(HLOOKUP('II. Sledování projektu'!$L$5,vstupy!$N$2:$BY$180,$B155+1,0),data!$B$12:$B$213,0),31)),"",INDEX(data!$A$12:$AI$213,MATCH(HLOOKUP('II. Sledování projektu'!$L$5,vstupy!$N$2:$BY$180,$B155+1,0),data!$B$12:$B$213,0),31))</f>
        <v>453264.76</v>
      </c>
      <c r="J155" s="53">
        <f t="shared" si="16"/>
        <v>0.27182294452773614</v>
      </c>
      <c r="K155" s="53">
        <f t="shared" si="18"/>
        <v>0.93217745036946542</v>
      </c>
      <c r="L155" s="54">
        <f>IF(ISERROR(INDEX(data!$A$12:$AI$213,MATCH(HLOOKUP('II. Sledování projektu'!$L$5,vstupy!$N$2:$BY$180,$B155+1,0),data!$B$12:$B$213,0),32)),"",INDEX(data!$A$12:$AI$213,MATCH(HLOOKUP('II. Sledování projektu'!$L$5,vstupy!$N$2:$BY$180,$B155+1,0),data!$B$12:$B$213,0),32))</f>
        <v>185731.62</v>
      </c>
      <c r="M155" s="53">
        <f t="shared" si="14"/>
        <v>0.29066145883330358</v>
      </c>
      <c r="N155" s="54">
        <f>IF(ISERROR(VLOOKUP(C155,data!$C$12:$AD$213,28,0)),0,VLOOKUP(C155,data!$C$12:$AD$213,28,0))</f>
        <v>486243.00000000006</v>
      </c>
    </row>
    <row r="156" spans="2:14" x14ac:dyDescent="0.2">
      <c r="B156" s="19">
        <f t="shared" si="17"/>
        <v>151</v>
      </c>
      <c r="C156" s="19" t="str">
        <f>IF(ISERROR(INDEX(data!$A$12:$AI$213,MATCH(HLOOKUP('II. Sledování projektu'!$L$5,vstupy!$N$2:$BY$180,$B156+1,0),data!$B$12:$B$213,0),3)),"",INDEX(data!$A$12:$AI$213,MATCH(HLOOKUP('II. Sledování projektu'!$L$5,vstupy!$N$2:$BY$180,$B156+1,0),data!$B$12:$B$213,0),3))</f>
        <v>ZŠ O-Polanka n/O</v>
      </c>
      <c r="D156" s="156">
        <f>IF(ISERROR(INDEX(data!$A$12:$AI$213,MATCH(HLOOKUP('II. Sledování projektu'!$L$5,vstupy!$N$2:$BY$180,$B156+1,0),data!$B$12:$B$213,0),35)),"",INDEX(data!$A$12:$AI$213,MATCH(HLOOKUP('II. Sledování projektu'!$L$5,vstupy!$N$2:$BY$180,$B156+1,0),data!$B$12:$B$213,0),35))</f>
        <v>3.6100195705262714</v>
      </c>
      <c r="E156" s="49">
        <f>IF(ISERROR(INDEX(data!$A$12:$AI$213,MATCH(HLOOKUP('II. Sledování projektu'!$L$5,vstupy!$N$2:$BY$180,$B156+1,0),data!$B$12:$B$213,0),27)),"",INDEX(data!$A$12:$AI$213,MATCH(HLOOKUP('II. Sledování projektu'!$L$5,vstupy!$N$2:$BY$180,$B156+1,0),data!$B$12:$B$213,0),27))</f>
        <v>2686000</v>
      </c>
      <c r="F156" s="54">
        <f>IF(ISERROR(INDEX(data!$A$12:$AI$213,MATCH(HLOOKUP('II. Sledování projektu'!$L$5,vstupy!$N$2:$BY$180,$B156+1,0),data!$B$12:$B$213,0),28)),"",INDEX(data!$A$12:$AI$213,MATCH(HLOOKUP('II. Sledování projektu'!$L$5,vstupy!$N$2:$BY$180,$B156+1,0),data!$B$12:$B$213,0),28))</f>
        <v>1146.58</v>
      </c>
      <c r="G156" s="53">
        <f t="shared" si="15"/>
        <v>4.2687267311988081E-4</v>
      </c>
      <c r="H156" s="53">
        <f>IF(ISERROR(INDEX(data!$A$12:$AI$213,MATCH(HLOOKUP('II. Sledování projektu'!$L$5,vstupy!$N$2:$BY$180,$B156+1,0),data!$B$12:$B$213,0),29)),"",INDEX(data!$A$12:$AI$213,MATCH(HLOOKUP('II. Sledování projektu'!$L$5,vstupy!$N$2:$BY$180,$B156+1,0),data!$B$12:$B$213,0),29))</f>
        <v>0.2288</v>
      </c>
      <c r="I156" s="54">
        <f>IF(ISERROR(INDEX(data!$A$12:$AI$213,MATCH(HLOOKUP('II. Sledování projektu'!$L$5,vstupy!$N$2:$BY$180,$B156+1,0),data!$B$12:$B$213,0),31)),"",INDEX(data!$A$12:$AI$213,MATCH(HLOOKUP('II. Sledování projektu'!$L$5,vstupy!$N$2:$BY$180,$B156+1,0),data!$B$12:$B$213,0),31))</f>
        <v>36757.42</v>
      </c>
      <c r="J156" s="53">
        <f t="shared" si="16"/>
        <v>1.368481757259866E-2</v>
      </c>
      <c r="K156" s="53">
        <f t="shared" si="18"/>
        <v>5.9811265614504623E-2</v>
      </c>
      <c r="L156" s="54">
        <f>IF(ISERROR(INDEX(data!$A$12:$AI$213,MATCH(HLOOKUP('II. Sledování projektu'!$L$5,vstupy!$N$2:$BY$180,$B156+1,0),data!$B$12:$B$213,0),32)),"",INDEX(data!$A$12:$AI$213,MATCH(HLOOKUP('II. Sledování projektu'!$L$5,vstupy!$N$2:$BY$180,$B156+1,0),data!$B$12:$B$213,0),32))</f>
        <v>26061.350000000002</v>
      </c>
      <c r="M156" s="53">
        <f t="shared" si="14"/>
        <v>0.4148656524156713</v>
      </c>
      <c r="N156" s="54">
        <f>IF(ISERROR(VLOOKUP(C156,data!$C$12:$AD$213,28,0)),0,VLOOKUP(C156,data!$C$12:$AD$213,28,0))</f>
        <v>614556.80000000005</v>
      </c>
    </row>
    <row r="157" spans="2:14" x14ac:dyDescent="0.2">
      <c r="B157" s="19">
        <f t="shared" si="17"/>
        <v>152</v>
      </c>
      <c r="C157" s="19" t="str">
        <f>IF(ISERROR(INDEX(data!$A$12:$AI$213,MATCH(HLOOKUP('II. Sledování projektu'!$L$5,vstupy!$N$2:$BY$180,$B157+1,0),data!$B$12:$B$213,0),3)),"",INDEX(data!$A$12:$AI$213,MATCH(HLOOKUP('II. Sledování projektu'!$L$5,vstupy!$N$2:$BY$180,$B157+1,0),data!$B$12:$B$213,0),3))</f>
        <v>ZŠ O-Poruba, A.Hrdličky</v>
      </c>
      <c r="D157" s="156">
        <f>IF(ISERROR(INDEX(data!$A$12:$AI$213,MATCH(HLOOKUP('II. Sledování projektu'!$L$5,vstupy!$N$2:$BY$180,$B157+1,0),data!$B$12:$B$213,0),35)),"",INDEX(data!$A$12:$AI$213,MATCH(HLOOKUP('II. Sledování projektu'!$L$5,vstupy!$N$2:$BY$180,$B157+1,0),data!$B$12:$B$213,0),35))</f>
        <v>35.549699668075718</v>
      </c>
      <c r="E157" s="49">
        <f>IF(ISERROR(INDEX(data!$A$12:$AI$213,MATCH(HLOOKUP('II. Sledování projektu'!$L$5,vstupy!$N$2:$BY$180,$B157+1,0),data!$B$12:$B$213,0),27)),"",INDEX(data!$A$12:$AI$213,MATCH(HLOOKUP('II. Sledování projektu'!$L$5,vstupy!$N$2:$BY$180,$B157+1,0),data!$B$12:$B$213,0),27))</f>
        <v>2395500</v>
      </c>
      <c r="F157" s="54">
        <f>IF(ISERROR(INDEX(data!$A$12:$AI$213,MATCH(HLOOKUP('II. Sledování projektu'!$L$5,vstupy!$N$2:$BY$180,$B157+1,0),data!$B$12:$B$213,0),28)),"",INDEX(data!$A$12:$AI$213,MATCH(HLOOKUP('II. Sledování projektu'!$L$5,vstupy!$N$2:$BY$180,$B157+1,0),data!$B$12:$B$213,0),28))</f>
        <v>1201725.8400000001</v>
      </c>
      <c r="G157" s="53">
        <f t="shared" si="15"/>
        <v>0.50165971195992487</v>
      </c>
      <c r="H157" s="53">
        <f>IF(ISERROR(INDEX(data!$A$12:$AI$213,MATCH(HLOOKUP('II. Sledování projektu'!$L$5,vstupy!$N$2:$BY$180,$B157+1,0),data!$B$12:$B$213,0),29)),"",INDEX(data!$A$12:$AI$213,MATCH(HLOOKUP('II. Sledování projektu'!$L$5,vstupy!$N$2:$BY$180,$B157+1,0),data!$B$12:$B$213,0),29))</f>
        <v>0.22869999999999999</v>
      </c>
      <c r="I157" s="54">
        <f>IF(ISERROR(INDEX(data!$A$12:$AI$213,MATCH(HLOOKUP('II. Sledování projektu'!$L$5,vstupy!$N$2:$BY$180,$B157+1,0),data!$B$12:$B$213,0),31)),"",INDEX(data!$A$12:$AI$213,MATCH(HLOOKUP('II. Sledování projektu'!$L$5,vstupy!$N$2:$BY$180,$B157+1,0),data!$B$12:$B$213,0),31))</f>
        <v>95569.97</v>
      </c>
      <c r="J157" s="53">
        <f t="shared" si="16"/>
        <v>3.989562513045293E-2</v>
      </c>
      <c r="K157" s="53">
        <f t="shared" si="18"/>
        <v>0.1744452345013246</v>
      </c>
      <c r="L157" s="54">
        <f>IF(ISERROR(INDEX(data!$A$12:$AI$213,MATCH(HLOOKUP('II. Sledování projektu'!$L$5,vstupy!$N$2:$BY$180,$B157+1,0),data!$B$12:$B$213,0),32)),"",INDEX(data!$A$12:$AI$213,MATCH(HLOOKUP('II. Sledování projektu'!$L$5,vstupy!$N$2:$BY$180,$B157+1,0),data!$B$12:$B$213,0),32))</f>
        <v>55299.83</v>
      </c>
      <c r="M157" s="53">
        <f t="shared" si="14"/>
        <v>0.36654008953415468</v>
      </c>
      <c r="N157" s="54">
        <f>IF(ISERROR(VLOOKUP(C157,data!$C$12:$AD$213,28,0)),0,VLOOKUP(C157,data!$C$12:$AD$213,28,0))</f>
        <v>547850.85</v>
      </c>
    </row>
    <row r="158" spans="2:14" x14ac:dyDescent="0.2">
      <c r="B158" s="19">
        <f t="shared" si="17"/>
        <v>153</v>
      </c>
      <c r="C158" s="19" t="str">
        <f>IF(ISERROR(INDEX(data!$A$12:$AI$213,MATCH(HLOOKUP('II. Sledování projektu'!$L$5,vstupy!$N$2:$BY$180,$B158+1,0),data!$B$12:$B$213,0),3)),"",INDEX(data!$A$12:$AI$213,MATCH(HLOOKUP('II. Sledování projektu'!$L$5,vstupy!$N$2:$BY$180,$B158+1,0),data!$B$12:$B$213,0),3))</f>
        <v>ZŠ O-Poruba, Bulharská</v>
      </c>
      <c r="D158" s="156">
        <f>IF(ISERROR(INDEX(data!$A$12:$AI$213,MATCH(HLOOKUP('II. Sledování projektu'!$L$5,vstupy!$N$2:$BY$180,$B158+1,0),data!$B$12:$B$213,0),35)),"",INDEX(data!$A$12:$AI$213,MATCH(HLOOKUP('II. Sledování projektu'!$L$5,vstupy!$N$2:$BY$180,$B158+1,0),data!$B$12:$B$213,0),35))</f>
        <v>23.609571228046836</v>
      </c>
      <c r="E158" s="49">
        <f>IF(ISERROR(INDEX(data!$A$12:$AI$213,MATCH(HLOOKUP('II. Sledování projektu'!$L$5,vstupy!$N$2:$BY$180,$B158+1,0),data!$B$12:$B$213,0),27)),"",INDEX(data!$A$12:$AI$213,MATCH(HLOOKUP('II. Sledování projektu'!$L$5,vstupy!$N$2:$BY$180,$B158+1,0),data!$B$12:$B$213,0),27))</f>
        <v>2652510</v>
      </c>
      <c r="F158" s="54">
        <f>IF(ISERROR(INDEX(data!$A$12:$AI$213,MATCH(HLOOKUP('II. Sledování projektu'!$L$5,vstupy!$N$2:$BY$180,$B158+1,0),data!$B$12:$B$213,0),28)),"",INDEX(data!$A$12:$AI$213,MATCH(HLOOKUP('II. Sledování projektu'!$L$5,vstupy!$N$2:$BY$180,$B158+1,0),data!$B$12:$B$213,0),28))</f>
        <v>757081.73</v>
      </c>
      <c r="G158" s="53">
        <f t="shared" si="15"/>
        <v>0.28542087682987055</v>
      </c>
      <c r="H158" s="53">
        <f>IF(ISERROR(INDEX(data!$A$12:$AI$213,MATCH(HLOOKUP('II. Sledování projektu'!$L$5,vstupy!$N$2:$BY$180,$B158+1,0),data!$B$12:$B$213,0),29)),"",INDEX(data!$A$12:$AI$213,MATCH(HLOOKUP('II. Sledování projektu'!$L$5,vstupy!$N$2:$BY$180,$B158+1,0),data!$B$12:$B$213,0),29))</f>
        <v>0.2535</v>
      </c>
      <c r="I158" s="54">
        <f>IF(ISERROR(INDEX(data!$A$12:$AI$213,MATCH(HLOOKUP('II. Sledování projektu'!$L$5,vstupy!$N$2:$BY$180,$B158+1,0),data!$B$12:$B$213,0),31)),"",INDEX(data!$A$12:$AI$213,MATCH(HLOOKUP('II. Sledování projektu'!$L$5,vstupy!$N$2:$BY$180,$B158+1,0),data!$B$12:$B$213,0),31))</f>
        <v>104655.52</v>
      </c>
      <c r="J158" s="53">
        <f t="shared" si="16"/>
        <v>3.945527820818772E-2</v>
      </c>
      <c r="K158" s="53">
        <f t="shared" si="18"/>
        <v>0.15564212310922176</v>
      </c>
      <c r="L158" s="54">
        <f>IF(ISERROR(INDEX(data!$A$12:$AI$213,MATCH(HLOOKUP('II. Sledování projektu'!$L$5,vstupy!$N$2:$BY$180,$B158+1,0),data!$B$12:$B$213,0),32)),"",INDEX(data!$A$12:$AI$213,MATCH(HLOOKUP('II. Sledování projektu'!$L$5,vstupy!$N$2:$BY$180,$B158+1,0),data!$B$12:$B$213,0),32))</f>
        <v>47106.399999999994</v>
      </c>
      <c r="M158" s="53">
        <f t="shared" si="14"/>
        <v>0.31039670557673493</v>
      </c>
      <c r="N158" s="54">
        <f>IF(ISERROR(VLOOKUP(C158,data!$C$12:$AD$213,28,0)),0,VLOOKUP(C158,data!$C$12:$AD$213,28,0))</f>
        <v>672411.28500000003</v>
      </c>
    </row>
    <row r="159" spans="2:14" x14ac:dyDescent="0.2">
      <c r="B159" s="19">
        <f t="shared" si="17"/>
        <v>154</v>
      </c>
      <c r="C159" s="19" t="str">
        <f>IF(ISERROR(INDEX(data!$A$12:$AI$213,MATCH(HLOOKUP('II. Sledování projektu'!$L$5,vstupy!$N$2:$BY$180,$B159+1,0),data!$B$12:$B$213,0),3)),"",INDEX(data!$A$12:$AI$213,MATCH(HLOOKUP('II. Sledování projektu'!$L$5,vstupy!$N$2:$BY$180,$B159+1,0),data!$B$12:$B$213,0),3))</f>
        <v>ZŠ O-Poruba, Dětská</v>
      </c>
      <c r="D159" s="156">
        <f>IF(ISERROR(INDEX(data!$A$12:$AI$213,MATCH(HLOOKUP('II. Sledování projektu'!$L$5,vstupy!$N$2:$BY$180,$B159+1,0),data!$B$12:$B$213,0),35)),"",INDEX(data!$A$12:$AI$213,MATCH(HLOOKUP('II. Sledování projektu'!$L$5,vstupy!$N$2:$BY$180,$B159+1,0),data!$B$12:$B$213,0),35))</f>
        <v>87.996279132791329</v>
      </c>
      <c r="E159" s="49">
        <f>IF(ISERROR(INDEX(data!$A$12:$AI$213,MATCH(HLOOKUP('II. Sledování projektu'!$L$5,vstupy!$N$2:$BY$180,$B159+1,0),data!$B$12:$B$213,0),27)),"",INDEX(data!$A$12:$AI$213,MATCH(HLOOKUP('II. Sledování projektu'!$L$5,vstupy!$N$2:$BY$180,$B159+1,0),data!$B$12:$B$213,0),27))</f>
        <v>922500</v>
      </c>
      <c r="F159" s="54">
        <f>IF(ISERROR(INDEX(data!$A$12:$AI$213,MATCH(HLOOKUP('II. Sledování projektu'!$L$5,vstupy!$N$2:$BY$180,$B159+1,0),data!$B$12:$B$213,0),28)),"",INDEX(data!$A$12:$AI$213,MATCH(HLOOKUP('II. Sledování projektu'!$L$5,vstupy!$N$2:$BY$180,$B159+1,0),data!$B$12:$B$213,0),28))</f>
        <v>516531.35</v>
      </c>
      <c r="G159" s="53">
        <f t="shared" si="15"/>
        <v>0.55992558265582648</v>
      </c>
      <c r="H159" s="53">
        <f>IF(ISERROR(INDEX(data!$A$12:$AI$213,MATCH(HLOOKUP('II. Sledování projektu'!$L$5,vstupy!$N$2:$BY$180,$B159+1,0),data!$B$12:$B$213,0),29)),"",INDEX(data!$A$12:$AI$213,MATCH(HLOOKUP('II. Sledování projektu'!$L$5,vstupy!$N$2:$BY$180,$B159+1,0),data!$B$12:$B$213,0),29))</f>
        <v>6.4199999999999993E-2</v>
      </c>
      <c r="I159" s="54">
        <f>IF(ISERROR(INDEX(data!$A$12:$AI$213,MATCH(HLOOKUP('II. Sledování projektu'!$L$5,vstupy!$N$2:$BY$180,$B159+1,0),data!$B$12:$B$213,0),31)),"",INDEX(data!$A$12:$AI$213,MATCH(HLOOKUP('II. Sledování projektu'!$L$5,vstupy!$N$2:$BY$180,$B159+1,0),data!$B$12:$B$213,0),31))</f>
        <v>66660.67</v>
      </c>
      <c r="J159" s="53">
        <f t="shared" si="16"/>
        <v>7.2260888888888888E-2</v>
      </c>
      <c r="K159" s="53">
        <f t="shared" si="18"/>
        <v>1.1255590169608862</v>
      </c>
      <c r="L159" s="54">
        <f>IF(ISERROR(INDEX(data!$A$12:$AI$213,MATCH(HLOOKUP('II. Sledování projektu'!$L$5,vstupy!$N$2:$BY$180,$B159+1,0),data!$B$12:$B$213,0),32)),"",INDEX(data!$A$12:$AI$213,MATCH(HLOOKUP('II. Sledování projektu'!$L$5,vstupy!$N$2:$BY$180,$B159+1,0),data!$B$12:$B$213,0),32))</f>
        <v>42526.670000000006</v>
      </c>
      <c r="M159" s="53">
        <f t="shared" si="14"/>
        <v>0.38948352437196482</v>
      </c>
      <c r="N159" s="54">
        <f>IF(ISERROR(VLOOKUP(C159,data!$C$12:$AD$213,28,0)),0,VLOOKUP(C159,data!$C$12:$AD$213,28,0))</f>
        <v>59224.499999999993</v>
      </c>
    </row>
    <row r="160" spans="2:14" x14ac:dyDescent="0.2">
      <c r="B160" s="19">
        <f t="shared" si="17"/>
        <v>155</v>
      </c>
      <c r="C160" s="19" t="str">
        <f>IF(ISERROR(INDEX(data!$A$12:$AI$213,MATCH(HLOOKUP('II. Sledování projektu'!$L$5,vstupy!$N$2:$BY$180,$B160+1,0),data!$B$12:$B$213,0),3)),"",INDEX(data!$A$12:$AI$213,MATCH(HLOOKUP('II. Sledování projektu'!$L$5,vstupy!$N$2:$BY$180,$B160+1,0),data!$B$12:$B$213,0),3))</f>
        <v>ZŠ O-Poruba, I.Sekaniny</v>
      </c>
      <c r="D160" s="156">
        <f>IF(ISERROR(INDEX(data!$A$12:$AI$213,MATCH(HLOOKUP('II. Sledování projektu'!$L$5,vstupy!$N$2:$BY$180,$B160+1,0),data!$B$12:$B$213,0),35)),"",INDEX(data!$A$12:$AI$213,MATCH(HLOOKUP('II. Sledování projektu'!$L$5,vstupy!$N$2:$BY$180,$B160+1,0),data!$B$12:$B$213,0),35))</f>
        <v>61.160588106753686</v>
      </c>
      <c r="E160" s="49">
        <f>IF(ISERROR(INDEX(data!$A$12:$AI$213,MATCH(HLOOKUP('II. Sledování projektu'!$L$5,vstupy!$N$2:$BY$180,$B160+1,0),data!$B$12:$B$213,0),27)),"",INDEX(data!$A$12:$AI$213,MATCH(HLOOKUP('II. Sledování projektu'!$L$5,vstupy!$N$2:$BY$180,$B160+1,0),data!$B$12:$B$213,0),27))</f>
        <v>2768800</v>
      </c>
      <c r="F160" s="54">
        <f>IF(ISERROR(INDEX(data!$A$12:$AI$213,MATCH(HLOOKUP('II. Sledování projektu'!$L$5,vstupy!$N$2:$BY$180,$B160+1,0),data!$B$12:$B$213,0),28)),"",INDEX(data!$A$12:$AI$213,MATCH(HLOOKUP('II. Sledování projektu'!$L$5,vstupy!$N$2:$BY$180,$B160+1,0),data!$B$12:$B$213,0),28))</f>
        <v>949527.61</v>
      </c>
      <c r="G160" s="53">
        <f t="shared" si="15"/>
        <v>0.34293831623808146</v>
      </c>
      <c r="H160" s="53">
        <f>IF(ISERROR(INDEX(data!$A$12:$AI$213,MATCH(HLOOKUP('II. Sledování projektu'!$L$5,vstupy!$N$2:$BY$180,$B160+1,0),data!$B$12:$B$213,0),29)),"",INDEX(data!$A$12:$AI$213,MATCH(HLOOKUP('II. Sledování projektu'!$L$5,vstupy!$N$2:$BY$180,$B160+1,0),data!$B$12:$B$213,0),29))</f>
        <v>0.24529999999999999</v>
      </c>
      <c r="I160" s="54">
        <f>IF(ISERROR(INDEX(data!$A$12:$AI$213,MATCH(HLOOKUP('II. Sledování projektu'!$L$5,vstupy!$N$2:$BY$180,$B160+1,0),data!$B$12:$B$213,0),31)),"",INDEX(data!$A$12:$AI$213,MATCH(HLOOKUP('II. Sledování projektu'!$L$5,vstupy!$N$2:$BY$180,$B160+1,0),data!$B$12:$B$213,0),31))</f>
        <v>498224.97</v>
      </c>
      <c r="J160" s="53">
        <f t="shared" si="16"/>
        <v>0.1799425635654435</v>
      </c>
      <c r="K160" s="53">
        <f t="shared" si="18"/>
        <v>0.73356120491416021</v>
      </c>
      <c r="L160" s="54">
        <f>IF(ISERROR(INDEX(data!$A$12:$AI$213,MATCH(HLOOKUP('II. Sledování projektu'!$L$5,vstupy!$N$2:$BY$180,$B160+1,0),data!$B$12:$B$213,0),32)),"",INDEX(data!$A$12:$AI$213,MATCH(HLOOKUP('II. Sledování projektu'!$L$5,vstupy!$N$2:$BY$180,$B160+1,0),data!$B$12:$B$213,0),32))</f>
        <v>141659.26999999999</v>
      </c>
      <c r="M160" s="53">
        <f t="shared" si="14"/>
        <v>0.22138265196217363</v>
      </c>
      <c r="N160" s="54">
        <f>IF(ISERROR(VLOOKUP(C160,data!$C$12:$AD$213,28,0)),0,VLOOKUP(C160,data!$C$12:$AD$213,28,0))</f>
        <v>679186.64</v>
      </c>
    </row>
    <row r="161" spans="2:14" x14ac:dyDescent="0.2">
      <c r="B161" s="19">
        <f t="shared" si="17"/>
        <v>156</v>
      </c>
      <c r="C161" s="19" t="str">
        <f>IF(ISERROR(INDEX(data!$A$12:$AI$213,MATCH(HLOOKUP('II. Sledování projektu'!$L$5,vstupy!$N$2:$BY$180,$B161+1,0),data!$B$12:$B$213,0),3)),"",INDEX(data!$A$12:$AI$213,MATCH(HLOOKUP('II. Sledování projektu'!$L$5,vstupy!$N$2:$BY$180,$B161+1,0),data!$B$12:$B$213,0),3))</f>
        <v>ZŠ O-Poruba, J.Šoupala</v>
      </c>
      <c r="D161" s="156">
        <f>IF(ISERROR(INDEX(data!$A$12:$AI$213,MATCH(HLOOKUP('II. Sledování projektu'!$L$5,vstupy!$N$2:$BY$180,$B161+1,0),data!$B$12:$B$213,0),35)),"",INDEX(data!$A$12:$AI$213,MATCH(HLOOKUP('II. Sledování projektu'!$L$5,vstupy!$N$2:$BY$180,$B161+1,0),data!$B$12:$B$213,0),35))</f>
        <v>45.897499234317387</v>
      </c>
      <c r="E161" s="49">
        <f>IF(ISERROR(INDEX(data!$A$12:$AI$213,MATCH(HLOOKUP('II. Sledování projektu'!$L$5,vstupy!$N$2:$BY$180,$B161+1,0),data!$B$12:$B$213,0),27)),"",INDEX(data!$A$12:$AI$213,MATCH(HLOOKUP('II. Sledování projektu'!$L$5,vstupy!$N$2:$BY$180,$B161+1,0),data!$B$12:$B$213,0),27))</f>
        <v>2125500</v>
      </c>
      <c r="F161" s="54">
        <f>IF(ISERROR(INDEX(data!$A$12:$AI$213,MATCH(HLOOKUP('II. Sledování projektu'!$L$5,vstupy!$N$2:$BY$180,$B161+1,0),data!$B$12:$B$213,0),28)),"",INDEX(data!$A$12:$AI$213,MATCH(HLOOKUP('II. Sledování projektu'!$L$5,vstupy!$N$2:$BY$180,$B161+1,0),data!$B$12:$B$213,0),28))</f>
        <v>1053907.1100000001</v>
      </c>
      <c r="G161" s="53">
        <f t="shared" si="15"/>
        <v>0.49583961891319694</v>
      </c>
      <c r="H161" s="53">
        <f>IF(ISERROR(INDEX(data!$A$12:$AI$213,MATCH(HLOOKUP('II. Sledování projektu'!$L$5,vstupy!$N$2:$BY$180,$B161+1,0),data!$B$12:$B$213,0),29)),"",INDEX(data!$A$12:$AI$213,MATCH(HLOOKUP('II. Sledování projektu'!$L$5,vstupy!$N$2:$BY$180,$B161+1,0),data!$B$12:$B$213,0),29))</f>
        <v>0.1983</v>
      </c>
      <c r="I161" s="54">
        <f>IF(ISERROR(INDEX(data!$A$12:$AI$213,MATCH(HLOOKUP('II. Sledování projektu'!$L$5,vstupy!$N$2:$BY$180,$B161+1,0),data!$B$12:$B$213,0),31)),"",INDEX(data!$A$12:$AI$213,MATCH(HLOOKUP('II. Sledování projektu'!$L$5,vstupy!$N$2:$BY$180,$B161+1,0),data!$B$12:$B$213,0),31))</f>
        <v>148261.57</v>
      </c>
      <c r="J161" s="53">
        <f t="shared" si="16"/>
        <v>6.9753737944013183E-2</v>
      </c>
      <c r="K161" s="53">
        <f t="shared" si="18"/>
        <v>0.35175863814429237</v>
      </c>
      <c r="L161" s="54">
        <f>IF(ISERROR(INDEX(data!$A$12:$AI$213,MATCH(HLOOKUP('II. Sledování projektu'!$L$5,vstupy!$N$2:$BY$180,$B161+1,0),data!$B$12:$B$213,0),32)),"",INDEX(data!$A$12:$AI$213,MATCH(HLOOKUP('II. Sledování projektu'!$L$5,vstupy!$N$2:$BY$180,$B161+1,0),data!$B$12:$B$213,0),32))</f>
        <v>63972.33</v>
      </c>
      <c r="M161" s="53">
        <f t="shared" si="14"/>
        <v>0.30142371223447334</v>
      </c>
      <c r="N161" s="54">
        <f>IF(ISERROR(VLOOKUP(C161,data!$C$12:$AD$213,28,0)),0,VLOOKUP(C161,data!$C$12:$AD$213,28,0))</f>
        <v>421486.65</v>
      </c>
    </row>
    <row r="162" spans="2:14" x14ac:dyDescent="0.2">
      <c r="B162" s="19">
        <f t="shared" si="17"/>
        <v>157</v>
      </c>
      <c r="C162" s="19" t="str">
        <f>IF(ISERROR(INDEX(data!$A$12:$AI$213,MATCH(HLOOKUP('II. Sledování projektu'!$L$5,vstupy!$N$2:$BY$180,$B162+1,0),data!$B$12:$B$213,0),3)),"",INDEX(data!$A$12:$AI$213,MATCH(HLOOKUP('II. Sledování projektu'!$L$5,vstupy!$N$2:$BY$180,$B162+1,0),data!$B$12:$B$213,0),3))</f>
        <v>ZŠ O-Poruba, J.Valčíka</v>
      </c>
      <c r="D162" s="156">
        <f>IF(ISERROR(INDEX(data!$A$12:$AI$213,MATCH(HLOOKUP('II. Sledování projektu'!$L$5,vstupy!$N$2:$BY$180,$B162+1,0),data!$B$12:$B$213,0),35)),"",INDEX(data!$A$12:$AI$213,MATCH(HLOOKUP('II. Sledování projektu'!$L$5,vstupy!$N$2:$BY$180,$B162+1,0),data!$B$12:$B$213,0),35))</f>
        <v>35.779030477289076</v>
      </c>
      <c r="E162" s="49">
        <f>IF(ISERROR(INDEX(data!$A$12:$AI$213,MATCH(HLOOKUP('II. Sledování projektu'!$L$5,vstupy!$N$2:$BY$180,$B162+1,0),data!$B$12:$B$213,0),27)),"",INDEX(data!$A$12:$AI$213,MATCH(HLOOKUP('II. Sledování projektu'!$L$5,vstupy!$N$2:$BY$180,$B162+1,0),data!$B$12:$B$213,0),27))</f>
        <v>2205200</v>
      </c>
      <c r="F162" s="54">
        <f>IF(ISERROR(INDEX(data!$A$12:$AI$213,MATCH(HLOOKUP('II. Sledování projektu'!$L$5,vstupy!$N$2:$BY$180,$B162+1,0),data!$B$12:$B$213,0),28)),"",INDEX(data!$A$12:$AI$213,MATCH(HLOOKUP('II. Sledování projektu'!$L$5,vstupy!$N$2:$BY$180,$B162+1,0),data!$B$12:$B$213,0),28))</f>
        <v>223050.66</v>
      </c>
      <c r="G162" s="53">
        <f t="shared" si="15"/>
        <v>0.10114758752040631</v>
      </c>
      <c r="H162" s="53">
        <f>IF(ISERROR(INDEX(data!$A$12:$AI$213,MATCH(HLOOKUP('II. Sledování projektu'!$L$5,vstupy!$N$2:$BY$180,$B162+1,0),data!$B$12:$B$213,0),29)),"",INDEX(data!$A$12:$AI$213,MATCH(HLOOKUP('II. Sledování projektu'!$L$5,vstupy!$N$2:$BY$180,$B162+1,0),data!$B$12:$B$213,0),29))</f>
        <v>0.23480000000000001</v>
      </c>
      <c r="I162" s="54">
        <f>IF(ISERROR(INDEX(data!$A$12:$AI$213,MATCH(HLOOKUP('II. Sledování projektu'!$L$5,vstupy!$N$2:$BY$180,$B162+1,0),data!$B$12:$B$213,0),31)),"",INDEX(data!$A$12:$AI$213,MATCH(HLOOKUP('II. Sledování projektu'!$L$5,vstupy!$N$2:$BY$180,$B162+1,0),data!$B$12:$B$213,0),31))</f>
        <v>265118.09999999998</v>
      </c>
      <c r="J162" s="53">
        <f t="shared" si="16"/>
        <v>0.12022406130963177</v>
      </c>
      <c r="K162" s="53">
        <f t="shared" si="18"/>
        <v>0.51202751835447935</v>
      </c>
      <c r="L162" s="54">
        <f>IF(ISERROR(INDEX(data!$A$12:$AI$213,MATCH(HLOOKUP('II. Sledování projektu'!$L$5,vstupy!$N$2:$BY$180,$B162+1,0),data!$B$12:$B$213,0),32)),"",INDEX(data!$A$12:$AI$213,MATCH(HLOOKUP('II. Sledování projektu'!$L$5,vstupy!$N$2:$BY$180,$B162+1,0),data!$B$12:$B$213,0),32))</f>
        <v>68442.459999999992</v>
      </c>
      <c r="M162" s="53">
        <f t="shared" si="14"/>
        <v>0.20518750777969674</v>
      </c>
      <c r="N162" s="54">
        <f>IF(ISERROR(VLOOKUP(C162,data!$C$12:$AD$213,28,0)),0,VLOOKUP(C162,data!$C$12:$AD$213,28,0))</f>
        <v>517780.96</v>
      </c>
    </row>
    <row r="163" spans="2:14" x14ac:dyDescent="0.2">
      <c r="B163" s="19">
        <f t="shared" si="17"/>
        <v>158</v>
      </c>
      <c r="C163" s="19" t="str">
        <f>IF(ISERROR(INDEX(data!$A$12:$AI$213,MATCH(HLOOKUP('II. Sledování projektu'!$L$5,vstupy!$N$2:$BY$180,$B163+1,0),data!$B$12:$B$213,0),3)),"",INDEX(data!$A$12:$AI$213,MATCH(HLOOKUP('II. Sledování projektu'!$L$5,vstupy!$N$2:$BY$180,$B163+1,0),data!$B$12:$B$213,0),3))</f>
        <v>ZŠ O-Poruba, K.Pokorného</v>
      </c>
      <c r="D163" s="156">
        <f>IF(ISERROR(INDEX(data!$A$12:$AI$213,MATCH(HLOOKUP('II. Sledování projektu'!$L$5,vstupy!$N$2:$BY$180,$B163+1,0),data!$B$12:$B$213,0),35)),"",INDEX(data!$A$12:$AI$213,MATCH(HLOOKUP('II. Sledování projektu'!$L$5,vstupy!$N$2:$BY$180,$B163+1,0),data!$B$12:$B$213,0),35))</f>
        <v>21.24169101552156</v>
      </c>
      <c r="E163" s="49">
        <f>IF(ISERROR(INDEX(data!$A$12:$AI$213,MATCH(HLOOKUP('II. Sledování projektu'!$L$5,vstupy!$N$2:$BY$180,$B163+1,0),data!$B$12:$B$213,0),27)),"",INDEX(data!$A$12:$AI$213,MATCH(HLOOKUP('II. Sledování projektu'!$L$5,vstupy!$N$2:$BY$180,$B163+1,0),data!$B$12:$B$213,0),27))</f>
        <v>2767500</v>
      </c>
      <c r="F163" s="54">
        <f>IF(ISERROR(INDEX(data!$A$12:$AI$213,MATCH(HLOOKUP('II. Sledování projektu'!$L$5,vstupy!$N$2:$BY$180,$B163+1,0),data!$B$12:$B$213,0),28)),"",INDEX(data!$A$12:$AI$213,MATCH(HLOOKUP('II. Sledování projektu'!$L$5,vstupy!$N$2:$BY$180,$B163+1,0),data!$B$12:$B$213,0),28))</f>
        <v>880368.08000000007</v>
      </c>
      <c r="G163" s="53">
        <f t="shared" si="15"/>
        <v>0.3181095140018067</v>
      </c>
      <c r="H163" s="53">
        <f>IF(ISERROR(INDEX(data!$A$12:$AI$213,MATCH(HLOOKUP('II. Sledování projektu'!$L$5,vstupy!$N$2:$BY$180,$B163+1,0),data!$B$12:$B$213,0),29)),"",INDEX(data!$A$12:$AI$213,MATCH(HLOOKUP('II. Sledování projektu'!$L$5,vstupy!$N$2:$BY$180,$B163+1,0),data!$B$12:$B$213,0),29))</f>
        <v>0.26540000000000002</v>
      </c>
      <c r="I163" s="54">
        <f>IF(ISERROR(INDEX(data!$A$12:$AI$213,MATCH(HLOOKUP('II. Sledování projektu'!$L$5,vstupy!$N$2:$BY$180,$B163+1,0),data!$B$12:$B$213,0),31)),"",INDEX(data!$A$12:$AI$213,MATCH(HLOOKUP('II. Sledování projektu'!$L$5,vstupy!$N$2:$BY$180,$B163+1,0),data!$B$12:$B$213,0),31))</f>
        <v>65323.68</v>
      </c>
      <c r="J163" s="53">
        <f t="shared" si="16"/>
        <v>2.3603859078590785E-2</v>
      </c>
      <c r="K163" s="53">
        <f t="shared" si="18"/>
        <v>8.8936921923853746E-2</v>
      </c>
      <c r="L163" s="54">
        <f>IF(ISERROR(INDEX(data!$A$12:$AI$213,MATCH(HLOOKUP('II. Sledování projektu'!$L$5,vstupy!$N$2:$BY$180,$B163+1,0),data!$B$12:$B$213,0),32)),"",INDEX(data!$A$12:$AI$213,MATCH(HLOOKUP('II. Sledování projektu'!$L$5,vstupy!$N$2:$BY$180,$B163+1,0),data!$B$12:$B$213,0),32))</f>
        <v>50384.700000000004</v>
      </c>
      <c r="M163" s="53">
        <f t="shared" si="14"/>
        <v>0.43544555718436301</v>
      </c>
      <c r="N163" s="54">
        <f>IF(ISERROR(VLOOKUP(C163,data!$C$12:$AD$213,28,0)),0,VLOOKUP(C163,data!$C$12:$AD$213,28,0))</f>
        <v>734494.50000000012</v>
      </c>
    </row>
    <row r="164" spans="2:14" x14ac:dyDescent="0.2">
      <c r="B164" s="19">
        <f t="shared" si="17"/>
        <v>159</v>
      </c>
      <c r="C164" s="19" t="str">
        <f>IF(ISERROR(INDEX(data!$A$12:$AI$213,MATCH(HLOOKUP('II. Sledování projektu'!$L$5,vstupy!$N$2:$BY$180,$B164+1,0),data!$B$12:$B$213,0),3)),"",INDEX(data!$A$12:$AI$213,MATCH(HLOOKUP('II. Sledování projektu'!$L$5,vstupy!$N$2:$BY$180,$B164+1,0),data!$B$12:$B$213,0),3))</f>
        <v>ZŠ O-Poruba, Komenského</v>
      </c>
      <c r="D164" s="156">
        <f>IF(ISERROR(INDEX(data!$A$12:$AI$213,MATCH(HLOOKUP('II. Sledování projektu'!$L$5,vstupy!$N$2:$BY$180,$B164+1,0),data!$B$12:$B$213,0),35)),"",INDEX(data!$A$12:$AI$213,MATCH(HLOOKUP('II. Sledování projektu'!$L$5,vstupy!$N$2:$BY$180,$B164+1,0),data!$B$12:$B$213,0),35))</f>
        <v>83.715842406674199</v>
      </c>
      <c r="E164" s="49">
        <f>IF(ISERROR(INDEX(data!$A$12:$AI$213,MATCH(HLOOKUP('II. Sledování projektu'!$L$5,vstupy!$N$2:$BY$180,$B164+1,0),data!$B$12:$B$213,0),27)),"",INDEX(data!$A$12:$AI$213,MATCH(HLOOKUP('II. Sledování projektu'!$L$5,vstupy!$N$2:$BY$180,$B164+1,0),data!$B$12:$B$213,0),27))</f>
        <v>2432000</v>
      </c>
      <c r="F164" s="54">
        <f>IF(ISERROR(INDEX(data!$A$12:$AI$213,MATCH(HLOOKUP('II. Sledování projektu'!$L$5,vstupy!$N$2:$BY$180,$B164+1,0),data!$B$12:$B$213,0),28)),"",INDEX(data!$A$12:$AI$213,MATCH(HLOOKUP('II. Sledování projektu'!$L$5,vstupy!$N$2:$BY$180,$B164+1,0),data!$B$12:$B$213,0),28))</f>
        <v>2227584.44</v>
      </c>
      <c r="G164" s="53">
        <f t="shared" si="15"/>
        <v>0.91594754934210521</v>
      </c>
      <c r="H164" s="53">
        <f>IF(ISERROR(INDEX(data!$A$12:$AI$213,MATCH(HLOOKUP('II. Sledování projektu'!$L$5,vstupy!$N$2:$BY$180,$B164+1,0),data!$B$12:$B$213,0),29)),"",INDEX(data!$A$12:$AI$213,MATCH(HLOOKUP('II. Sledování projektu'!$L$5,vstupy!$N$2:$BY$180,$B164+1,0),data!$B$12:$B$213,0),29))</f>
        <v>0.17680000000000001</v>
      </c>
      <c r="I164" s="54">
        <f>IF(ISERROR(INDEX(data!$A$12:$AI$213,MATCH(HLOOKUP('II. Sledování projektu'!$L$5,vstupy!$N$2:$BY$180,$B164+1,0),data!$B$12:$B$213,0),31)),"",INDEX(data!$A$12:$AI$213,MATCH(HLOOKUP('II. Sledování projektu'!$L$5,vstupy!$N$2:$BY$180,$B164+1,0),data!$B$12:$B$213,0),31))</f>
        <v>313280.55</v>
      </c>
      <c r="J164" s="53">
        <f t="shared" si="16"/>
        <v>0.128816015625</v>
      </c>
      <c r="K164" s="53">
        <f t="shared" si="18"/>
        <v>0.7285973734445701</v>
      </c>
      <c r="L164" s="54">
        <f>IF(ISERROR(INDEX(data!$A$12:$AI$213,MATCH(HLOOKUP('II. Sledování projektu'!$L$5,vstupy!$N$2:$BY$180,$B164+1,0),data!$B$12:$B$213,0),32)),"",INDEX(data!$A$12:$AI$213,MATCH(HLOOKUP('II. Sledování projektu'!$L$5,vstupy!$N$2:$BY$180,$B164+1,0),data!$B$12:$B$213,0),32))</f>
        <v>93802.68</v>
      </c>
      <c r="M164" s="53">
        <f t="shared" si="14"/>
        <v>0.2304262939055485</v>
      </c>
      <c r="N164" s="54">
        <f>IF(ISERROR(VLOOKUP(C164,data!$C$12:$AD$213,28,0)),0,VLOOKUP(C164,data!$C$12:$AD$213,28,0))</f>
        <v>429977.60000000003</v>
      </c>
    </row>
    <row r="165" spans="2:14" x14ac:dyDescent="0.2">
      <c r="B165" s="19">
        <f t="shared" si="17"/>
        <v>160</v>
      </c>
      <c r="C165" s="19" t="str">
        <f>IF(ISERROR(INDEX(data!$A$12:$AI$213,MATCH(HLOOKUP('II. Sledování projektu'!$L$5,vstupy!$N$2:$BY$180,$B165+1,0),data!$B$12:$B$213,0),3)),"",INDEX(data!$A$12:$AI$213,MATCH(HLOOKUP('II. Sledování projektu'!$L$5,vstupy!$N$2:$BY$180,$B165+1,0),data!$B$12:$B$213,0),3))</f>
        <v>ZŠ O-Poruba, Porubská 832</v>
      </c>
      <c r="D165" s="156">
        <f>IF(ISERROR(INDEX(data!$A$12:$AI$213,MATCH(HLOOKUP('II. Sledování projektu'!$L$5,vstupy!$N$2:$BY$180,$B165+1,0),data!$B$12:$B$213,0),35)),"",INDEX(data!$A$12:$AI$213,MATCH(HLOOKUP('II. Sledování projektu'!$L$5,vstupy!$N$2:$BY$180,$B165+1,0),data!$B$12:$B$213,0),35))</f>
        <v>70.689667553627615</v>
      </c>
      <c r="E165" s="49">
        <f>IF(ISERROR(INDEX(data!$A$12:$AI$213,MATCH(HLOOKUP('II. Sledování projektu'!$L$5,vstupy!$N$2:$BY$180,$B165+1,0),data!$B$12:$B$213,0),27)),"",INDEX(data!$A$12:$AI$213,MATCH(HLOOKUP('II. Sledování projektu'!$L$5,vstupy!$N$2:$BY$180,$B165+1,0),data!$B$12:$B$213,0),27))</f>
        <v>2523000</v>
      </c>
      <c r="F165" s="54">
        <f>IF(ISERROR(INDEX(data!$A$12:$AI$213,MATCH(HLOOKUP('II. Sledování projektu'!$L$5,vstupy!$N$2:$BY$180,$B165+1,0),data!$B$12:$B$213,0),28)),"",INDEX(data!$A$12:$AI$213,MATCH(HLOOKUP('II. Sledování projektu'!$L$5,vstupy!$N$2:$BY$180,$B165+1,0),data!$B$12:$B$213,0),28))</f>
        <v>687613.81</v>
      </c>
      <c r="G165" s="53">
        <f t="shared" si="15"/>
        <v>0.27253817281014669</v>
      </c>
      <c r="H165" s="53">
        <f>IF(ISERROR(INDEX(data!$A$12:$AI$213,MATCH(HLOOKUP('II. Sledování projektu'!$L$5,vstupy!$N$2:$BY$180,$B165+1,0),data!$B$12:$B$213,0),29)),"",INDEX(data!$A$12:$AI$213,MATCH(HLOOKUP('II. Sledování projektu'!$L$5,vstupy!$N$2:$BY$180,$B165+1,0),data!$B$12:$B$213,0),29))</f>
        <v>0.25209999999999999</v>
      </c>
      <c r="I165" s="54">
        <f>IF(ISERROR(INDEX(data!$A$12:$AI$213,MATCH(HLOOKUP('II. Sledování projektu'!$L$5,vstupy!$N$2:$BY$180,$B165+1,0),data!$B$12:$B$213,0),31)),"",INDEX(data!$A$12:$AI$213,MATCH(HLOOKUP('II. Sledování projektu'!$L$5,vstupy!$N$2:$BY$180,$B165+1,0),data!$B$12:$B$213,0),31))</f>
        <v>604911.17999999993</v>
      </c>
      <c r="J165" s="53">
        <f t="shared" si="16"/>
        <v>0.23975869203329367</v>
      </c>
      <c r="K165" s="53">
        <f t="shared" si="18"/>
        <v>0.95104598188533795</v>
      </c>
      <c r="L165" s="54">
        <f>IF(ISERROR(INDEX(data!$A$12:$AI$213,MATCH(HLOOKUP('II. Sledování projektu'!$L$5,vstupy!$N$2:$BY$180,$B165+1,0),data!$B$12:$B$213,0),32)),"",INDEX(data!$A$12:$AI$213,MATCH(HLOOKUP('II. Sledování projektu'!$L$5,vstupy!$N$2:$BY$180,$B165+1,0),data!$B$12:$B$213,0),32))</f>
        <v>169787.08</v>
      </c>
      <c r="M165" s="53">
        <f t="shared" si="14"/>
        <v>0.21916543351988427</v>
      </c>
      <c r="N165" s="54">
        <f>IF(ISERROR(VLOOKUP(C165,data!$C$12:$AD$213,28,0)),0,VLOOKUP(C165,data!$C$12:$AD$213,28,0))</f>
        <v>636048.29999999993</v>
      </c>
    </row>
    <row r="166" spans="2:14" x14ac:dyDescent="0.2">
      <c r="B166" s="19">
        <f t="shared" si="17"/>
        <v>161</v>
      </c>
      <c r="C166" s="19" t="str">
        <f>IF(ISERROR(INDEX(data!$A$12:$AI$213,MATCH(HLOOKUP('II. Sledování projektu'!$L$5,vstupy!$N$2:$BY$180,$B166+1,0),data!$B$12:$B$213,0),3)),"",INDEX(data!$A$12:$AI$213,MATCH(HLOOKUP('II. Sledování projektu'!$L$5,vstupy!$N$2:$BY$180,$B166+1,0),data!$B$12:$B$213,0),3))</f>
        <v>ZŠ O-Poruba, Ukrajinská</v>
      </c>
      <c r="D166" s="156">
        <f>IF(ISERROR(INDEX(data!$A$12:$AI$213,MATCH(HLOOKUP('II. Sledování projektu'!$L$5,vstupy!$N$2:$BY$180,$B166+1,0),data!$B$12:$B$213,0),35)),"",INDEX(data!$A$12:$AI$213,MATCH(HLOOKUP('II. Sledování projektu'!$L$5,vstupy!$N$2:$BY$180,$B166+1,0),data!$B$12:$B$213,0),35))</f>
        <v>62.626519276103579</v>
      </c>
      <c r="E166" s="49">
        <f>IF(ISERROR(INDEX(data!$A$12:$AI$213,MATCH(HLOOKUP('II. Sledování projektu'!$L$5,vstupy!$N$2:$BY$180,$B166+1,0),data!$B$12:$B$213,0),27)),"",INDEX(data!$A$12:$AI$213,MATCH(HLOOKUP('II. Sledování projektu'!$L$5,vstupy!$N$2:$BY$180,$B166+1,0),data!$B$12:$B$213,0),27))</f>
        <v>1714650</v>
      </c>
      <c r="F166" s="54">
        <f>IF(ISERROR(INDEX(data!$A$12:$AI$213,MATCH(HLOOKUP('II. Sledování projektu'!$L$5,vstupy!$N$2:$BY$180,$B166+1,0),data!$B$12:$B$213,0),28)),"",INDEX(data!$A$12:$AI$213,MATCH(HLOOKUP('II. Sledování projektu'!$L$5,vstupy!$N$2:$BY$180,$B166+1,0),data!$B$12:$B$213,0),28))</f>
        <v>166467.70000000001</v>
      </c>
      <c r="G166" s="53">
        <f t="shared" si="15"/>
        <v>9.7085527658705859E-2</v>
      </c>
      <c r="H166" s="53">
        <f>IF(ISERROR(INDEX(data!$A$12:$AI$213,MATCH(HLOOKUP('II. Sledování projektu'!$L$5,vstupy!$N$2:$BY$180,$B166+1,0),data!$B$12:$B$213,0),29)),"",INDEX(data!$A$12:$AI$213,MATCH(HLOOKUP('II. Sledování projektu'!$L$5,vstupy!$N$2:$BY$180,$B166+1,0),data!$B$12:$B$213,0),29))</f>
        <v>0.18210000000000001</v>
      </c>
      <c r="I166" s="54">
        <f>IF(ISERROR(INDEX(data!$A$12:$AI$213,MATCH(HLOOKUP('II. Sledování projektu'!$L$5,vstupy!$N$2:$BY$180,$B166+1,0),data!$B$12:$B$213,0),31)),"",INDEX(data!$A$12:$AI$213,MATCH(HLOOKUP('II. Sledování projektu'!$L$5,vstupy!$N$2:$BY$180,$B166+1,0),data!$B$12:$B$213,0),31))</f>
        <v>300644.59999999998</v>
      </c>
      <c r="J166" s="53">
        <f t="shared" si="16"/>
        <v>0.17533875718076575</v>
      </c>
      <c r="K166" s="53">
        <f t="shared" si="18"/>
        <v>0.96287071488613807</v>
      </c>
      <c r="L166" s="54">
        <f>IF(ISERROR(INDEX(data!$A$12:$AI$213,MATCH(HLOOKUP('II. Sledování projektu'!$L$5,vstupy!$N$2:$BY$180,$B166+1,0),data!$B$12:$B$213,0),32)),"",INDEX(data!$A$12:$AI$213,MATCH(HLOOKUP('II. Sledování projektu'!$L$5,vstupy!$N$2:$BY$180,$B166+1,0),data!$B$12:$B$213,0),32))</f>
        <v>158419.85999999999</v>
      </c>
      <c r="M166" s="53">
        <f t="shared" ref="M166:M181" si="19">IF(ISERROR(L166/I166),0,IF(uspora="A",L166/I166,L166/(I166+L166)))</f>
        <v>0.34509284382415489</v>
      </c>
      <c r="N166" s="54">
        <f>IF(ISERROR(VLOOKUP(C166,data!$C$12:$AD$213,28,0)),0,VLOOKUP(C166,data!$C$12:$AD$213,28,0))</f>
        <v>312237.76500000001</v>
      </c>
    </row>
    <row r="167" spans="2:14" x14ac:dyDescent="0.2">
      <c r="B167" s="19">
        <f t="shared" si="17"/>
        <v>162</v>
      </c>
      <c r="C167" s="19" t="str">
        <f>IF(ISERROR(INDEX(data!$A$12:$AI$213,MATCH(HLOOKUP('II. Sledování projektu'!$L$5,vstupy!$N$2:$BY$180,$B167+1,0),data!$B$12:$B$213,0),3)),"",INDEX(data!$A$12:$AI$213,MATCH(HLOOKUP('II. Sledování projektu'!$L$5,vstupy!$N$2:$BY$180,$B167+1,0),data!$B$12:$B$213,0),3))</f>
        <v>ZŠ O-Radvanice, Vrchlického</v>
      </c>
      <c r="D167" s="156">
        <f>IF(ISERROR(INDEX(data!$A$12:$AI$213,MATCH(HLOOKUP('II. Sledování projektu'!$L$5,vstupy!$N$2:$BY$180,$B167+1,0),data!$B$12:$B$213,0),35)),"",INDEX(data!$A$12:$AI$213,MATCH(HLOOKUP('II. Sledování projektu'!$L$5,vstupy!$N$2:$BY$180,$B167+1,0),data!$B$12:$B$213,0),35))</f>
        <v>69.524546646921934</v>
      </c>
      <c r="E167" s="49">
        <f>IF(ISERROR(INDEX(data!$A$12:$AI$213,MATCH(HLOOKUP('II. Sledování projektu'!$L$5,vstupy!$N$2:$BY$180,$B167+1,0),data!$B$12:$B$213,0),27)),"",INDEX(data!$A$12:$AI$213,MATCH(HLOOKUP('II. Sledování projektu'!$L$5,vstupy!$N$2:$BY$180,$B167+1,0),data!$B$12:$B$213,0),27))</f>
        <v>2363500</v>
      </c>
      <c r="F167" s="54">
        <f>IF(ISERROR(INDEX(data!$A$12:$AI$213,MATCH(HLOOKUP('II. Sledování projektu'!$L$5,vstupy!$N$2:$BY$180,$B167+1,0),data!$B$12:$B$213,0),28)),"",INDEX(data!$A$12:$AI$213,MATCH(HLOOKUP('II. Sledování projektu'!$L$5,vstupy!$N$2:$BY$180,$B167+1,0),data!$B$12:$B$213,0),28))</f>
        <v>450225.32</v>
      </c>
      <c r="G167" s="53">
        <f t="shared" si="15"/>
        <v>0.19049093293843877</v>
      </c>
      <c r="H167" s="53">
        <f>IF(ISERROR(INDEX(data!$A$12:$AI$213,MATCH(HLOOKUP('II. Sledování projektu'!$L$5,vstupy!$N$2:$BY$180,$B167+1,0),data!$B$12:$B$213,0),29)),"",INDEX(data!$A$12:$AI$213,MATCH(HLOOKUP('II. Sledování projektu'!$L$5,vstupy!$N$2:$BY$180,$B167+1,0),data!$B$12:$B$213,0),29))</f>
        <v>0.27689999999999998</v>
      </c>
      <c r="I167" s="54">
        <f>IF(ISERROR(INDEX(data!$A$12:$AI$213,MATCH(HLOOKUP('II. Sledování projektu'!$L$5,vstupy!$N$2:$BY$180,$B167+1,0),data!$B$12:$B$213,0),31)),"",INDEX(data!$A$12:$AI$213,MATCH(HLOOKUP('II. Sledování projektu'!$L$5,vstupy!$N$2:$BY$180,$B167+1,0),data!$B$12:$B$213,0),31))</f>
        <v>904165.95</v>
      </c>
      <c r="J167" s="53">
        <f t="shared" si="16"/>
        <v>0.38255381848952824</v>
      </c>
      <c r="K167" s="53">
        <f t="shared" si="18"/>
        <v>1.3815594745017272</v>
      </c>
      <c r="L167" s="54">
        <f>IF(ISERROR(INDEX(data!$A$12:$AI$213,MATCH(HLOOKUP('II. Sledování projektu'!$L$5,vstupy!$N$2:$BY$180,$B167+1,0),data!$B$12:$B$213,0),32)),"",INDEX(data!$A$12:$AI$213,MATCH(HLOOKUP('II. Sledování projektu'!$L$5,vstupy!$N$2:$BY$180,$B167+1,0),data!$B$12:$B$213,0),32))</f>
        <v>502182.5</v>
      </c>
      <c r="M167" s="53">
        <f t="shared" si="19"/>
        <v>0.35708255660252625</v>
      </c>
      <c r="N167" s="54">
        <f>IF(ISERROR(VLOOKUP(C167,data!$C$12:$AD$213,28,0)),0,VLOOKUP(C167,data!$C$12:$AD$213,28,0))</f>
        <v>654453.14999999991</v>
      </c>
    </row>
    <row r="168" spans="2:14" x14ac:dyDescent="0.2">
      <c r="B168" s="19">
        <f t="shared" si="17"/>
        <v>163</v>
      </c>
      <c r="C168" s="19" t="str">
        <f>IF(ISERROR(INDEX(data!$A$12:$AI$213,MATCH(HLOOKUP('II. Sledování projektu'!$L$5,vstupy!$N$2:$BY$180,$B168+1,0),data!$B$12:$B$213,0),3)),"",INDEX(data!$A$12:$AI$213,MATCH(HLOOKUP('II. Sledování projektu'!$L$5,vstupy!$N$2:$BY$180,$B168+1,0),data!$B$12:$B$213,0),3))</f>
        <v>ZŠ O-Stará Bělá</v>
      </c>
      <c r="D168" s="156">
        <f>IF(ISERROR(INDEX(data!$A$12:$AI$213,MATCH(HLOOKUP('II. Sledování projektu'!$L$5,vstupy!$N$2:$BY$180,$B168+1,0),data!$B$12:$B$213,0),35)),"",INDEX(data!$A$12:$AI$213,MATCH(HLOOKUP('II. Sledování projektu'!$L$5,vstupy!$N$2:$BY$180,$B168+1,0),data!$B$12:$B$213,0),35))</f>
        <v>100</v>
      </c>
      <c r="E168" s="49">
        <f>IF(ISERROR(INDEX(data!$A$12:$AI$213,MATCH(HLOOKUP('II. Sledování projektu'!$L$5,vstupy!$N$2:$BY$180,$B168+1,0),data!$B$12:$B$213,0),27)),"",INDEX(data!$A$12:$AI$213,MATCH(HLOOKUP('II. Sledování projektu'!$L$5,vstupy!$N$2:$BY$180,$B168+1,0),data!$B$12:$B$213,0),27))</f>
        <v>2600250</v>
      </c>
      <c r="F168" s="54">
        <f>IF(ISERROR(INDEX(data!$A$12:$AI$213,MATCH(HLOOKUP('II. Sledování projektu'!$L$5,vstupy!$N$2:$BY$180,$B168+1,0),data!$B$12:$B$213,0),28)),"",INDEX(data!$A$12:$AI$213,MATCH(HLOOKUP('II. Sledování projektu'!$L$5,vstupy!$N$2:$BY$180,$B168+1,0),data!$B$12:$B$213,0),28))</f>
        <v>2264750.5599999996</v>
      </c>
      <c r="G168" s="53">
        <f t="shared" si="15"/>
        <v>0.87097416017690588</v>
      </c>
      <c r="H168" s="53">
        <f>IF(ISERROR(INDEX(data!$A$12:$AI$213,MATCH(HLOOKUP('II. Sledování projektu'!$L$5,vstupy!$N$2:$BY$180,$B168+1,0),data!$B$12:$B$213,0),29)),"",INDEX(data!$A$12:$AI$213,MATCH(HLOOKUP('II. Sledování projektu'!$L$5,vstupy!$N$2:$BY$180,$B168+1,0),data!$B$12:$B$213,0),29))</f>
        <v>0.2802</v>
      </c>
      <c r="I168" s="54">
        <f>IF(ISERROR(INDEX(data!$A$12:$AI$213,MATCH(HLOOKUP('II. Sledování projektu'!$L$5,vstupy!$N$2:$BY$180,$B168+1,0),data!$B$12:$B$213,0),31)),"",INDEX(data!$A$12:$AI$213,MATCH(HLOOKUP('II. Sledování projektu'!$L$5,vstupy!$N$2:$BY$180,$B168+1,0),data!$B$12:$B$213,0),31))</f>
        <v>965203.17999999993</v>
      </c>
      <c r="J168" s="53">
        <f t="shared" si="16"/>
        <v>0.37119630035573498</v>
      </c>
      <c r="K168" s="53">
        <f t="shared" si="18"/>
        <v>1.3247548192567273</v>
      </c>
      <c r="L168" s="54">
        <f>IF(ISERROR(INDEX(data!$A$12:$AI$213,MATCH(HLOOKUP('II. Sledování projektu'!$L$5,vstupy!$N$2:$BY$180,$B168+1,0),data!$B$12:$B$213,0),32)),"",INDEX(data!$A$12:$AI$213,MATCH(HLOOKUP('II. Sledování projektu'!$L$5,vstupy!$N$2:$BY$180,$B168+1,0),data!$B$12:$B$213,0),32))</f>
        <v>220753.15999999997</v>
      </c>
      <c r="M168" s="53">
        <f t="shared" si="19"/>
        <v>0.18613936496178266</v>
      </c>
      <c r="N168" s="54">
        <f>IF(ISERROR(VLOOKUP(C168,data!$C$12:$AD$213,28,0)),0,VLOOKUP(C168,data!$C$12:$AD$213,28,0))</f>
        <v>728590.05</v>
      </c>
    </row>
    <row r="169" spans="2:14" x14ac:dyDescent="0.2">
      <c r="B169" s="19">
        <f t="shared" si="17"/>
        <v>164</v>
      </c>
      <c r="C169" s="19" t="str">
        <f>IF(ISERROR(INDEX(data!$A$12:$AI$213,MATCH(HLOOKUP('II. Sledování projektu'!$L$5,vstupy!$N$2:$BY$180,$B169+1,0),data!$B$12:$B$213,0),3)),"",INDEX(data!$A$12:$AI$213,MATCH(HLOOKUP('II. Sledování projektu'!$L$5,vstupy!$N$2:$BY$180,$B169+1,0),data!$B$12:$B$213,0),3))</f>
        <v>ZŠ O-Vítkovice, Šalounova</v>
      </c>
      <c r="D169" s="156">
        <f>IF(ISERROR(INDEX(data!$A$12:$AI$213,MATCH(HLOOKUP('II. Sledování projektu'!$L$5,vstupy!$N$2:$BY$180,$B169+1,0),data!$B$12:$B$213,0),35)),"",INDEX(data!$A$12:$AI$213,MATCH(HLOOKUP('II. Sledování projektu'!$L$5,vstupy!$N$2:$BY$180,$B169+1,0),data!$B$12:$B$213,0),35))</f>
        <v>72.886961376999267</v>
      </c>
      <c r="E169" s="49">
        <f>IF(ISERROR(INDEX(data!$A$12:$AI$213,MATCH(HLOOKUP('II. Sledování projektu'!$L$5,vstupy!$N$2:$BY$180,$B169+1,0),data!$B$12:$B$213,0),27)),"",INDEX(data!$A$12:$AI$213,MATCH(HLOOKUP('II. Sledování projektu'!$L$5,vstupy!$N$2:$BY$180,$B169+1,0),data!$B$12:$B$213,0),27))</f>
        <v>1324250</v>
      </c>
      <c r="F169" s="54">
        <f>IF(ISERROR(INDEX(data!$A$12:$AI$213,MATCH(HLOOKUP('II. Sledování projektu'!$L$5,vstupy!$N$2:$BY$180,$B169+1,0),data!$B$12:$B$213,0),28)),"",INDEX(data!$A$12:$AI$213,MATCH(HLOOKUP('II. Sledování projektu'!$L$5,vstupy!$N$2:$BY$180,$B169+1,0),data!$B$12:$B$213,0),28))</f>
        <v>120793053.33000001</v>
      </c>
      <c r="G169" s="53">
        <f t="shared" si="15"/>
        <v>91.216200362469337</v>
      </c>
      <c r="H169" s="53">
        <f>IF(ISERROR(INDEX(data!$A$12:$AI$213,MATCH(HLOOKUP('II. Sledování projektu'!$L$5,vstupy!$N$2:$BY$180,$B169+1,0),data!$B$12:$B$213,0),29)),"",INDEX(data!$A$12:$AI$213,MATCH(HLOOKUP('II. Sledování projektu'!$L$5,vstupy!$N$2:$BY$180,$B169+1,0),data!$B$12:$B$213,0),29))</f>
        <v>0.24060000000000001</v>
      </c>
      <c r="I169" s="54">
        <f>IF(ISERROR(INDEX(data!$A$12:$AI$213,MATCH(HLOOKUP('II. Sledování projektu'!$L$5,vstupy!$N$2:$BY$180,$B169+1,0),data!$B$12:$B$213,0),31)),"",INDEX(data!$A$12:$AI$213,MATCH(HLOOKUP('II. Sledování projektu'!$L$5,vstupy!$N$2:$BY$180,$B169+1,0),data!$B$12:$B$213,0),31))</f>
        <v>174637.74</v>
      </c>
      <c r="J169" s="53">
        <f t="shared" si="16"/>
        <v>0.13187671512176702</v>
      </c>
      <c r="K169" s="53">
        <f t="shared" si="18"/>
        <v>0.54811602294998762</v>
      </c>
      <c r="L169" s="54">
        <f>IF(ISERROR(INDEX(data!$A$12:$AI$213,MATCH(HLOOKUP('II. Sledování projektu'!$L$5,vstupy!$N$2:$BY$180,$B169+1,0),data!$B$12:$B$213,0),32)),"",INDEX(data!$A$12:$AI$213,MATCH(HLOOKUP('II. Sledování projektu'!$L$5,vstupy!$N$2:$BY$180,$B169+1,0),data!$B$12:$B$213,0),32))</f>
        <v>132721.74</v>
      </c>
      <c r="M169" s="53">
        <f t="shared" si="19"/>
        <v>0.43181274252546237</v>
      </c>
      <c r="N169" s="54">
        <f>IF(ISERROR(VLOOKUP(C169,data!$C$12:$AD$213,28,0)),0,VLOOKUP(C169,data!$C$12:$AD$213,28,0))</f>
        <v>318614.55</v>
      </c>
    </row>
    <row r="170" spans="2:14" x14ac:dyDescent="0.2">
      <c r="B170" s="19">
        <f t="shared" si="17"/>
        <v>165</v>
      </c>
      <c r="C170" s="19" t="str">
        <f>IF(ISERROR(INDEX(data!$A$12:$AI$213,MATCH(HLOOKUP('II. Sledování projektu'!$L$5,vstupy!$N$2:$BY$180,$B170+1,0),data!$B$12:$B$213,0),3)),"",INDEX(data!$A$12:$AI$213,MATCH(HLOOKUP('II. Sledování projektu'!$L$5,vstupy!$N$2:$BY$180,$B170+1,0),data!$B$12:$B$213,0),3))</f>
        <v>ZŠ O-Výškovice, Srbská</v>
      </c>
      <c r="D170" s="156">
        <f>IF(ISERROR(INDEX(data!$A$12:$AI$213,MATCH(HLOOKUP('II. Sledování projektu'!$L$5,vstupy!$N$2:$BY$180,$B170+1,0),data!$B$12:$B$213,0),35)),"",INDEX(data!$A$12:$AI$213,MATCH(HLOOKUP('II. Sledování projektu'!$L$5,vstupy!$N$2:$BY$180,$B170+1,0),data!$B$12:$B$213,0),35))</f>
        <v>5.6568092921128299</v>
      </c>
      <c r="E170" s="49">
        <f>IF(ISERROR(INDEX(data!$A$12:$AI$213,MATCH(HLOOKUP('II. Sledování projektu'!$L$5,vstupy!$N$2:$BY$180,$B170+1,0),data!$B$12:$B$213,0),27)),"",INDEX(data!$A$12:$AI$213,MATCH(HLOOKUP('II. Sledování projektu'!$L$5,vstupy!$N$2:$BY$180,$B170+1,0),data!$B$12:$B$213,0),27))</f>
        <v>2110500</v>
      </c>
      <c r="F170" s="54">
        <f>IF(ISERROR(INDEX(data!$A$12:$AI$213,MATCH(HLOOKUP('II. Sledování projektu'!$L$5,vstupy!$N$2:$BY$180,$B170+1,0),data!$B$12:$B$213,0),28)),"",INDEX(data!$A$12:$AI$213,MATCH(HLOOKUP('II. Sledování projektu'!$L$5,vstupy!$N$2:$BY$180,$B170+1,0),data!$B$12:$B$213,0),28))</f>
        <v>0</v>
      </c>
      <c r="G170" s="53">
        <f t="shared" si="15"/>
        <v>0</v>
      </c>
      <c r="H170" s="53">
        <f>IF(ISERROR(INDEX(data!$A$12:$AI$213,MATCH(HLOOKUP('II. Sledování projektu'!$L$5,vstupy!$N$2:$BY$180,$B170+1,0),data!$B$12:$B$213,0),29)),"",INDEX(data!$A$12:$AI$213,MATCH(HLOOKUP('II. Sledování projektu'!$L$5,vstupy!$N$2:$BY$180,$B170+1,0),data!$B$12:$B$213,0),29))</f>
        <v>0.21809999999999999</v>
      </c>
      <c r="I170" s="54">
        <f>IF(ISERROR(INDEX(data!$A$12:$AI$213,MATCH(HLOOKUP('II. Sledování projektu'!$L$5,vstupy!$N$2:$BY$180,$B170+1,0),data!$B$12:$B$213,0),31)),"",INDEX(data!$A$12:$AI$213,MATCH(HLOOKUP('II. Sledování projektu'!$L$5,vstupy!$N$2:$BY$180,$B170+1,0),data!$B$12:$B$213,0),31))</f>
        <v>43397.16</v>
      </c>
      <c r="J170" s="53">
        <f t="shared" si="16"/>
        <v>2.0562501776830135E-2</v>
      </c>
      <c r="K170" s="53">
        <f t="shared" si="18"/>
        <v>9.428015486854717E-2</v>
      </c>
      <c r="L170" s="54">
        <f>IF(ISERROR(INDEX(data!$A$12:$AI$213,MATCH(HLOOKUP('II. Sledování projektu'!$L$5,vstupy!$N$2:$BY$180,$B170+1,0),data!$B$12:$B$213,0),32)),"",INDEX(data!$A$12:$AI$213,MATCH(HLOOKUP('II. Sledování projektu'!$L$5,vstupy!$N$2:$BY$180,$B170+1,0),data!$B$12:$B$213,0),32))</f>
        <v>31538.1</v>
      </c>
      <c r="M170" s="53">
        <f t="shared" si="19"/>
        <v>0.42087129610279589</v>
      </c>
      <c r="N170" s="54">
        <f>IF(ISERROR(VLOOKUP(C170,data!$C$12:$AD$213,28,0)),0,VLOOKUP(C170,data!$C$12:$AD$213,28,0))</f>
        <v>460300.05</v>
      </c>
    </row>
    <row r="171" spans="2:14" x14ac:dyDescent="0.2">
      <c r="B171" s="19">
        <f t="shared" si="17"/>
        <v>166</v>
      </c>
      <c r="C171" s="19" t="str">
        <f>IF(ISERROR(INDEX(data!$A$12:$AI$213,MATCH(HLOOKUP('II. Sledování projektu'!$L$5,vstupy!$N$2:$BY$180,$B171+1,0),data!$B$12:$B$213,0),3)),"",INDEX(data!$A$12:$AI$213,MATCH(HLOOKUP('II. Sledování projektu'!$L$5,vstupy!$N$2:$BY$180,$B171+1,0),data!$B$12:$B$213,0),3))</f>
        <v>ZŠ O-Zábřeh, Chrjukinova</v>
      </c>
      <c r="D171" s="156">
        <f>IF(ISERROR(INDEX(data!$A$12:$AI$213,MATCH(HLOOKUP('II. Sledování projektu'!$L$5,vstupy!$N$2:$BY$180,$B171+1,0),data!$B$12:$B$213,0),35)),"",INDEX(data!$A$12:$AI$213,MATCH(HLOOKUP('II. Sledování projektu'!$L$5,vstupy!$N$2:$BY$180,$B171+1,0),data!$B$12:$B$213,0),35))</f>
        <v>18.231050512954845</v>
      </c>
      <c r="E171" s="49">
        <f>IF(ISERROR(INDEX(data!$A$12:$AI$213,MATCH(HLOOKUP('II. Sledování projektu'!$L$5,vstupy!$N$2:$BY$180,$B171+1,0),data!$B$12:$B$213,0),27)),"",INDEX(data!$A$12:$AI$213,MATCH(HLOOKUP('II. Sledování projektu'!$L$5,vstupy!$N$2:$BY$180,$B171+1,0),data!$B$12:$B$213,0),27))</f>
        <v>2020000</v>
      </c>
      <c r="F171" s="54">
        <f>IF(ISERROR(INDEX(data!$A$12:$AI$213,MATCH(HLOOKUP('II. Sledování projektu'!$L$5,vstupy!$N$2:$BY$180,$B171+1,0),data!$B$12:$B$213,0),28)),"",INDEX(data!$A$12:$AI$213,MATCH(HLOOKUP('II. Sledování projektu'!$L$5,vstupy!$N$2:$BY$180,$B171+1,0),data!$B$12:$B$213,0),28))</f>
        <v>0</v>
      </c>
      <c r="G171" s="53">
        <f t="shared" si="15"/>
        <v>0</v>
      </c>
      <c r="H171" s="53">
        <f>IF(ISERROR(INDEX(data!$A$12:$AI$213,MATCH(HLOOKUP('II. Sledování projektu'!$L$5,vstupy!$N$2:$BY$180,$B171+1,0),data!$B$12:$B$213,0),29)),"",INDEX(data!$A$12:$AI$213,MATCH(HLOOKUP('II. Sledování projektu'!$L$5,vstupy!$N$2:$BY$180,$B171+1,0),data!$B$12:$B$213,0),29))</f>
        <v>0.14929999999999999</v>
      </c>
      <c r="I171" s="54">
        <f>IF(ISERROR(INDEX(data!$A$12:$AI$213,MATCH(HLOOKUP('II. Sledování projektu'!$L$5,vstupy!$N$2:$BY$180,$B171+1,0),data!$B$12:$B$213,0),31)),"",INDEX(data!$A$12:$AI$213,MATCH(HLOOKUP('II. Sledování projektu'!$L$5,vstupy!$N$2:$BY$180,$B171+1,0),data!$B$12:$B$213,0),31))</f>
        <v>91637.16</v>
      </c>
      <c r="J171" s="53">
        <f t="shared" si="16"/>
        <v>4.5364930693069308E-2</v>
      </c>
      <c r="K171" s="53">
        <f t="shared" si="18"/>
        <v>0.30385084188258077</v>
      </c>
      <c r="L171" s="54">
        <f>IF(ISERROR(INDEX(data!$A$12:$AI$213,MATCH(HLOOKUP('II. Sledování projektu'!$L$5,vstupy!$N$2:$BY$180,$B171+1,0),data!$B$12:$B$213,0),32)),"",INDEX(data!$A$12:$AI$213,MATCH(HLOOKUP('II. Sledování projektu'!$L$5,vstupy!$N$2:$BY$180,$B171+1,0),data!$B$12:$B$213,0),32))</f>
        <v>71253.42</v>
      </c>
      <c r="M171" s="53">
        <f t="shared" si="19"/>
        <v>0.4374311884701988</v>
      </c>
      <c r="N171" s="54">
        <f>IF(ISERROR(VLOOKUP(C171,data!$C$12:$AD$213,28,0)),0,VLOOKUP(C171,data!$C$12:$AD$213,28,0))</f>
        <v>301586</v>
      </c>
    </row>
    <row r="172" spans="2:14" x14ac:dyDescent="0.2">
      <c r="B172" s="19">
        <f t="shared" si="17"/>
        <v>167</v>
      </c>
      <c r="C172" s="19" t="str">
        <f>IF(ISERROR(INDEX(data!$A$12:$AI$213,MATCH(HLOOKUP('II. Sledování projektu'!$L$5,vstupy!$N$2:$BY$180,$B172+1,0),data!$B$12:$B$213,0),3)),"",INDEX(data!$A$12:$AI$213,MATCH(HLOOKUP('II. Sledování projektu'!$L$5,vstupy!$N$2:$BY$180,$B172+1,0),data!$B$12:$B$213,0),3))</f>
        <v>ZŠ O-Zábřeh, Jugoslávská</v>
      </c>
      <c r="D172" s="156">
        <f>IF(ISERROR(INDEX(data!$A$12:$AI$213,MATCH(HLOOKUP('II. Sledování projektu'!$L$5,vstupy!$N$2:$BY$180,$B172+1,0),data!$B$12:$B$213,0),35)),"",INDEX(data!$A$12:$AI$213,MATCH(HLOOKUP('II. Sledování projektu'!$L$5,vstupy!$N$2:$BY$180,$B172+1,0),data!$B$12:$B$213,0),35))</f>
        <v>6.9579310452741376</v>
      </c>
      <c r="E172" s="49">
        <f>IF(ISERROR(INDEX(data!$A$12:$AI$213,MATCH(HLOOKUP('II. Sledování projektu'!$L$5,vstupy!$N$2:$BY$180,$B172+1,0),data!$B$12:$B$213,0),27)),"",INDEX(data!$A$12:$AI$213,MATCH(HLOOKUP('II. Sledování projektu'!$L$5,vstupy!$N$2:$BY$180,$B172+1,0),data!$B$12:$B$213,0),27))</f>
        <v>2230750</v>
      </c>
      <c r="F172" s="54">
        <f>IF(ISERROR(INDEX(data!$A$12:$AI$213,MATCH(HLOOKUP('II. Sledování projektu'!$L$5,vstupy!$N$2:$BY$180,$B172+1,0),data!$B$12:$B$213,0),28)),"",INDEX(data!$A$12:$AI$213,MATCH(HLOOKUP('II. Sledování projektu'!$L$5,vstupy!$N$2:$BY$180,$B172+1,0),data!$B$12:$B$213,0),28))</f>
        <v>10494.32</v>
      </c>
      <c r="G172" s="53">
        <f t="shared" si="15"/>
        <v>4.7043908999215506E-3</v>
      </c>
      <c r="H172" s="53">
        <f>IF(ISERROR(INDEX(data!$A$12:$AI$213,MATCH(HLOOKUP('II. Sledování projektu'!$L$5,vstupy!$N$2:$BY$180,$B172+1,0),data!$B$12:$B$213,0),29)),"",INDEX(data!$A$12:$AI$213,MATCH(HLOOKUP('II. Sledování projektu'!$L$5,vstupy!$N$2:$BY$180,$B172+1,0),data!$B$12:$B$213,0),29))</f>
        <v>0.1696</v>
      </c>
      <c r="I172" s="54">
        <f>IF(ISERROR(INDEX(data!$A$12:$AI$213,MATCH(HLOOKUP('II. Sledování projektu'!$L$5,vstupy!$N$2:$BY$180,$B172+1,0),data!$B$12:$B$213,0),31)),"",INDEX(data!$A$12:$AI$213,MATCH(HLOOKUP('II. Sledování projektu'!$L$5,vstupy!$N$2:$BY$180,$B172+1,0),data!$B$12:$B$213,0),31))</f>
        <v>42390.64</v>
      </c>
      <c r="J172" s="53">
        <f t="shared" si="16"/>
        <v>1.9002864507452651E-2</v>
      </c>
      <c r="K172" s="53">
        <f t="shared" si="18"/>
        <v>0.112045191671301</v>
      </c>
      <c r="L172" s="54">
        <f>IF(ISERROR(INDEX(data!$A$12:$AI$213,MATCH(HLOOKUP('II. Sledování projektu'!$L$5,vstupy!$N$2:$BY$180,$B172+1,0),data!$B$12:$B$213,0),32)),"",INDEX(data!$A$12:$AI$213,MATCH(HLOOKUP('II. Sledování projektu'!$L$5,vstupy!$N$2:$BY$180,$B172+1,0),data!$B$12:$B$213,0),32))</f>
        <v>40833.109999999993</v>
      </c>
      <c r="M172" s="53">
        <f t="shared" si="19"/>
        <v>0.49064251490710276</v>
      </c>
      <c r="N172" s="54">
        <f>IF(ISERROR(VLOOKUP(C172,data!$C$12:$AD$213,28,0)),0,VLOOKUP(C172,data!$C$12:$AD$213,28,0))</f>
        <v>378335.2</v>
      </c>
    </row>
    <row r="173" spans="2:14" x14ac:dyDescent="0.2">
      <c r="B173" s="19">
        <f t="shared" si="17"/>
        <v>168</v>
      </c>
      <c r="C173" s="19" t="str">
        <f>IF(ISERROR(INDEX(data!$A$12:$AI$213,MATCH(HLOOKUP('II. Sledování projektu'!$L$5,vstupy!$N$2:$BY$180,$B173+1,0),data!$B$12:$B$213,0),3)),"",INDEX(data!$A$12:$AI$213,MATCH(HLOOKUP('II. Sledování projektu'!$L$5,vstupy!$N$2:$BY$180,$B173+1,0),data!$B$12:$B$213,0),3))</f>
        <v>ZŠ Ostrava, Gebauerova</v>
      </c>
      <c r="D173" s="156">
        <f>IF(ISERROR(INDEX(data!$A$12:$AI$213,MATCH(HLOOKUP('II. Sledování projektu'!$L$5,vstupy!$N$2:$BY$180,$B173+1,0),data!$B$12:$B$213,0),35)),"",INDEX(data!$A$12:$AI$213,MATCH(HLOOKUP('II. Sledování projektu'!$L$5,vstupy!$N$2:$BY$180,$B173+1,0),data!$B$12:$B$213,0),35))</f>
        <v>32.629367225439545</v>
      </c>
      <c r="E173" s="49">
        <f>IF(ISERROR(INDEX(data!$A$12:$AI$213,MATCH(HLOOKUP('II. Sledování projektu'!$L$5,vstupy!$N$2:$BY$180,$B173+1,0),data!$B$12:$B$213,0),27)),"",INDEX(data!$A$12:$AI$213,MATCH(HLOOKUP('II. Sledování projektu'!$L$5,vstupy!$N$2:$BY$180,$B173+1,0),data!$B$12:$B$213,0),27))</f>
        <v>1436658.665</v>
      </c>
      <c r="F173" s="54">
        <f>IF(ISERROR(INDEX(data!$A$12:$AI$213,MATCH(HLOOKUP('II. Sledování projektu'!$L$5,vstupy!$N$2:$BY$180,$B173+1,0),data!$B$12:$B$213,0),28)),"",INDEX(data!$A$12:$AI$213,MATCH(HLOOKUP('II. Sledování projektu'!$L$5,vstupy!$N$2:$BY$180,$B173+1,0),data!$B$12:$B$213,0),28))</f>
        <v>0</v>
      </c>
      <c r="G173" s="53">
        <f t="shared" si="15"/>
        <v>0</v>
      </c>
      <c r="H173" s="53">
        <f>IF(ISERROR(INDEX(data!$A$12:$AI$213,MATCH(HLOOKUP('II. Sledování projektu'!$L$5,vstupy!$N$2:$BY$180,$B173+1,0),data!$B$12:$B$213,0),29)),"",INDEX(data!$A$12:$AI$213,MATCH(HLOOKUP('II. Sledování projektu'!$L$5,vstupy!$N$2:$BY$180,$B173+1,0),data!$B$12:$B$213,0),29))</f>
        <v>6.8400000000000002E-2</v>
      </c>
      <c r="I173" s="54">
        <f>IF(ISERROR(INDEX(data!$A$12:$AI$213,MATCH(HLOOKUP('II. Sledování projektu'!$L$5,vstupy!$N$2:$BY$180,$B173+1,0),data!$B$12:$B$213,0),31)),"",INDEX(data!$A$12:$AI$213,MATCH(HLOOKUP('II. Sledování projektu'!$L$5,vstupy!$N$2:$BY$180,$B173+1,0),data!$B$12:$B$213,0),31))</f>
        <v>53440.08</v>
      </c>
      <c r="J173" s="53">
        <f t="shared" si="16"/>
        <v>3.7197478637001083E-2</v>
      </c>
      <c r="K173" s="53">
        <f t="shared" si="18"/>
        <v>0.54382278709065912</v>
      </c>
      <c r="L173" s="54">
        <f>IF(ISERROR(INDEX(data!$A$12:$AI$213,MATCH(HLOOKUP('II. Sledování projektu'!$L$5,vstupy!$N$2:$BY$180,$B173+1,0),data!$B$12:$B$213,0),32)),"",INDEX(data!$A$12:$AI$213,MATCH(HLOOKUP('II. Sledování projektu'!$L$5,vstupy!$N$2:$BY$180,$B173+1,0),data!$B$12:$B$213,0),32))</f>
        <v>49967.7</v>
      </c>
      <c r="M173" s="53">
        <f t="shared" si="19"/>
        <v>0.48321025748739599</v>
      </c>
      <c r="N173" s="54">
        <f>IF(ISERROR(VLOOKUP(C173,data!$C$12:$AD$213,28,0)),0,VLOOKUP(C173,data!$C$12:$AD$213,28,0))</f>
        <v>98267.452686000004</v>
      </c>
    </row>
    <row r="174" spans="2:14" x14ac:dyDescent="0.2">
      <c r="B174" s="19">
        <f t="shared" si="17"/>
        <v>169</v>
      </c>
      <c r="C174" s="19" t="str">
        <f>IF(ISERROR(INDEX(data!$A$12:$AI$213,MATCH(HLOOKUP('II. Sledování projektu'!$L$5,vstupy!$N$2:$BY$180,$B174+1,0),data!$B$12:$B$213,0),3)),"",INDEX(data!$A$12:$AI$213,MATCH(HLOOKUP('II. Sledování projektu'!$L$5,vstupy!$N$2:$BY$180,$B174+1,0),data!$B$12:$B$213,0),3))</f>
        <v>ZŠ Ostrava, Gen.Píky</v>
      </c>
      <c r="D174" s="156">
        <f>IF(ISERROR(INDEX(data!$A$12:$AI$213,MATCH(HLOOKUP('II. Sledování projektu'!$L$5,vstupy!$N$2:$BY$180,$B174+1,0),data!$B$12:$B$213,0),35)),"",INDEX(data!$A$12:$AI$213,MATCH(HLOOKUP('II. Sledování projektu'!$L$5,vstupy!$N$2:$BY$180,$B174+1,0),data!$B$12:$B$213,0),35))</f>
        <v>84.713534273467332</v>
      </c>
      <c r="E174" s="49">
        <f>IF(ISERROR(INDEX(data!$A$12:$AI$213,MATCH(HLOOKUP('II. Sledování projektu'!$L$5,vstupy!$N$2:$BY$180,$B174+1,0),data!$B$12:$B$213,0),27)),"",INDEX(data!$A$12:$AI$213,MATCH(HLOOKUP('II. Sledování projektu'!$L$5,vstupy!$N$2:$BY$180,$B174+1,0),data!$B$12:$B$213,0),27))</f>
        <v>2644000</v>
      </c>
      <c r="F174" s="54">
        <f>IF(ISERROR(INDEX(data!$A$12:$AI$213,MATCH(HLOOKUP('II. Sledování projektu'!$L$5,vstupy!$N$2:$BY$180,$B174+1,0),data!$B$12:$B$213,0),28)),"",INDEX(data!$A$12:$AI$213,MATCH(HLOOKUP('II. Sledování projektu'!$L$5,vstupy!$N$2:$BY$180,$B174+1,0),data!$B$12:$B$213,0),28))</f>
        <v>1913030.74</v>
      </c>
      <c r="G174" s="53">
        <f t="shared" si="15"/>
        <v>0.72353658850226932</v>
      </c>
      <c r="H174" s="53">
        <f>IF(ISERROR(INDEX(data!$A$12:$AI$213,MATCH(HLOOKUP('II. Sledování projektu'!$L$5,vstupy!$N$2:$BY$180,$B174+1,0),data!$B$12:$B$213,0),29)),"",INDEX(data!$A$12:$AI$213,MATCH(HLOOKUP('II. Sledování projektu'!$L$5,vstupy!$N$2:$BY$180,$B174+1,0),data!$B$12:$B$213,0),29))</f>
        <v>5.04E-2</v>
      </c>
      <c r="I174" s="54">
        <f>IF(ISERROR(INDEX(data!$A$12:$AI$213,MATCH(HLOOKUP('II. Sledování projektu'!$L$5,vstupy!$N$2:$BY$180,$B174+1,0),data!$B$12:$B$213,0),31)),"",INDEX(data!$A$12:$AI$213,MATCH(HLOOKUP('II. Sledování projektu'!$L$5,vstupy!$N$2:$BY$180,$B174+1,0),data!$B$12:$B$213,0),31))</f>
        <v>107798.08</v>
      </c>
      <c r="J174" s="53">
        <f t="shared" si="16"/>
        <v>4.0770832072617245E-2</v>
      </c>
      <c r="K174" s="53">
        <f t="shared" si="18"/>
        <v>0.80894508080589778</v>
      </c>
      <c r="L174" s="54">
        <f>IF(ISERROR(INDEX(data!$A$12:$AI$213,MATCH(HLOOKUP('II. Sledování projektu'!$L$5,vstupy!$N$2:$BY$180,$B174+1,0),data!$B$12:$B$213,0),32)),"",INDEX(data!$A$12:$AI$213,MATCH(HLOOKUP('II. Sledování projektu'!$L$5,vstupy!$N$2:$BY$180,$B174+1,0),data!$B$12:$B$213,0),32))</f>
        <v>85783</v>
      </c>
      <c r="M174" s="53">
        <f t="shared" si="19"/>
        <v>0.4431373148656883</v>
      </c>
      <c r="N174" s="54">
        <f>IF(ISERROR(VLOOKUP(C174,data!$C$12:$AD$213,28,0)),0,VLOOKUP(C174,data!$C$12:$AD$213,28,0))</f>
        <v>133257.60000000001</v>
      </c>
    </row>
    <row r="175" spans="2:14" x14ac:dyDescent="0.2">
      <c r="B175" s="19">
        <f t="shared" si="17"/>
        <v>170</v>
      </c>
      <c r="C175" s="19" t="str">
        <f>IF(ISERROR(INDEX(data!$A$12:$AI$213,MATCH(HLOOKUP('II. Sledování projektu'!$L$5,vstupy!$N$2:$BY$180,$B175+1,0),data!$B$12:$B$213,0),3)),"",INDEX(data!$A$12:$AI$213,MATCH(HLOOKUP('II. Sledování projektu'!$L$5,vstupy!$N$2:$BY$180,$B175+1,0),data!$B$12:$B$213,0),3))</f>
        <v>ZŠ Ostrava, Nádražní</v>
      </c>
      <c r="D175" s="156">
        <f>IF(ISERROR(INDEX(data!$A$12:$AI$213,MATCH(HLOOKUP('II. Sledování projektu'!$L$5,vstupy!$N$2:$BY$180,$B175+1,0),data!$B$12:$B$213,0),35)),"",INDEX(data!$A$12:$AI$213,MATCH(HLOOKUP('II. Sledování projektu'!$L$5,vstupy!$N$2:$BY$180,$B175+1,0),data!$B$12:$B$213,0),35))</f>
        <v>56.126757878355022</v>
      </c>
      <c r="E175" s="49">
        <f>IF(ISERROR(INDEX(data!$A$12:$AI$213,MATCH(HLOOKUP('II. Sledování projektu'!$L$5,vstupy!$N$2:$BY$180,$B175+1,0),data!$B$12:$B$213,0),27)),"",INDEX(data!$A$12:$AI$213,MATCH(HLOOKUP('II. Sledování projektu'!$L$5,vstupy!$N$2:$BY$180,$B175+1,0),data!$B$12:$B$213,0),27))</f>
        <v>1270750</v>
      </c>
      <c r="F175" s="54">
        <f>IF(ISERROR(INDEX(data!$A$12:$AI$213,MATCH(HLOOKUP('II. Sledování projektu'!$L$5,vstupy!$N$2:$BY$180,$B175+1,0),data!$B$12:$B$213,0),28)),"",INDEX(data!$A$12:$AI$213,MATCH(HLOOKUP('II. Sledování projektu'!$L$5,vstupy!$N$2:$BY$180,$B175+1,0),data!$B$12:$B$213,0),28))</f>
        <v>1645.6</v>
      </c>
      <c r="G175" s="53">
        <f t="shared" si="15"/>
        <v>1.2949832775919733E-3</v>
      </c>
      <c r="H175" s="53">
        <f>IF(ISERROR(INDEX(data!$A$12:$AI$213,MATCH(HLOOKUP('II. Sledování projektu'!$L$5,vstupy!$N$2:$BY$180,$B175+1,0),data!$B$12:$B$213,0),29)),"",INDEX(data!$A$12:$AI$213,MATCH(HLOOKUP('II. Sledování projektu'!$L$5,vstupy!$N$2:$BY$180,$B175+1,0),data!$B$12:$B$213,0),29))</f>
        <v>0.13189999999999999</v>
      </c>
      <c r="I175" s="54">
        <f>IF(ISERROR(INDEX(data!$A$12:$AI$213,MATCH(HLOOKUP('II. Sledování projektu'!$L$5,vstupy!$N$2:$BY$180,$B175+1,0),data!$B$12:$B$213,0),31)),"",INDEX(data!$A$12:$AI$213,MATCH(HLOOKUP('II. Sledování projektu'!$L$5,vstupy!$N$2:$BY$180,$B175+1,0),data!$B$12:$B$213,0),31))</f>
        <v>156611.02000000002</v>
      </c>
      <c r="J175" s="53">
        <f t="shared" si="16"/>
        <v>0.12324298249065514</v>
      </c>
      <c r="K175" s="53">
        <f t="shared" si="18"/>
        <v>0.93436681190792381</v>
      </c>
      <c r="L175" s="54">
        <f>IF(ISERROR(INDEX(data!$A$12:$AI$213,MATCH(HLOOKUP('II. Sledování projektu'!$L$5,vstupy!$N$2:$BY$180,$B175+1,0),data!$B$12:$B$213,0),32)),"",INDEX(data!$A$12:$AI$213,MATCH(HLOOKUP('II. Sledování projektu'!$L$5,vstupy!$N$2:$BY$180,$B175+1,0),data!$B$12:$B$213,0),32))</f>
        <v>119220.38</v>
      </c>
      <c r="M175" s="53">
        <f t="shared" si="19"/>
        <v>0.43222192977304252</v>
      </c>
      <c r="N175" s="54">
        <f>IF(ISERROR(VLOOKUP(C175,data!$C$12:$AD$213,28,0)),0,VLOOKUP(C175,data!$C$12:$AD$213,28,0))</f>
        <v>167611.92499999999</v>
      </c>
    </row>
    <row r="176" spans="2:14" x14ac:dyDescent="0.2">
      <c r="B176" s="19">
        <f t="shared" si="17"/>
        <v>171</v>
      </c>
      <c r="C176" s="19" t="str">
        <f>IF(ISERROR(INDEX(data!$A$12:$AI$213,MATCH(HLOOKUP('II. Sledování projektu'!$L$5,vstupy!$N$2:$BY$180,$B176+1,0),data!$B$12:$B$213,0),3)),"",INDEX(data!$A$12:$AI$213,MATCH(HLOOKUP('II. Sledování projektu'!$L$5,vstupy!$N$2:$BY$180,$B176+1,0),data!$B$12:$B$213,0),3))</f>
        <v>ZŠ Ostrava, Zelená</v>
      </c>
      <c r="D176" s="156">
        <f>IF(ISERROR(INDEX(data!$A$12:$AI$213,MATCH(HLOOKUP('II. Sledování projektu'!$L$5,vstupy!$N$2:$BY$180,$B176+1,0),data!$B$12:$B$213,0),35)),"",INDEX(data!$A$12:$AI$213,MATCH(HLOOKUP('II. Sledování projektu'!$L$5,vstupy!$N$2:$BY$180,$B176+1,0),data!$B$12:$B$213,0),35))</f>
        <v>16.426413594232748</v>
      </c>
      <c r="E176" s="49">
        <f>IF(ISERROR(INDEX(data!$A$12:$AI$213,MATCH(HLOOKUP('II. Sledování projektu'!$L$5,vstupy!$N$2:$BY$180,$B176+1,0),data!$B$12:$B$213,0),27)),"",INDEX(data!$A$12:$AI$213,MATCH(HLOOKUP('II. Sledování projektu'!$L$5,vstupy!$N$2:$BY$180,$B176+1,0),data!$B$12:$B$213,0),27))</f>
        <v>2427500</v>
      </c>
      <c r="F176" s="54">
        <f>IF(ISERROR(INDEX(data!$A$12:$AI$213,MATCH(HLOOKUP('II. Sledování projektu'!$L$5,vstupy!$N$2:$BY$180,$B176+1,0),data!$B$12:$B$213,0),28)),"",INDEX(data!$A$12:$AI$213,MATCH(HLOOKUP('II. Sledování projektu'!$L$5,vstupy!$N$2:$BY$180,$B176+1,0),data!$B$12:$B$213,0),28))</f>
        <v>78362.38</v>
      </c>
      <c r="G176" s="53">
        <f t="shared" si="15"/>
        <v>3.2281104016477859E-2</v>
      </c>
      <c r="H176" s="53">
        <f>IF(ISERROR(INDEX(data!$A$12:$AI$213,MATCH(HLOOKUP('II. Sledování projektu'!$L$5,vstupy!$N$2:$BY$180,$B176+1,0),data!$B$12:$B$213,0),29)),"",INDEX(data!$A$12:$AI$213,MATCH(HLOOKUP('II. Sledování projektu'!$L$5,vstupy!$N$2:$BY$180,$B176+1,0),data!$B$12:$B$213,0),29))</f>
        <v>0.21659999999999999</v>
      </c>
      <c r="I176" s="54">
        <f>IF(ISERROR(INDEX(data!$A$12:$AI$213,MATCH(HLOOKUP('II. Sledování projektu'!$L$5,vstupy!$N$2:$BY$180,$B176+1,0),data!$B$12:$B$213,0),31)),"",INDEX(data!$A$12:$AI$213,MATCH(HLOOKUP('II. Sledování projektu'!$L$5,vstupy!$N$2:$BY$180,$B176+1,0),data!$B$12:$B$213,0),31))</f>
        <v>129804.77</v>
      </c>
      <c r="J176" s="53">
        <f t="shared" si="16"/>
        <v>5.3472613800205973E-2</v>
      </c>
      <c r="K176" s="53">
        <f t="shared" si="18"/>
        <v>0.24687263989014763</v>
      </c>
      <c r="L176" s="54">
        <f>IF(ISERROR(INDEX(data!$A$12:$AI$213,MATCH(HLOOKUP('II. Sledování projektu'!$L$5,vstupy!$N$2:$BY$180,$B176+1,0),data!$B$12:$B$213,0),32)),"",INDEX(data!$A$12:$AI$213,MATCH(HLOOKUP('II. Sledování projektu'!$L$5,vstupy!$N$2:$BY$180,$B176+1,0),data!$B$12:$B$213,0),32))</f>
        <v>51183.79</v>
      </c>
      <c r="M176" s="53">
        <f t="shared" si="19"/>
        <v>0.28280124445434562</v>
      </c>
      <c r="N176" s="54">
        <f>IF(ISERROR(VLOOKUP(C176,data!$C$12:$AD$213,28,0)),0,VLOOKUP(C176,data!$C$12:$AD$213,28,0))</f>
        <v>525796.5</v>
      </c>
    </row>
    <row r="177" spans="2:14" x14ac:dyDescent="0.2">
      <c r="B177" s="19">
        <f t="shared" si="17"/>
        <v>172</v>
      </c>
      <c r="C177" s="19" t="str">
        <f>IF(ISERROR(INDEX(data!$A$12:$AI$213,MATCH(HLOOKUP('II. Sledování projektu'!$L$5,vstupy!$N$2:$BY$180,$B177+1,0),data!$B$12:$B$213,0),3)),"",INDEX(data!$A$12:$AI$213,MATCH(HLOOKUP('II. Sledování projektu'!$L$5,vstupy!$N$2:$BY$180,$B177+1,0),data!$B$12:$B$213,0),3))</f>
        <v>ZŠ Slezská Ostrava, Bohumínská</v>
      </c>
      <c r="D177" s="156">
        <f>IF(ISERROR(INDEX(data!$A$12:$AI$213,MATCH(HLOOKUP('II. Sledování projektu'!$L$5,vstupy!$N$2:$BY$180,$B177+1,0),data!$B$12:$B$213,0),35)),"",INDEX(data!$A$12:$AI$213,MATCH(HLOOKUP('II. Sledování projektu'!$L$5,vstupy!$N$2:$BY$180,$B177+1,0),data!$B$12:$B$213,0),35))</f>
        <v>37.499919321865526</v>
      </c>
      <c r="E177" s="49">
        <f>IF(ISERROR(INDEX(data!$A$12:$AI$213,MATCH(HLOOKUP('II. Sledování projektu'!$L$5,vstupy!$N$2:$BY$180,$B177+1,0),data!$B$12:$B$213,0),27)),"",INDEX(data!$A$12:$AI$213,MATCH(HLOOKUP('II. Sledování projektu'!$L$5,vstupy!$N$2:$BY$180,$B177+1,0),data!$B$12:$B$213,0),27))</f>
        <v>3554800</v>
      </c>
      <c r="F177" s="54">
        <f>IF(ISERROR(INDEX(data!$A$12:$AI$213,MATCH(HLOOKUP('II. Sledování projektu'!$L$5,vstupy!$N$2:$BY$180,$B177+1,0),data!$B$12:$B$213,0),28)),"",INDEX(data!$A$12:$AI$213,MATCH(HLOOKUP('II. Sledování projektu'!$L$5,vstupy!$N$2:$BY$180,$B177+1,0),data!$B$12:$B$213,0),28))</f>
        <v>2083189.62</v>
      </c>
      <c r="G177" s="53">
        <f t="shared" si="15"/>
        <v>0.58602161021717114</v>
      </c>
      <c r="H177" s="53">
        <f>IF(ISERROR(INDEX(data!$A$12:$AI$213,MATCH(HLOOKUP('II. Sledování projektu'!$L$5,vstupy!$N$2:$BY$180,$B177+1,0),data!$B$12:$B$213,0),29)),"",INDEX(data!$A$12:$AI$213,MATCH(HLOOKUP('II. Sledování projektu'!$L$5,vstupy!$N$2:$BY$180,$B177+1,0),data!$B$12:$B$213,0),29))</f>
        <v>0.2571</v>
      </c>
      <c r="I177" s="54">
        <f>IF(ISERROR(INDEX(data!$A$12:$AI$213,MATCH(HLOOKUP('II. Sledování projektu'!$L$5,vstupy!$N$2:$BY$180,$B177+1,0),data!$B$12:$B$213,0),31)),"",INDEX(data!$A$12:$AI$213,MATCH(HLOOKUP('II. Sledování projektu'!$L$5,vstupy!$N$2:$BY$180,$B177+1,0),data!$B$12:$B$213,0),31))</f>
        <v>124887.32</v>
      </c>
      <c r="J177" s="53">
        <f t="shared" si="16"/>
        <v>3.513202430516485E-2</v>
      </c>
      <c r="K177" s="53">
        <f t="shared" si="18"/>
        <v>0.13664731351678278</v>
      </c>
      <c r="L177" s="54">
        <f>IF(ISERROR(INDEX(data!$A$12:$AI$213,MATCH(HLOOKUP('II. Sledování projektu'!$L$5,vstupy!$N$2:$BY$180,$B177+1,0),data!$B$12:$B$213,0),32)),"",INDEX(data!$A$12:$AI$213,MATCH(HLOOKUP('II. Sledování projektu'!$L$5,vstupy!$N$2:$BY$180,$B177+1,0),data!$B$12:$B$213,0),32))</f>
        <v>85507.17</v>
      </c>
      <c r="M177" s="53">
        <f t="shared" si="19"/>
        <v>0.40641354248393102</v>
      </c>
      <c r="N177" s="54">
        <f>IF(ISERROR(VLOOKUP(C177,data!$C$12:$AD$213,28,0)),0,VLOOKUP(C177,data!$C$12:$AD$213,28,0))</f>
        <v>913939.08</v>
      </c>
    </row>
    <row r="178" spans="2:14" x14ac:dyDescent="0.2">
      <c r="B178" s="19">
        <f t="shared" si="17"/>
        <v>173</v>
      </c>
      <c r="C178" s="19" t="str">
        <f>IF(ISERROR(INDEX(data!$A$12:$AI$213,MATCH(HLOOKUP('II. Sledování projektu'!$L$5,vstupy!$N$2:$BY$180,$B178+1,0),data!$B$12:$B$213,0),3)),"",INDEX(data!$A$12:$AI$213,MATCH(HLOOKUP('II. Sledování projektu'!$L$5,vstupy!$N$2:$BY$180,$B178+1,0),data!$B$12:$B$213,0),3))</f>
        <v>ZŠ Slezská Ostrava, Chrustova</v>
      </c>
      <c r="D178" s="156">
        <f>IF(ISERROR(INDEX(data!$A$12:$AI$213,MATCH(HLOOKUP('II. Sledování projektu'!$L$5,vstupy!$N$2:$BY$180,$B178+1,0),data!$B$12:$B$213,0),35)),"",INDEX(data!$A$12:$AI$213,MATCH(HLOOKUP('II. Sledování projektu'!$L$5,vstupy!$N$2:$BY$180,$B178+1,0),data!$B$12:$B$213,0),35))</f>
        <v>20.540460609718831</v>
      </c>
      <c r="E178" s="49">
        <f>IF(ISERROR(INDEX(data!$A$12:$AI$213,MATCH(HLOOKUP('II. Sledování projektu'!$L$5,vstupy!$N$2:$BY$180,$B178+1,0),data!$B$12:$B$213,0),27)),"",INDEX(data!$A$12:$AI$213,MATCH(HLOOKUP('II. Sledování projektu'!$L$5,vstupy!$N$2:$BY$180,$B178+1,0),data!$B$12:$B$213,0),27))</f>
        <v>2523000</v>
      </c>
      <c r="F178" s="54">
        <f>IF(ISERROR(INDEX(data!$A$12:$AI$213,MATCH(HLOOKUP('II. Sledování projektu'!$L$5,vstupy!$N$2:$BY$180,$B178+1,0),data!$B$12:$B$213,0),28)),"",INDEX(data!$A$12:$AI$213,MATCH(HLOOKUP('II. Sledování projektu'!$L$5,vstupy!$N$2:$BY$180,$B178+1,0),data!$B$12:$B$213,0),28))</f>
        <v>34280.65</v>
      </c>
      <c r="G178" s="53">
        <f t="shared" si="15"/>
        <v>1.358725723345224E-2</v>
      </c>
      <c r="H178" s="53">
        <f>IF(ISERROR(INDEX(data!$A$12:$AI$213,MATCH(HLOOKUP('II. Sledování projektu'!$L$5,vstupy!$N$2:$BY$180,$B178+1,0),data!$B$12:$B$213,0),29)),"",INDEX(data!$A$12:$AI$213,MATCH(HLOOKUP('II. Sledování projektu'!$L$5,vstupy!$N$2:$BY$180,$B178+1,0),data!$B$12:$B$213,0),29))</f>
        <v>0.34060000000000001</v>
      </c>
      <c r="I178" s="54">
        <f>IF(ISERROR(INDEX(data!$A$12:$AI$213,MATCH(HLOOKUP('II. Sledování projektu'!$L$5,vstupy!$N$2:$BY$180,$B178+1,0),data!$B$12:$B$213,0),31)),"",INDEX(data!$A$12:$AI$213,MATCH(HLOOKUP('II. Sledování projektu'!$L$5,vstupy!$N$2:$BY$180,$B178+1,0),data!$B$12:$B$213,0),31))</f>
        <v>284455.21000000002</v>
      </c>
      <c r="J178" s="53">
        <f t="shared" si="16"/>
        <v>0.11274483154974238</v>
      </c>
      <c r="K178" s="53">
        <f t="shared" si="18"/>
        <v>0.3310182958007703</v>
      </c>
      <c r="L178" s="54">
        <f>IF(ISERROR(INDEX(data!$A$12:$AI$213,MATCH(HLOOKUP('II. Sledování projektu'!$L$5,vstupy!$N$2:$BY$180,$B178+1,0),data!$B$12:$B$213,0),32)),"",INDEX(data!$A$12:$AI$213,MATCH(HLOOKUP('II. Sledování projektu'!$L$5,vstupy!$N$2:$BY$180,$B178+1,0),data!$B$12:$B$213,0),32))</f>
        <v>185907.11000000002</v>
      </c>
      <c r="M178" s="53">
        <f t="shared" si="19"/>
        <v>0.39524235274628289</v>
      </c>
      <c r="N178" s="54">
        <f>IF(ISERROR(VLOOKUP(C178,data!$C$12:$AD$213,28,0)),0,VLOOKUP(C178,data!$C$12:$AD$213,28,0))</f>
        <v>859333.8</v>
      </c>
    </row>
    <row r="179" spans="2:14" x14ac:dyDescent="0.2">
      <c r="B179" s="19">
        <f t="shared" si="17"/>
        <v>174</v>
      </c>
      <c r="C179" s="19" t="str">
        <f>IF(ISERROR(INDEX(data!$A$12:$AI$213,MATCH(HLOOKUP('II. Sledování projektu'!$L$5,vstupy!$N$2:$BY$180,$B179+1,0),data!$B$12:$B$213,0),3)),"",INDEX(data!$A$12:$AI$213,MATCH(HLOOKUP('II. Sledování projektu'!$L$5,vstupy!$N$2:$BY$180,$B179+1,0),data!$B$12:$B$213,0),3))</f>
        <v>ZUŠ O-Svinov, Bílovecká</v>
      </c>
      <c r="D179" s="156">
        <f>IF(ISERROR(INDEX(data!$A$12:$AI$213,MATCH(HLOOKUP('II. Sledování projektu'!$L$5,vstupy!$N$2:$BY$180,$B179+1,0),data!$B$12:$B$213,0),35)),"",INDEX(data!$A$12:$AI$213,MATCH(HLOOKUP('II. Sledování projektu'!$L$5,vstupy!$N$2:$BY$180,$B179+1,0),data!$B$12:$B$213,0),35))</f>
        <v>0</v>
      </c>
      <c r="E179" s="49">
        <f>IF(ISERROR(INDEX(data!$A$12:$AI$213,MATCH(HLOOKUP('II. Sledování projektu'!$L$5,vstupy!$N$2:$BY$180,$B179+1,0),data!$B$12:$B$213,0),27)),"",INDEX(data!$A$12:$AI$213,MATCH(HLOOKUP('II. Sledování projektu'!$L$5,vstupy!$N$2:$BY$180,$B179+1,0),data!$B$12:$B$213,0),27))</f>
        <v>253000</v>
      </c>
      <c r="F179" s="54">
        <f>IF(ISERROR(INDEX(data!$A$12:$AI$213,MATCH(HLOOKUP('II. Sledování projektu'!$L$5,vstupy!$N$2:$BY$180,$B179+1,0),data!$B$12:$B$213,0),28)),"",INDEX(data!$A$12:$AI$213,MATCH(HLOOKUP('II. Sledování projektu'!$L$5,vstupy!$N$2:$BY$180,$B179+1,0),data!$B$12:$B$213,0),28))</f>
        <v>0</v>
      </c>
      <c r="G179" s="53">
        <f t="shared" si="15"/>
        <v>0</v>
      </c>
      <c r="H179" s="53">
        <f>IF(ISERROR(INDEX(data!$A$12:$AI$213,MATCH(HLOOKUP('II. Sledování projektu'!$L$5,vstupy!$N$2:$BY$180,$B179+1,0),data!$B$12:$B$213,0),29)),"",INDEX(data!$A$12:$AI$213,MATCH(HLOOKUP('II. Sledování projektu'!$L$5,vstupy!$N$2:$BY$180,$B179+1,0),data!$B$12:$B$213,0),29))</f>
        <v>4.4999999999999998E-2</v>
      </c>
      <c r="I179" s="54">
        <f>IF(ISERROR(INDEX(data!$A$12:$AI$213,MATCH(HLOOKUP('II. Sledování projektu'!$L$5,vstupy!$N$2:$BY$180,$B179+1,0),data!$B$12:$B$213,0),31)),"",INDEX(data!$A$12:$AI$213,MATCH(HLOOKUP('II. Sledování projektu'!$L$5,vstupy!$N$2:$BY$180,$B179+1,0),data!$B$12:$B$213,0),31))</f>
        <v>0</v>
      </c>
      <c r="J179" s="53">
        <f t="shared" si="16"/>
        <v>0</v>
      </c>
      <c r="K179" s="53">
        <f t="shared" si="18"/>
        <v>0</v>
      </c>
      <c r="L179" s="54">
        <f>IF(ISERROR(INDEX(data!$A$12:$AI$213,MATCH(HLOOKUP('II. Sledování projektu'!$L$5,vstupy!$N$2:$BY$180,$B179+1,0),data!$B$12:$B$213,0),32)),"",INDEX(data!$A$12:$AI$213,MATCH(HLOOKUP('II. Sledování projektu'!$L$5,vstupy!$N$2:$BY$180,$B179+1,0),data!$B$12:$B$213,0),32))</f>
        <v>0</v>
      </c>
      <c r="M179" s="53">
        <f t="shared" si="19"/>
        <v>0</v>
      </c>
      <c r="N179" s="54">
        <f>IF(ISERROR(VLOOKUP(C179,data!$C$12:$AD$213,28,0)),0,VLOOKUP(C179,data!$C$12:$AD$213,28,0))</f>
        <v>11385</v>
      </c>
    </row>
    <row r="180" spans="2:14" x14ac:dyDescent="0.2">
      <c r="B180" s="19">
        <f t="shared" si="17"/>
        <v>175</v>
      </c>
      <c r="C180" s="19" t="str">
        <f>IF(ISERROR(INDEX(data!$A$12:$AI$213,MATCH(HLOOKUP('II. Sledování projektu'!$L$5,vstupy!$N$2:$BY$180,$B180+1,0),data!$B$12:$B$213,0),3)),"",INDEX(data!$A$12:$AI$213,MATCH(HLOOKUP('II. Sledování projektu'!$L$5,vstupy!$N$2:$BY$180,$B180+1,0),data!$B$12:$B$213,0),3))</f>
        <v/>
      </c>
      <c r="D180" s="156" t="str">
        <f>IF(ISERROR(INDEX(data!$A$12:$AI$213,MATCH(HLOOKUP('II. Sledování projektu'!$L$5,vstupy!$N$2:$BY$180,$B180+1,0),data!$B$12:$B$213,0),35)),"",INDEX(data!$A$12:$AI$213,MATCH(HLOOKUP('II. Sledování projektu'!$L$5,vstupy!$N$2:$BY$180,$B180+1,0),data!$B$12:$B$213,0),35))</f>
        <v/>
      </c>
      <c r="E180" s="49" t="str">
        <f>IF(ISERROR(INDEX(data!$A$12:$AI$213,MATCH(HLOOKUP('II. Sledování projektu'!$L$5,vstupy!$N$2:$BY$180,$B180+1,0),data!$B$12:$B$213,0),27)),"",INDEX(data!$A$12:$AI$213,MATCH(HLOOKUP('II. Sledování projektu'!$L$5,vstupy!$N$2:$BY$180,$B180+1,0),data!$B$12:$B$213,0),27))</f>
        <v/>
      </c>
      <c r="F180" s="54" t="str">
        <f>IF(ISERROR(INDEX(data!$A$12:$AI$213,MATCH(HLOOKUP('II. Sledování projektu'!$L$5,vstupy!$N$2:$BY$180,$B180+1,0),data!$B$12:$B$213,0),28)),"",INDEX(data!$A$12:$AI$213,MATCH(HLOOKUP('II. Sledování projektu'!$L$5,vstupy!$N$2:$BY$180,$B180+1,0),data!$B$12:$B$213,0),28))</f>
        <v/>
      </c>
      <c r="G180" s="53">
        <f t="shared" si="15"/>
        <v>0</v>
      </c>
      <c r="H180" s="53" t="str">
        <f>IF(ISERROR(INDEX(data!$A$12:$AI$213,MATCH(HLOOKUP('II. Sledování projektu'!$L$5,vstupy!$N$2:$BY$180,$B180+1,0),data!$B$12:$B$213,0),29)),"",INDEX(data!$A$12:$AI$213,MATCH(HLOOKUP('II. Sledování projektu'!$L$5,vstupy!$N$2:$BY$180,$B180+1,0),data!$B$12:$B$213,0),29))</f>
        <v/>
      </c>
      <c r="I180" s="54" t="str">
        <f>IF(ISERROR(INDEX(data!$A$12:$AI$213,MATCH(HLOOKUP('II. Sledování projektu'!$L$5,vstupy!$N$2:$BY$180,$B180+1,0),data!$B$12:$B$213,0),31)),"",INDEX(data!$A$12:$AI$213,MATCH(HLOOKUP('II. Sledování projektu'!$L$5,vstupy!$N$2:$BY$180,$B180+1,0),data!$B$12:$B$213,0),31))</f>
        <v/>
      </c>
      <c r="J180" s="53">
        <f t="shared" si="16"/>
        <v>0</v>
      </c>
      <c r="K180" s="53">
        <f t="shared" si="18"/>
        <v>0</v>
      </c>
      <c r="L180" s="54" t="str">
        <f>IF(ISERROR(INDEX(data!$A$12:$AI$213,MATCH(HLOOKUP('II. Sledování projektu'!$L$5,vstupy!$N$2:$BY$180,$B180+1,0),data!$B$12:$B$213,0),32)),"",INDEX(data!$A$12:$AI$213,MATCH(HLOOKUP('II. Sledování projektu'!$L$5,vstupy!$N$2:$BY$180,$B180+1,0),data!$B$12:$B$213,0),32))</f>
        <v/>
      </c>
      <c r="M180" s="53">
        <f t="shared" si="19"/>
        <v>0</v>
      </c>
      <c r="N180" s="54">
        <f>IF(ISERROR(VLOOKUP(C180,data!$C$12:$AD$213,28,0)),0,VLOOKUP(C180,data!$C$12:$AD$213,28,0))</f>
        <v>0</v>
      </c>
    </row>
    <row r="181" spans="2:14" x14ac:dyDescent="0.2">
      <c r="B181" s="19">
        <f t="shared" si="17"/>
        <v>176</v>
      </c>
      <c r="C181" s="19" t="str">
        <f>IF(ISERROR(INDEX(data!$A$12:$AI$213,MATCH(HLOOKUP('II. Sledování projektu'!$L$5,vstupy!$N$2:$BY$180,$B181+1,0),data!$B$12:$B$213,0),3)),"",INDEX(data!$A$12:$AI$213,MATCH(HLOOKUP('II. Sledování projektu'!$L$5,vstupy!$N$2:$BY$180,$B181+1,0),data!$B$12:$B$213,0),3))</f>
        <v/>
      </c>
      <c r="D181" s="156" t="str">
        <f>IF(ISERROR(INDEX(data!$A$12:$AI$213,MATCH(HLOOKUP('II. Sledování projektu'!$L$5,vstupy!$N$2:$BY$180,$B181+1,0),data!$B$12:$B$213,0),35)),"",INDEX(data!$A$12:$AI$213,MATCH(HLOOKUP('II. Sledování projektu'!$L$5,vstupy!$N$2:$BY$180,$B181+1,0),data!$B$12:$B$213,0),35))</f>
        <v/>
      </c>
      <c r="E181" s="49" t="str">
        <f>IF(ISERROR(INDEX(data!$A$12:$AI$213,MATCH(HLOOKUP('II. Sledování projektu'!$L$5,vstupy!$N$2:$BY$180,$B181+1,0),data!$B$12:$B$213,0),27)),"",INDEX(data!$A$12:$AI$213,MATCH(HLOOKUP('II. Sledování projektu'!$L$5,vstupy!$N$2:$BY$180,$B181+1,0),data!$B$12:$B$213,0),27))</f>
        <v/>
      </c>
      <c r="F181" s="54" t="str">
        <f>IF(ISERROR(INDEX(data!$A$12:$AI$213,MATCH(HLOOKUP('II. Sledování projektu'!$L$5,vstupy!$N$2:$BY$180,$B181+1,0),data!$B$12:$B$213,0),28)),"",INDEX(data!$A$12:$AI$213,MATCH(HLOOKUP('II. Sledování projektu'!$L$5,vstupy!$N$2:$BY$180,$B181+1,0),data!$B$12:$B$213,0),28))</f>
        <v/>
      </c>
      <c r="G181" s="53">
        <f t="shared" si="15"/>
        <v>0</v>
      </c>
      <c r="H181" s="53" t="str">
        <f>IF(ISERROR(INDEX(data!$A$12:$AI$213,MATCH(HLOOKUP('II. Sledování projektu'!$L$5,vstupy!$N$2:$BY$180,$B181+1,0),data!$B$12:$B$213,0),29)),"",INDEX(data!$A$12:$AI$213,MATCH(HLOOKUP('II. Sledování projektu'!$L$5,vstupy!$N$2:$BY$180,$B181+1,0),data!$B$12:$B$213,0),29))</f>
        <v/>
      </c>
      <c r="I181" s="54" t="str">
        <f>IF(ISERROR(INDEX(data!$A$12:$AI$213,MATCH(HLOOKUP('II. Sledování projektu'!$L$5,vstupy!$N$2:$BY$180,$B181+1,0),data!$B$12:$B$213,0),31)),"",INDEX(data!$A$12:$AI$213,MATCH(HLOOKUP('II. Sledování projektu'!$L$5,vstupy!$N$2:$BY$180,$B181+1,0),data!$B$12:$B$213,0),31))</f>
        <v/>
      </c>
      <c r="J181" s="53">
        <f t="shared" si="16"/>
        <v>0</v>
      </c>
      <c r="K181" s="53">
        <f t="shared" si="18"/>
        <v>0</v>
      </c>
      <c r="L181" s="54" t="str">
        <f>IF(ISERROR(INDEX(data!$A$12:$AI$213,MATCH(HLOOKUP('II. Sledování projektu'!$L$5,vstupy!$N$2:$BY$180,$B181+1,0),data!$B$12:$B$213,0),32)),"",INDEX(data!$A$12:$AI$213,MATCH(HLOOKUP('II. Sledování projektu'!$L$5,vstupy!$N$2:$BY$180,$B181+1,0),data!$B$12:$B$213,0),32))</f>
        <v/>
      </c>
      <c r="M181" s="53">
        <f t="shared" si="19"/>
        <v>0</v>
      </c>
      <c r="N181" s="54">
        <f>IF(ISERROR(VLOOKUP(C181,data!$C$12:$AD$213,28,0)),0,VLOOKUP(C181,data!$C$12:$AD$213,28,0))</f>
        <v>0</v>
      </c>
    </row>
    <row r="182" spans="2:14" x14ac:dyDescent="0.2">
      <c r="D182" s="156"/>
      <c r="E182" s="49"/>
      <c r="F182" s="54"/>
      <c r="G182" s="53"/>
      <c r="H182" s="53"/>
      <c r="I182" s="54"/>
      <c r="J182" s="53"/>
      <c r="K182" s="53"/>
      <c r="L182" s="54"/>
      <c r="M182" s="53"/>
      <c r="N182" s="54"/>
    </row>
    <row r="183" spans="2:14" x14ac:dyDescent="0.2">
      <c r="D183" s="156"/>
      <c r="E183" s="49"/>
      <c r="F183" s="54"/>
      <c r="G183" s="53"/>
      <c r="H183" s="53"/>
      <c r="I183" s="54"/>
      <c r="J183" s="53"/>
      <c r="K183" s="53"/>
      <c r="L183" s="54"/>
      <c r="M183" s="53"/>
      <c r="N183" s="54"/>
    </row>
    <row r="184" spans="2:14" x14ac:dyDescent="0.2">
      <c r="D184" s="156"/>
      <c r="E184" s="49"/>
      <c r="F184" s="54"/>
      <c r="G184" s="53"/>
      <c r="H184" s="53"/>
      <c r="I184" s="54"/>
      <c r="J184" s="53"/>
      <c r="K184" s="53"/>
      <c r="L184" s="54"/>
      <c r="M184" s="53"/>
      <c r="N184" s="54"/>
    </row>
  </sheetData>
  <autoFilter ref="C5:M5"/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BH197"/>
  <sheetViews>
    <sheetView workbookViewId="0">
      <selection activeCell="N2" sqref="N2"/>
    </sheetView>
  </sheetViews>
  <sheetFormatPr defaultRowHeight="11.25" x14ac:dyDescent="0.2"/>
  <cols>
    <col min="1" max="1" width="3.83203125" customWidth="1"/>
    <col min="2" max="2" width="11.83203125" customWidth="1"/>
    <col min="3" max="3" width="7.1640625" customWidth="1"/>
    <col min="4" max="4" width="3.83203125" style="7" customWidth="1"/>
    <col min="5" max="5" width="5.1640625" customWidth="1"/>
    <col min="6" max="6" width="10.33203125" bestFit="1" customWidth="1"/>
    <col min="8" max="8" width="4" customWidth="1"/>
    <col min="14" max="37" width="5.83203125" customWidth="1"/>
    <col min="38" max="54" width="6.33203125" customWidth="1"/>
    <col min="55" max="55" width="8.33203125" bestFit="1" customWidth="1"/>
    <col min="56" max="82" width="6.33203125" customWidth="1"/>
  </cols>
  <sheetData>
    <row r="1" spans="2:60" x14ac:dyDescent="0.2">
      <c r="B1" s="346" t="s">
        <v>422</v>
      </c>
    </row>
    <row r="2" spans="2:60" ht="66" customHeight="1" x14ac:dyDescent="0.2">
      <c r="N2" s="9" t="s">
        <v>13</v>
      </c>
      <c r="O2" s="9" t="s">
        <v>51</v>
      </c>
      <c r="P2" s="91" t="s">
        <v>32</v>
      </c>
      <c r="Q2" s="91" t="s">
        <v>33</v>
      </c>
      <c r="R2" s="91" t="s">
        <v>34</v>
      </c>
      <c r="S2" s="91" t="s">
        <v>35</v>
      </c>
      <c r="T2" s="91" t="s">
        <v>36</v>
      </c>
      <c r="U2" s="91" t="s">
        <v>7</v>
      </c>
      <c r="V2" s="91" t="s">
        <v>37</v>
      </c>
      <c r="W2" s="91" t="s">
        <v>38</v>
      </c>
      <c r="X2" s="91" t="s">
        <v>8</v>
      </c>
      <c r="Y2" s="91" t="s">
        <v>39</v>
      </c>
      <c r="Z2" s="91" t="s">
        <v>40</v>
      </c>
      <c r="AA2" s="91" t="s">
        <v>9</v>
      </c>
      <c r="AB2" s="91" t="s">
        <v>41</v>
      </c>
      <c r="AC2" s="91" t="s">
        <v>42</v>
      </c>
      <c r="AD2" s="91" t="s">
        <v>43</v>
      </c>
      <c r="AE2" s="91" t="s">
        <v>10</v>
      </c>
      <c r="AF2" s="91" t="s">
        <v>44</v>
      </c>
      <c r="AG2" s="91" t="s">
        <v>45</v>
      </c>
      <c r="AH2" s="91" t="s">
        <v>11</v>
      </c>
      <c r="AI2" s="91" t="s">
        <v>12</v>
      </c>
      <c r="AJ2" s="91" t="s">
        <v>46</v>
      </c>
      <c r="AK2" s="91" t="s">
        <v>47</v>
      </c>
      <c r="AL2" s="91" t="s">
        <v>48</v>
      </c>
      <c r="AM2" s="91" t="s">
        <v>49</v>
      </c>
      <c r="AN2" s="291" t="s">
        <v>376</v>
      </c>
      <c r="AO2" s="92" t="s">
        <v>5</v>
      </c>
      <c r="AP2" s="92" t="s">
        <v>289</v>
      </c>
      <c r="AQ2" s="92" t="s">
        <v>444</v>
      </c>
      <c r="AR2" s="92" t="s">
        <v>577</v>
      </c>
      <c r="AS2" s="92" t="s">
        <v>582</v>
      </c>
      <c r="AT2" s="124" t="s">
        <v>290</v>
      </c>
      <c r="AU2" s="92" t="s">
        <v>575</v>
      </c>
      <c r="AV2" s="92" t="s">
        <v>445</v>
      </c>
      <c r="AW2" s="92" t="s">
        <v>446</v>
      </c>
      <c r="AX2" s="13" t="s">
        <v>29</v>
      </c>
      <c r="AY2" s="13" t="s">
        <v>53</v>
      </c>
      <c r="AZ2" s="13" t="s">
        <v>55</v>
      </c>
      <c r="BA2" s="13" t="s">
        <v>1</v>
      </c>
      <c r="BB2" s="13" t="s">
        <v>2</v>
      </c>
      <c r="BC2" s="13" t="s">
        <v>54</v>
      </c>
      <c r="BD2" s="79" t="s">
        <v>6</v>
      </c>
      <c r="BE2" s="95" t="s">
        <v>112</v>
      </c>
      <c r="BF2" s="95" t="s">
        <v>111</v>
      </c>
      <c r="BG2" s="96" t="s">
        <v>110</v>
      </c>
      <c r="BH2" s="96" t="s">
        <v>109</v>
      </c>
    </row>
    <row r="3" spans="2:60" s="5" customFormat="1" x14ac:dyDescent="0.2">
      <c r="B3" s="55" t="s">
        <v>31</v>
      </c>
      <c r="C3" s="40">
        <v>3</v>
      </c>
      <c r="D3" s="40"/>
      <c r="E3" s="40"/>
      <c r="F3" s="55" t="s">
        <v>375</v>
      </c>
      <c r="G3" s="40"/>
      <c r="H3" s="40"/>
      <c r="I3" s="40"/>
      <c r="M3" s="252"/>
      <c r="N3" s="10">
        <v>1</v>
      </c>
      <c r="O3" s="15">
        <v>60351</v>
      </c>
      <c r="P3" s="15">
        <v>60360</v>
      </c>
      <c r="Q3" s="6">
        <v>60316</v>
      </c>
      <c r="R3" s="6">
        <v>60387</v>
      </c>
      <c r="S3" s="698"/>
      <c r="T3" s="6">
        <v>60324</v>
      </c>
      <c r="U3" s="6">
        <v>60381</v>
      </c>
      <c r="V3" s="6">
        <v>60412</v>
      </c>
      <c r="W3" s="6">
        <v>60413</v>
      </c>
      <c r="X3" s="6">
        <v>60360</v>
      </c>
      <c r="Y3" s="6">
        <v>60416</v>
      </c>
      <c r="Z3" s="6">
        <v>60317</v>
      </c>
      <c r="AA3" s="6">
        <v>60456</v>
      </c>
      <c r="AB3" s="6">
        <v>60417</v>
      </c>
      <c r="AC3" s="6">
        <v>61109</v>
      </c>
      <c r="AD3" s="6">
        <v>60419</v>
      </c>
      <c r="AE3" s="6">
        <v>60362</v>
      </c>
      <c r="AF3" s="6">
        <v>60320</v>
      </c>
      <c r="AG3" s="6">
        <v>60318</v>
      </c>
      <c r="AH3" s="6">
        <v>60402</v>
      </c>
      <c r="AI3" s="6">
        <v>60430</v>
      </c>
      <c r="AJ3" s="6">
        <v>60433</v>
      </c>
      <c r="AK3" s="6">
        <v>60451</v>
      </c>
      <c r="AL3" s="6">
        <v>60315</v>
      </c>
      <c r="AM3" s="6">
        <v>60434</v>
      </c>
      <c r="AN3" s="15">
        <v>60351</v>
      </c>
      <c r="AO3" s="15">
        <v>69166</v>
      </c>
      <c r="AP3" s="11">
        <v>60344</v>
      </c>
      <c r="AQ3" s="11">
        <v>60699</v>
      </c>
      <c r="AR3" s="11">
        <v>60438</v>
      </c>
      <c r="AS3" s="11">
        <v>60445</v>
      </c>
      <c r="AT3" s="11">
        <v>60302</v>
      </c>
      <c r="AU3" s="11">
        <v>60351</v>
      </c>
      <c r="AV3" s="11"/>
      <c r="AW3" s="11"/>
      <c r="AX3" s="11">
        <v>60344</v>
      </c>
      <c r="AY3" s="11">
        <v>60344</v>
      </c>
      <c r="AZ3" s="15">
        <v>60302</v>
      </c>
      <c r="BA3" s="15">
        <v>60344</v>
      </c>
      <c r="BB3" s="11">
        <v>60351</v>
      </c>
      <c r="BC3" s="11">
        <v>60360</v>
      </c>
      <c r="BD3" s="11" t="s">
        <v>85</v>
      </c>
      <c r="BE3" s="11">
        <v>60479</v>
      </c>
      <c r="BF3" s="11">
        <v>60390</v>
      </c>
      <c r="BG3" s="40">
        <v>60455</v>
      </c>
      <c r="BH3" s="40">
        <v>60360</v>
      </c>
    </row>
    <row r="4" spans="2:60" s="5" customFormat="1" x14ac:dyDescent="0.2">
      <c r="B4" s="58" t="s">
        <v>50</v>
      </c>
      <c r="C4" s="59"/>
      <c r="D4" s="40"/>
      <c r="E4" s="40"/>
      <c r="F4" s="64" t="s">
        <v>376</v>
      </c>
      <c r="G4" s="65"/>
      <c r="H4" s="65"/>
      <c r="I4" s="66"/>
      <c r="M4" s="252"/>
      <c r="N4" s="10">
        <v>2</v>
      </c>
      <c r="O4" s="15">
        <v>60344</v>
      </c>
      <c r="P4" s="15">
        <v>60455</v>
      </c>
      <c r="Q4" s="6">
        <v>60458</v>
      </c>
      <c r="R4" s="6">
        <v>60313</v>
      </c>
      <c r="S4" s="6">
        <v>60323</v>
      </c>
      <c r="T4" s="6">
        <v>60464</v>
      </c>
      <c r="U4" s="6">
        <v>60410</v>
      </c>
      <c r="V4" s="6">
        <v>60321</v>
      </c>
      <c r="W4" s="6">
        <v>60312</v>
      </c>
      <c r="X4" s="6">
        <v>60455</v>
      </c>
      <c r="Y4" s="6">
        <v>60322</v>
      </c>
      <c r="Z4" s="6"/>
      <c r="AA4" s="6">
        <v>60459</v>
      </c>
      <c r="AB4" s="6">
        <v>60319</v>
      </c>
      <c r="AC4" s="6">
        <v>60358</v>
      </c>
      <c r="AD4" s="6">
        <v>60311</v>
      </c>
      <c r="AE4" s="6">
        <v>60420</v>
      </c>
      <c r="AF4" s="6">
        <v>60465</v>
      </c>
      <c r="AG4" s="6"/>
      <c r="AH4" s="6">
        <v>60429</v>
      </c>
      <c r="AI4" s="6">
        <v>60405</v>
      </c>
      <c r="AJ4" s="6">
        <v>60314</v>
      </c>
      <c r="AK4" s="6">
        <v>60310</v>
      </c>
      <c r="AL4" s="6"/>
      <c r="AM4" s="6">
        <v>60308</v>
      </c>
      <c r="AN4" s="15">
        <v>60344</v>
      </c>
      <c r="AO4" s="15">
        <v>61686</v>
      </c>
      <c r="AP4" s="11">
        <v>60439</v>
      </c>
      <c r="AQ4" s="11">
        <v>60453</v>
      </c>
      <c r="AR4" s="11">
        <v>60365</v>
      </c>
      <c r="AS4" s="11">
        <v>60452</v>
      </c>
      <c r="AT4" s="40"/>
      <c r="AU4" s="11">
        <v>60350</v>
      </c>
      <c r="AV4" s="11"/>
      <c r="AW4" s="11"/>
      <c r="AX4" s="11">
        <v>60351</v>
      </c>
      <c r="AY4" s="11">
        <v>60351</v>
      </c>
      <c r="AZ4" s="15">
        <v>60316</v>
      </c>
      <c r="BA4" s="15">
        <v>60699</v>
      </c>
      <c r="BB4" s="11">
        <v>60350</v>
      </c>
      <c r="BC4" s="11">
        <v>60455</v>
      </c>
      <c r="BD4" s="11" t="s">
        <v>86</v>
      </c>
      <c r="BE4" s="11">
        <v>60500</v>
      </c>
      <c r="BF4" s="11">
        <v>60430</v>
      </c>
      <c r="BG4" s="40">
        <v>60456</v>
      </c>
      <c r="BH4" s="40">
        <v>60362</v>
      </c>
    </row>
    <row r="5" spans="2:60" s="5" customFormat="1" x14ac:dyDescent="0.2">
      <c r="B5" s="60" t="s">
        <v>375</v>
      </c>
      <c r="C5" s="61"/>
      <c r="D5" s="40"/>
      <c r="E5" s="40"/>
      <c r="F5" s="67" t="s">
        <v>5</v>
      </c>
      <c r="G5" s="68"/>
      <c r="H5" s="68"/>
      <c r="I5" s="69"/>
      <c r="M5" s="252"/>
      <c r="N5" s="10">
        <v>3</v>
      </c>
      <c r="O5" s="15">
        <v>60302</v>
      </c>
      <c r="P5" s="15">
        <v>60456</v>
      </c>
      <c r="Q5" s="6"/>
      <c r="R5" s="6">
        <v>60483</v>
      </c>
      <c r="S5" s="6">
        <v>60463</v>
      </c>
      <c r="T5" s="6"/>
      <c r="U5" s="6">
        <v>60407</v>
      </c>
      <c r="V5" s="6"/>
      <c r="W5" s="6">
        <v>60488</v>
      </c>
      <c r="X5" s="6">
        <v>60479</v>
      </c>
      <c r="Y5" s="6">
        <v>60490</v>
      </c>
      <c r="Z5" s="6"/>
      <c r="AA5" s="6">
        <v>60383</v>
      </c>
      <c r="AB5" s="6">
        <v>60491</v>
      </c>
      <c r="AC5" s="6"/>
      <c r="AD5" s="6">
        <v>60475</v>
      </c>
      <c r="AE5" s="6">
        <v>60388</v>
      </c>
      <c r="AF5" s="6"/>
      <c r="AG5" s="6"/>
      <c r="AH5" s="6">
        <v>60927</v>
      </c>
      <c r="AI5" s="40">
        <v>60415</v>
      </c>
      <c r="AJ5" s="6">
        <v>60508</v>
      </c>
      <c r="AK5" s="6">
        <v>60466</v>
      </c>
      <c r="AL5" s="6"/>
      <c r="AM5" s="6">
        <v>60510</v>
      </c>
      <c r="AN5" s="15">
        <v>60302</v>
      </c>
      <c r="AO5" s="15">
        <v>60443</v>
      </c>
      <c r="AP5" s="11">
        <v>60450</v>
      </c>
      <c r="AQ5" s="11">
        <v>60380</v>
      </c>
      <c r="AR5" s="11">
        <v>60375</v>
      </c>
      <c r="AS5" s="11">
        <v>60374</v>
      </c>
      <c r="AT5" s="40"/>
      <c r="AU5" s="11">
        <v>60363</v>
      </c>
      <c r="AV5" s="11"/>
      <c r="AW5" s="11"/>
      <c r="AX5" s="11">
        <v>60350</v>
      </c>
      <c r="AY5" s="11">
        <v>60350</v>
      </c>
      <c r="AZ5" s="15">
        <v>60313</v>
      </c>
      <c r="BA5" s="15">
        <v>60375</v>
      </c>
      <c r="BB5" s="11">
        <v>60438</v>
      </c>
      <c r="BC5" s="11">
        <v>60456</v>
      </c>
      <c r="BD5" s="11" t="s">
        <v>87</v>
      </c>
      <c r="BE5" s="11">
        <v>60501</v>
      </c>
      <c r="BF5" s="11">
        <v>60420</v>
      </c>
      <c r="BG5" s="40">
        <v>60459</v>
      </c>
      <c r="BH5" s="40">
        <v>60383</v>
      </c>
    </row>
    <row r="6" spans="2:60" s="5" customFormat="1" x14ac:dyDescent="0.2">
      <c r="B6" s="60" t="s">
        <v>52</v>
      </c>
      <c r="C6" s="61"/>
      <c r="D6" s="40"/>
      <c r="E6" s="40"/>
      <c r="F6" s="67" t="s">
        <v>289</v>
      </c>
      <c r="G6" s="68"/>
      <c r="H6" s="68"/>
      <c r="I6" s="69"/>
      <c r="M6" s="252"/>
      <c r="N6" s="10">
        <v>4</v>
      </c>
      <c r="O6" s="15">
        <v>60350</v>
      </c>
      <c r="P6" s="15">
        <v>60459</v>
      </c>
      <c r="Q6" s="6"/>
      <c r="R6" s="6"/>
      <c r="S6" s="6"/>
      <c r="T6" s="6"/>
      <c r="U6" s="6">
        <v>60359</v>
      </c>
      <c r="V6" s="6"/>
      <c r="W6" s="6"/>
      <c r="X6" s="6">
        <v>60390</v>
      </c>
      <c r="Y6" s="6"/>
      <c r="Z6" s="6"/>
      <c r="AA6" s="6">
        <v>60389</v>
      </c>
      <c r="AB6" s="6"/>
      <c r="AC6" s="6"/>
      <c r="AD6" s="6"/>
      <c r="AE6" s="6">
        <v>60421</v>
      </c>
      <c r="AF6" s="6"/>
      <c r="AG6" s="6"/>
      <c r="AH6" s="6">
        <v>60505</v>
      </c>
      <c r="AI6" s="40">
        <v>69165</v>
      </c>
      <c r="AJ6" s="6"/>
      <c r="AK6" s="6">
        <v>60515</v>
      </c>
      <c r="AL6" s="6"/>
      <c r="AM6" s="6"/>
      <c r="AN6" s="15">
        <v>60350</v>
      </c>
      <c r="AO6" s="40"/>
      <c r="AP6" s="11"/>
      <c r="AQ6" s="11">
        <v>60440</v>
      </c>
      <c r="AR6" s="11">
        <v>60923</v>
      </c>
      <c r="AS6" s="11">
        <v>60446</v>
      </c>
      <c r="AT6" s="11"/>
      <c r="AU6" s="11">
        <v>60364</v>
      </c>
      <c r="AV6" s="11"/>
      <c r="AW6" s="11"/>
      <c r="AX6" s="11">
        <v>60438</v>
      </c>
      <c r="AY6" s="11">
        <v>60438</v>
      </c>
      <c r="AZ6" s="15">
        <v>60323</v>
      </c>
      <c r="BA6" s="15">
        <v>60439</v>
      </c>
      <c r="BB6" s="11">
        <v>60363</v>
      </c>
      <c r="BC6" s="11">
        <v>60459</v>
      </c>
      <c r="BD6" s="11" t="s">
        <v>88</v>
      </c>
      <c r="BE6" s="11">
        <v>60470</v>
      </c>
      <c r="BF6" s="11">
        <v>60388</v>
      </c>
      <c r="BG6" s="40">
        <v>60514</v>
      </c>
      <c r="BH6" s="40">
        <v>60449</v>
      </c>
    </row>
    <row r="7" spans="2:60" s="5" customFormat="1" x14ac:dyDescent="0.2">
      <c r="B7" s="62" t="s">
        <v>81</v>
      </c>
      <c r="C7" s="63"/>
      <c r="D7" s="40"/>
      <c r="E7" s="40"/>
      <c r="F7" s="67" t="s">
        <v>444</v>
      </c>
      <c r="G7" s="68"/>
      <c r="H7" s="68"/>
      <c r="I7" s="69"/>
      <c r="M7" s="252"/>
      <c r="N7" s="10">
        <v>5</v>
      </c>
      <c r="O7" s="15">
        <v>60438</v>
      </c>
      <c r="P7" s="15">
        <v>60479</v>
      </c>
      <c r="Q7" s="6"/>
      <c r="R7" s="6"/>
      <c r="S7" s="6"/>
      <c r="T7" s="6"/>
      <c r="U7" s="6">
        <v>60411</v>
      </c>
      <c r="V7" s="6"/>
      <c r="W7" s="6"/>
      <c r="X7" s="6">
        <v>60391</v>
      </c>
      <c r="Y7" s="6"/>
      <c r="Z7" s="6"/>
      <c r="AA7" s="6">
        <v>60403</v>
      </c>
      <c r="AB7" s="6"/>
      <c r="AC7" s="6"/>
      <c r="AD7" s="6"/>
      <c r="AE7" s="6">
        <v>60422</v>
      </c>
      <c r="AF7" s="6"/>
      <c r="AG7" s="6"/>
      <c r="AH7" s="40"/>
      <c r="AI7" s="40">
        <v>60305</v>
      </c>
      <c r="AJ7" s="6"/>
      <c r="AK7" s="6"/>
      <c r="AL7" s="6"/>
      <c r="AM7" s="6"/>
      <c r="AN7" s="15">
        <v>60438</v>
      </c>
      <c r="AO7" s="11"/>
      <c r="AP7" s="11"/>
      <c r="AQ7" s="11">
        <v>60444</v>
      </c>
      <c r="AR7" s="11">
        <v>60921</v>
      </c>
      <c r="AS7" s="11">
        <v>60447</v>
      </c>
      <c r="AT7" s="40"/>
      <c r="AU7" s="11">
        <v>60367</v>
      </c>
      <c r="AV7" s="11"/>
      <c r="AW7" s="11"/>
      <c r="AX7" s="11">
        <v>60699</v>
      </c>
      <c r="AY7" s="11">
        <v>60699</v>
      </c>
      <c r="AZ7" s="15">
        <v>60324</v>
      </c>
      <c r="BA7" s="15">
        <v>60445</v>
      </c>
      <c r="BB7" s="11">
        <v>60364</v>
      </c>
      <c r="BC7" s="11">
        <v>60479</v>
      </c>
      <c r="BD7" s="11" t="s">
        <v>89</v>
      </c>
      <c r="BE7" s="11">
        <v>60482</v>
      </c>
      <c r="BF7" s="11">
        <v>60391</v>
      </c>
      <c r="BG7" s="40">
        <v>60457</v>
      </c>
      <c r="BH7" s="40">
        <v>60385</v>
      </c>
    </row>
    <row r="8" spans="2:60" s="5" customFormat="1" x14ac:dyDescent="0.2">
      <c r="B8" s="40"/>
      <c r="C8" s="40"/>
      <c r="D8" s="40"/>
      <c r="E8" s="40"/>
      <c r="F8" s="67" t="s">
        <v>577</v>
      </c>
      <c r="G8" s="68"/>
      <c r="H8" s="68"/>
      <c r="I8" s="69"/>
      <c r="M8" s="252"/>
      <c r="N8" s="10">
        <v>6</v>
      </c>
      <c r="O8" s="15">
        <v>60699</v>
      </c>
      <c r="P8" s="15">
        <v>60362</v>
      </c>
      <c r="Q8" s="6"/>
      <c r="R8" s="6"/>
      <c r="S8" s="6"/>
      <c r="T8" s="6"/>
      <c r="U8" s="6">
        <v>60306</v>
      </c>
      <c r="V8" s="6"/>
      <c r="W8" s="6"/>
      <c r="X8" s="6">
        <v>60392</v>
      </c>
      <c r="Y8" s="6"/>
      <c r="Z8" s="6"/>
      <c r="AA8" s="6">
        <v>60404</v>
      </c>
      <c r="AB8" s="6"/>
      <c r="AC8" s="6"/>
      <c r="AD8" s="6"/>
      <c r="AE8" s="6">
        <v>60423</v>
      </c>
      <c r="AF8" s="6"/>
      <c r="AG8" s="6"/>
      <c r="AH8" s="6"/>
      <c r="AI8" s="40">
        <v>60489</v>
      </c>
      <c r="AJ8" s="6"/>
      <c r="AK8" s="6"/>
      <c r="AL8" s="6"/>
      <c r="AM8" s="6"/>
      <c r="AN8" s="15">
        <v>60699</v>
      </c>
      <c r="AO8" s="11"/>
      <c r="AP8" s="11"/>
      <c r="AQ8" s="11"/>
      <c r="AR8" s="11">
        <v>60376</v>
      </c>
      <c r="AS8" s="11">
        <v>60448</v>
      </c>
      <c r="AT8" s="11"/>
      <c r="AU8" s="11">
        <v>60922</v>
      </c>
      <c r="AV8" s="11"/>
      <c r="AW8" s="11"/>
      <c r="AX8" s="11">
        <v>60302</v>
      </c>
      <c r="AY8" s="11">
        <v>60302</v>
      </c>
      <c r="AZ8" s="15">
        <v>60306</v>
      </c>
      <c r="BA8" s="15">
        <v>60452</v>
      </c>
      <c r="BB8" s="11">
        <v>60365</v>
      </c>
      <c r="BC8" s="11">
        <v>60362</v>
      </c>
      <c r="BD8" s="11" t="s">
        <v>90</v>
      </c>
      <c r="BE8" s="11">
        <v>60483</v>
      </c>
      <c r="BF8" s="11">
        <v>60410</v>
      </c>
      <c r="BG8" s="40">
        <v>60458</v>
      </c>
      <c r="BH8" s="40">
        <v>60451</v>
      </c>
    </row>
    <row r="9" spans="2:60" s="5" customFormat="1" x14ac:dyDescent="0.2">
      <c r="B9" s="40"/>
      <c r="C9" s="40"/>
      <c r="D9" s="40"/>
      <c r="E9" s="40"/>
      <c r="F9" s="67" t="s">
        <v>582</v>
      </c>
      <c r="G9" s="68"/>
      <c r="H9" s="68"/>
      <c r="I9" s="69"/>
      <c r="M9" s="252"/>
      <c r="N9" s="10">
        <v>7</v>
      </c>
      <c r="O9" s="15">
        <v>60360</v>
      </c>
      <c r="P9" s="697"/>
      <c r="Q9" s="6"/>
      <c r="R9" s="6"/>
      <c r="S9" s="6"/>
      <c r="T9" s="6"/>
      <c r="U9" s="6">
        <v>60487</v>
      </c>
      <c r="V9" s="6"/>
      <c r="W9" s="6"/>
      <c r="X9" s="6">
        <v>60393</v>
      </c>
      <c r="Y9" s="6"/>
      <c r="Z9" s="6"/>
      <c r="AA9" s="6">
        <v>60406</v>
      </c>
      <c r="AB9" s="6"/>
      <c r="AC9" s="6"/>
      <c r="AD9" s="6"/>
      <c r="AE9" s="6">
        <v>60424</v>
      </c>
      <c r="AF9" s="6"/>
      <c r="AG9" s="6"/>
      <c r="AH9" s="6"/>
      <c r="AI9" s="40">
        <v>60506</v>
      </c>
      <c r="AJ9" s="6"/>
      <c r="AK9" s="6"/>
      <c r="AL9" s="6"/>
      <c r="AM9" s="6"/>
      <c r="AN9" s="15">
        <v>60363</v>
      </c>
      <c r="AO9" s="11"/>
      <c r="AP9" s="11"/>
      <c r="AQ9" s="11"/>
      <c r="AR9" s="11">
        <v>60377</v>
      </c>
      <c r="AS9" s="11"/>
      <c r="AT9" s="40"/>
      <c r="AU9" s="11">
        <v>60371</v>
      </c>
      <c r="AV9" s="11"/>
      <c r="AW9" s="11"/>
      <c r="AX9" s="11"/>
      <c r="AY9" s="11">
        <v>60452</v>
      </c>
      <c r="AZ9" s="15">
        <v>60321</v>
      </c>
      <c r="BA9" s="15">
        <v>60921</v>
      </c>
      <c r="BB9" s="11">
        <v>60367</v>
      </c>
      <c r="BC9" s="11">
        <v>60381</v>
      </c>
      <c r="BD9" s="11" t="s">
        <v>91</v>
      </c>
      <c r="BE9" s="11">
        <v>60484</v>
      </c>
      <c r="BF9" s="11">
        <v>60389</v>
      </c>
      <c r="BG9" s="40">
        <v>60454</v>
      </c>
      <c r="BH9" s="40"/>
    </row>
    <row r="10" spans="2:60" s="5" customFormat="1" x14ac:dyDescent="0.2">
      <c r="B10" s="55" t="s">
        <v>50</v>
      </c>
      <c r="C10" s="40"/>
      <c r="D10" s="40"/>
      <c r="E10" s="40"/>
      <c r="F10" s="67" t="s">
        <v>290</v>
      </c>
      <c r="G10" s="68"/>
      <c r="H10" s="68"/>
      <c r="I10" s="69"/>
      <c r="M10" s="252"/>
      <c r="N10" s="10">
        <v>8</v>
      </c>
      <c r="O10" s="15">
        <v>60363</v>
      </c>
      <c r="P10" s="15">
        <v>60381</v>
      </c>
      <c r="Q10" s="6"/>
      <c r="R10" s="6"/>
      <c r="S10" s="6"/>
      <c r="T10" s="6"/>
      <c r="U10" s="6"/>
      <c r="V10" s="6"/>
      <c r="W10" s="6"/>
      <c r="X10" s="6">
        <v>60394</v>
      </c>
      <c r="Y10" s="6"/>
      <c r="Z10" s="6"/>
      <c r="AA10" s="6">
        <v>60435</v>
      </c>
      <c r="AB10" s="6"/>
      <c r="AC10" s="6"/>
      <c r="AD10" s="6"/>
      <c r="AE10" s="6">
        <v>60425</v>
      </c>
      <c r="AF10" s="6"/>
      <c r="AG10" s="6"/>
      <c r="AH10" s="6"/>
      <c r="AI10" s="40">
        <v>60507</v>
      </c>
      <c r="AJ10" s="6"/>
      <c r="AK10" s="6"/>
      <c r="AL10" s="6"/>
      <c r="AM10" s="6"/>
      <c r="AN10" s="15">
        <v>60364</v>
      </c>
      <c r="AO10" s="11"/>
      <c r="AP10" s="11"/>
      <c r="AQ10" s="11"/>
      <c r="AR10" s="11">
        <v>60378</v>
      </c>
      <c r="AS10" s="11"/>
      <c r="AT10" s="40"/>
      <c r="AU10" s="11">
        <v>61061</v>
      </c>
      <c r="AV10" s="11"/>
      <c r="AW10" s="11"/>
      <c r="AX10" s="11"/>
      <c r="AY10" s="11">
        <v>60459</v>
      </c>
      <c r="AZ10" s="15">
        <v>60312</v>
      </c>
      <c r="BA10" s="15">
        <v>60376</v>
      </c>
      <c r="BB10" s="11">
        <v>60922</v>
      </c>
      <c r="BC10" s="11">
        <v>60383</v>
      </c>
      <c r="BD10" s="11" t="s">
        <v>92</v>
      </c>
      <c r="BE10" s="11">
        <v>60485</v>
      </c>
      <c r="BF10" s="11">
        <v>60405</v>
      </c>
      <c r="BG10" s="40">
        <v>60928</v>
      </c>
      <c r="BH10" s="40"/>
    </row>
    <row r="11" spans="2:60" s="5" customFormat="1" x14ac:dyDescent="0.2">
      <c r="B11" s="64" t="s">
        <v>32</v>
      </c>
      <c r="C11" s="65"/>
      <c r="D11" s="66"/>
      <c r="E11" s="40"/>
      <c r="F11" s="67" t="s">
        <v>575</v>
      </c>
      <c r="G11" s="68"/>
      <c r="H11" s="68"/>
      <c r="I11" s="69"/>
      <c r="M11" s="253"/>
      <c r="N11" s="10">
        <v>9</v>
      </c>
      <c r="O11" s="15">
        <v>60364</v>
      </c>
      <c r="P11" s="15">
        <v>60383</v>
      </c>
      <c r="Q11" s="6"/>
      <c r="R11" s="6"/>
      <c r="S11" s="6"/>
      <c r="T11" s="6"/>
      <c r="U11" s="6"/>
      <c r="V11" s="6"/>
      <c r="W11" s="6"/>
      <c r="X11" s="6">
        <v>60395</v>
      </c>
      <c r="Y11" s="6"/>
      <c r="Z11" s="6"/>
      <c r="AA11" s="6">
        <v>60436</v>
      </c>
      <c r="AB11" s="6"/>
      <c r="AC11" s="6"/>
      <c r="AD11" s="6"/>
      <c r="AE11" s="6">
        <v>60426</v>
      </c>
      <c r="AF11" s="6"/>
      <c r="AG11" s="6"/>
      <c r="AH11" s="6"/>
      <c r="AI11" s="40"/>
      <c r="AJ11" s="6"/>
      <c r="AK11" s="6"/>
      <c r="AL11" s="6"/>
      <c r="AM11" s="6"/>
      <c r="AN11" s="15">
        <v>60365</v>
      </c>
      <c r="AO11" s="11"/>
      <c r="AP11" s="11"/>
      <c r="AQ11" s="11"/>
      <c r="AR11" s="11">
        <v>60384</v>
      </c>
      <c r="AS11" s="11"/>
      <c r="AT11" s="11"/>
      <c r="AU11" s="11">
        <v>60373</v>
      </c>
      <c r="AV11" s="11"/>
      <c r="AW11" s="11"/>
      <c r="AX11" s="11"/>
      <c r="AY11" s="11">
        <v>60360</v>
      </c>
      <c r="AZ11" s="15">
        <v>60307</v>
      </c>
      <c r="BA11" s="15"/>
      <c r="BB11" s="11">
        <v>60371</v>
      </c>
      <c r="BC11" s="11">
        <v>60390</v>
      </c>
      <c r="BD11" s="11" t="s">
        <v>93</v>
      </c>
      <c r="BE11" s="11">
        <v>60487</v>
      </c>
      <c r="BF11" s="11">
        <v>60392</v>
      </c>
      <c r="BG11" s="40">
        <v>60461</v>
      </c>
      <c r="BH11" s="40"/>
    </row>
    <row r="12" spans="2:60" s="5" customFormat="1" x14ac:dyDescent="0.2">
      <c r="B12" s="67" t="s">
        <v>33</v>
      </c>
      <c r="C12" s="68"/>
      <c r="D12" s="69"/>
      <c r="E12" s="40"/>
      <c r="F12" s="56"/>
      <c r="G12" s="57"/>
      <c r="H12" s="57"/>
      <c r="I12" s="57"/>
      <c r="M12" s="253"/>
      <c r="N12" s="10">
        <v>10</v>
      </c>
      <c r="O12" s="15">
        <v>60365</v>
      </c>
      <c r="P12" s="15">
        <v>60390</v>
      </c>
      <c r="Q12" s="6"/>
      <c r="R12" s="6"/>
      <c r="S12" s="6"/>
      <c r="T12" s="6"/>
      <c r="U12" s="6"/>
      <c r="V12" s="6"/>
      <c r="W12" s="6"/>
      <c r="X12" s="6">
        <v>60396</v>
      </c>
      <c r="Y12" s="6"/>
      <c r="Z12" s="6"/>
      <c r="AA12" s="6">
        <v>60437</v>
      </c>
      <c r="AB12" s="6"/>
      <c r="AC12" s="6"/>
      <c r="AD12" s="6"/>
      <c r="AE12" s="6">
        <v>60427</v>
      </c>
      <c r="AF12" s="6"/>
      <c r="AG12" s="6"/>
      <c r="AH12" s="6"/>
      <c r="AI12" s="40"/>
      <c r="AJ12" s="6"/>
      <c r="AK12" s="6"/>
      <c r="AL12" s="6"/>
      <c r="AM12" s="6"/>
      <c r="AN12" s="15">
        <v>60367</v>
      </c>
      <c r="AO12" s="11"/>
      <c r="AP12" s="11"/>
      <c r="AQ12" s="11"/>
      <c r="AR12" s="11">
        <v>60441</v>
      </c>
      <c r="AS12" s="11"/>
      <c r="AT12" s="11"/>
      <c r="AU12" s="11">
        <v>60368</v>
      </c>
      <c r="AV12" s="11"/>
      <c r="AW12" s="11"/>
      <c r="AX12" s="11"/>
      <c r="AY12" s="11">
        <v>60363</v>
      </c>
      <c r="AZ12" s="15">
        <v>60322</v>
      </c>
      <c r="BA12" s="88">
        <v>60380</v>
      </c>
      <c r="BB12" s="11">
        <v>60923</v>
      </c>
      <c r="BC12" s="11">
        <v>60430</v>
      </c>
      <c r="BD12" s="11" t="s">
        <v>94</v>
      </c>
      <c r="BE12" s="11">
        <v>60488</v>
      </c>
      <c r="BF12" s="11">
        <v>60387</v>
      </c>
      <c r="BG12" s="40">
        <v>60463</v>
      </c>
      <c r="BH12" s="40"/>
    </row>
    <row r="13" spans="2:60" s="5" customFormat="1" x14ac:dyDescent="0.2">
      <c r="B13" s="67" t="s">
        <v>34</v>
      </c>
      <c r="C13" s="68"/>
      <c r="D13" s="69"/>
      <c r="E13" s="40"/>
      <c r="F13" s="372"/>
      <c r="G13" s="40"/>
      <c r="H13" s="40"/>
      <c r="I13" s="40"/>
      <c r="M13" s="253"/>
      <c r="N13" s="10">
        <v>11</v>
      </c>
      <c r="O13" s="15">
        <v>60367</v>
      </c>
      <c r="P13" s="15">
        <v>60430</v>
      </c>
      <c r="Q13" s="6"/>
      <c r="R13" s="6"/>
      <c r="S13" s="6"/>
      <c r="T13" s="6"/>
      <c r="U13" s="6"/>
      <c r="V13" s="6"/>
      <c r="W13" s="6"/>
      <c r="X13" s="6">
        <v>60397</v>
      </c>
      <c r="Y13" s="6"/>
      <c r="Z13" s="6"/>
      <c r="AA13" s="6">
        <v>60385</v>
      </c>
      <c r="AB13" s="6"/>
      <c r="AC13" s="6"/>
      <c r="AD13" s="6"/>
      <c r="AE13" s="6">
        <v>60428</v>
      </c>
      <c r="AF13" s="6"/>
      <c r="AG13" s="6"/>
      <c r="AH13" s="6"/>
      <c r="AI13" s="40"/>
      <c r="AJ13" s="6"/>
      <c r="AK13" s="6"/>
      <c r="AL13" s="6"/>
      <c r="AM13" s="6"/>
      <c r="AN13" s="15">
        <v>60922</v>
      </c>
      <c r="AO13" s="11"/>
      <c r="AP13" s="11"/>
      <c r="AQ13" s="40"/>
      <c r="AR13" s="11">
        <v>60442</v>
      </c>
      <c r="AS13" s="11"/>
      <c r="AT13" s="11"/>
      <c r="AU13" s="11">
        <v>60369</v>
      </c>
      <c r="AV13" s="11"/>
      <c r="AW13" s="11"/>
      <c r="AX13" s="11"/>
      <c r="AY13" s="11">
        <v>60364</v>
      </c>
      <c r="AZ13" s="15">
        <v>60317</v>
      </c>
      <c r="BA13" s="88">
        <v>60440</v>
      </c>
      <c r="BB13" s="11">
        <v>60453</v>
      </c>
      <c r="BC13" s="11">
        <v>60420</v>
      </c>
      <c r="BD13" s="11" t="s">
        <v>95</v>
      </c>
      <c r="BE13" s="11">
        <v>60489</v>
      </c>
      <c r="BF13" s="11">
        <v>60415</v>
      </c>
      <c r="BG13" s="40">
        <v>60464</v>
      </c>
      <c r="BH13" s="40"/>
    </row>
    <row r="14" spans="2:60" s="5" customFormat="1" x14ac:dyDescent="0.2">
      <c r="B14" s="67" t="s">
        <v>35</v>
      </c>
      <c r="C14" s="68"/>
      <c r="D14" s="69"/>
      <c r="E14" s="40"/>
      <c r="M14" s="253"/>
      <c r="N14" s="10">
        <v>12</v>
      </c>
      <c r="O14" s="15">
        <v>60922</v>
      </c>
      <c r="P14" s="15">
        <v>60420</v>
      </c>
      <c r="Q14" s="6"/>
      <c r="R14" s="6"/>
      <c r="S14" s="6"/>
      <c r="T14" s="6"/>
      <c r="U14" s="6"/>
      <c r="V14" s="6"/>
      <c r="W14" s="6"/>
      <c r="X14" s="6">
        <v>60398</v>
      </c>
      <c r="Y14" s="6"/>
      <c r="Z14" s="6"/>
      <c r="AA14" s="6">
        <v>60303</v>
      </c>
      <c r="AB14" s="6"/>
      <c r="AC14" s="6"/>
      <c r="AD14" s="6"/>
      <c r="AE14" s="6">
        <v>60926</v>
      </c>
      <c r="AF14" s="6"/>
      <c r="AG14" s="6"/>
      <c r="AH14" s="6"/>
      <c r="AI14" s="40"/>
      <c r="AJ14" s="6"/>
      <c r="AK14" s="6"/>
      <c r="AL14" s="6"/>
      <c r="AM14" s="6"/>
      <c r="AN14" s="15">
        <v>60371</v>
      </c>
      <c r="AO14" s="11"/>
      <c r="AP14" s="11"/>
      <c r="AQ14" s="40"/>
      <c r="AR14" s="11"/>
      <c r="AS14" s="11"/>
      <c r="AT14" s="125"/>
      <c r="AU14" s="11"/>
      <c r="AV14" s="11"/>
      <c r="AW14" s="11"/>
      <c r="AX14" s="11"/>
      <c r="AY14" s="11">
        <v>60365</v>
      </c>
      <c r="AZ14" s="15">
        <v>60303</v>
      </c>
      <c r="BA14" s="88">
        <v>60442</v>
      </c>
      <c r="BB14" s="11">
        <v>61061</v>
      </c>
      <c r="BC14" s="11">
        <v>60388</v>
      </c>
      <c r="BD14" s="11" t="s">
        <v>96</v>
      </c>
      <c r="BE14" s="11">
        <v>60490</v>
      </c>
      <c r="BF14" s="40">
        <v>60393</v>
      </c>
      <c r="BG14" s="40">
        <v>60465</v>
      </c>
      <c r="BH14" s="40"/>
    </row>
    <row r="15" spans="2:60" s="5" customFormat="1" x14ac:dyDescent="0.2">
      <c r="B15" s="67" t="s">
        <v>36</v>
      </c>
      <c r="C15" s="68"/>
      <c r="D15" s="69"/>
      <c r="E15" s="40"/>
      <c r="F15" s="55" t="s">
        <v>52</v>
      </c>
      <c r="G15" s="40"/>
      <c r="H15" s="40"/>
      <c r="I15" s="40"/>
      <c r="M15" s="254"/>
      <c r="N15" s="10">
        <v>13</v>
      </c>
      <c r="O15" s="15">
        <v>60371</v>
      </c>
      <c r="P15" s="15">
        <v>60388</v>
      </c>
      <c r="Q15" s="6"/>
      <c r="R15" s="6"/>
      <c r="S15" s="6"/>
      <c r="T15" s="6"/>
      <c r="U15" s="6"/>
      <c r="V15" s="6"/>
      <c r="W15" s="6"/>
      <c r="X15" s="6">
        <v>60925</v>
      </c>
      <c r="Y15" s="6"/>
      <c r="Z15" s="6"/>
      <c r="AA15" s="6">
        <v>60457</v>
      </c>
      <c r="AB15" s="6"/>
      <c r="AC15" s="6"/>
      <c r="AD15" s="6"/>
      <c r="AE15" s="6">
        <v>60500</v>
      </c>
      <c r="AF15" s="6"/>
      <c r="AG15" s="6"/>
      <c r="AH15" s="6"/>
      <c r="AI15" s="40"/>
      <c r="AJ15" s="6"/>
      <c r="AK15" s="6"/>
      <c r="AL15" s="6"/>
      <c r="AM15" s="6"/>
      <c r="AN15" s="15">
        <v>60375</v>
      </c>
      <c r="AO15" s="11"/>
      <c r="AP15" s="11"/>
      <c r="AQ15" s="40"/>
      <c r="AR15" s="11"/>
      <c r="AS15" s="11"/>
      <c r="AT15" s="125"/>
      <c r="AU15" s="11"/>
      <c r="AV15" s="11"/>
      <c r="AW15" s="11"/>
      <c r="AX15" s="11"/>
      <c r="AY15" s="11">
        <v>60375</v>
      </c>
      <c r="AZ15" s="15">
        <v>60319</v>
      </c>
      <c r="BA15" s="88">
        <v>60443</v>
      </c>
      <c r="BB15" s="11">
        <v>60373</v>
      </c>
      <c r="BC15" s="11">
        <v>60391</v>
      </c>
      <c r="BD15" s="11" t="s">
        <v>97</v>
      </c>
      <c r="BE15" s="11">
        <v>60491</v>
      </c>
      <c r="BF15" s="40">
        <v>60394</v>
      </c>
      <c r="BG15" s="40">
        <v>60466</v>
      </c>
      <c r="BH15" s="40"/>
    </row>
    <row r="16" spans="2:60" s="5" customFormat="1" x14ac:dyDescent="0.2">
      <c r="B16" s="67" t="s">
        <v>7</v>
      </c>
      <c r="C16" s="68"/>
      <c r="D16" s="69"/>
      <c r="E16" s="40"/>
      <c r="F16" s="64" t="s">
        <v>29</v>
      </c>
      <c r="G16" s="65"/>
      <c r="H16" s="65"/>
      <c r="I16" s="66"/>
      <c r="N16" s="10">
        <v>14</v>
      </c>
      <c r="O16" s="15">
        <v>60375</v>
      </c>
      <c r="P16" s="15">
        <v>60391</v>
      </c>
      <c r="Q16" s="6"/>
      <c r="R16" s="6"/>
      <c r="S16" s="6"/>
      <c r="T16" s="6"/>
      <c r="U16" s="6"/>
      <c r="V16" s="6"/>
      <c r="W16" s="6"/>
      <c r="X16" s="6">
        <v>60400</v>
      </c>
      <c r="Y16" s="6"/>
      <c r="Z16" s="6"/>
      <c r="AA16" s="6">
        <v>60454</v>
      </c>
      <c r="AB16" s="6"/>
      <c r="AC16" s="6"/>
      <c r="AD16" s="6"/>
      <c r="AE16" s="6">
        <v>60501</v>
      </c>
      <c r="AF16" s="6"/>
      <c r="AG16" s="6"/>
      <c r="AH16" s="6"/>
      <c r="AI16" s="40"/>
      <c r="AJ16" s="6"/>
      <c r="AK16" s="6"/>
      <c r="AL16" s="6"/>
      <c r="AM16" s="6"/>
      <c r="AN16" s="15">
        <v>60923</v>
      </c>
      <c r="AO16" s="11"/>
      <c r="AP16" s="11"/>
      <c r="AQ16" s="40"/>
      <c r="AR16" s="11"/>
      <c r="AS16" s="11"/>
      <c r="AT16" s="125"/>
      <c r="AU16" s="11"/>
      <c r="AV16" s="11"/>
      <c r="AW16" s="11"/>
      <c r="AX16" s="11"/>
      <c r="AY16" s="11">
        <v>60367</v>
      </c>
      <c r="AZ16" s="15">
        <v>60358</v>
      </c>
      <c r="BA16" s="40">
        <v>60444</v>
      </c>
      <c r="BB16" s="11">
        <v>60368</v>
      </c>
      <c r="BC16" s="11">
        <v>60410</v>
      </c>
      <c r="BD16" s="11" t="s">
        <v>98</v>
      </c>
      <c r="BE16" s="11">
        <v>60475</v>
      </c>
      <c r="BF16" s="40">
        <v>60412</v>
      </c>
      <c r="BG16" s="40">
        <v>60468</v>
      </c>
      <c r="BH16" s="40"/>
    </row>
    <row r="17" spans="2:60" s="5" customFormat="1" x14ac:dyDescent="0.2">
      <c r="B17" s="67" t="s">
        <v>37</v>
      </c>
      <c r="C17" s="68"/>
      <c r="D17" s="69"/>
      <c r="E17" s="40"/>
      <c r="F17" s="67" t="s">
        <v>53</v>
      </c>
      <c r="G17" s="68"/>
      <c r="H17" s="68"/>
      <c r="I17" s="69"/>
      <c r="N17" s="10">
        <v>15</v>
      </c>
      <c r="O17" s="15">
        <v>60923</v>
      </c>
      <c r="P17" s="15">
        <v>60410</v>
      </c>
      <c r="Q17" s="6"/>
      <c r="R17" s="6"/>
      <c r="S17" s="6"/>
      <c r="T17" s="6"/>
      <c r="U17" s="6"/>
      <c r="V17" s="6"/>
      <c r="W17" s="6"/>
      <c r="X17" s="6">
        <v>60449</v>
      </c>
      <c r="Y17" s="6"/>
      <c r="Z17" s="6"/>
      <c r="AA17" s="6">
        <v>60928</v>
      </c>
      <c r="AB17" s="6"/>
      <c r="AC17" s="6"/>
      <c r="AD17" s="6"/>
      <c r="AE17" s="6">
        <v>60492</v>
      </c>
      <c r="AF17" s="6"/>
      <c r="AG17" s="6"/>
      <c r="AH17" s="6"/>
      <c r="AI17" s="6"/>
      <c r="AJ17" s="6"/>
      <c r="AK17" s="6"/>
      <c r="AL17" s="6"/>
      <c r="AM17" s="6"/>
      <c r="AN17" s="15">
        <v>60439</v>
      </c>
      <c r="AO17" s="11"/>
      <c r="AP17" s="11"/>
      <c r="AQ17" s="11"/>
      <c r="AR17" s="11"/>
      <c r="AS17" s="11"/>
      <c r="AT17" s="125"/>
      <c r="AU17" s="11"/>
      <c r="AV17" s="11"/>
      <c r="AW17" s="11"/>
      <c r="AX17" s="11"/>
      <c r="AY17" s="11">
        <v>60922</v>
      </c>
      <c r="AZ17" s="15">
        <v>60311</v>
      </c>
      <c r="BA17" s="40">
        <v>60450</v>
      </c>
      <c r="BB17" s="11">
        <v>60369</v>
      </c>
      <c r="BC17" s="11">
        <v>60389</v>
      </c>
      <c r="BD17" s="11" t="s">
        <v>99</v>
      </c>
      <c r="BE17" s="11">
        <v>60492</v>
      </c>
      <c r="BF17" s="40">
        <v>60395</v>
      </c>
      <c r="BG17" s="40">
        <v>60469</v>
      </c>
      <c r="BH17" s="40"/>
    </row>
    <row r="18" spans="2:60" s="5" customFormat="1" x14ac:dyDescent="0.2">
      <c r="B18" s="67" t="s">
        <v>38</v>
      </c>
      <c r="C18" s="68"/>
      <c r="D18" s="69"/>
      <c r="E18" s="40"/>
      <c r="F18" s="56"/>
      <c r="G18" s="57"/>
      <c r="H18" s="57"/>
      <c r="I18" s="57"/>
      <c r="N18" s="10">
        <v>16</v>
      </c>
      <c r="O18" s="15">
        <v>60439</v>
      </c>
      <c r="P18" s="15">
        <v>60389</v>
      </c>
      <c r="Q18" s="6"/>
      <c r="R18" s="6"/>
      <c r="S18" s="6"/>
      <c r="T18" s="6"/>
      <c r="U18" s="6"/>
      <c r="V18" s="6"/>
      <c r="W18" s="6"/>
      <c r="X18" s="6">
        <v>60307</v>
      </c>
      <c r="Y18" s="6"/>
      <c r="Z18" s="6"/>
      <c r="AA18" s="6">
        <v>60461</v>
      </c>
      <c r="AB18" s="6"/>
      <c r="AC18" s="6"/>
      <c r="AD18" s="6"/>
      <c r="AE18" s="6">
        <v>60493</v>
      </c>
      <c r="AF18" s="6"/>
      <c r="AG18" s="6"/>
      <c r="AH18" s="6"/>
      <c r="AI18" s="6"/>
      <c r="AJ18" s="6"/>
      <c r="AK18" s="6"/>
      <c r="AL18" s="6"/>
      <c r="AM18" s="6"/>
      <c r="AN18" s="15">
        <v>60445</v>
      </c>
      <c r="AO18" s="11"/>
      <c r="AP18" s="11"/>
      <c r="AQ18" s="11"/>
      <c r="AR18" s="11"/>
      <c r="AS18" s="11"/>
      <c r="AT18" s="125"/>
      <c r="AU18" s="11"/>
      <c r="AV18" s="11"/>
      <c r="AW18" s="11"/>
      <c r="AX18" s="11"/>
      <c r="AY18" s="11">
        <v>60371</v>
      </c>
      <c r="AZ18" s="15">
        <v>60926</v>
      </c>
      <c r="BA18" s="11"/>
      <c r="BB18" s="11">
        <v>60374</v>
      </c>
      <c r="BC18" s="11">
        <v>60405</v>
      </c>
      <c r="BD18" s="11" t="s">
        <v>100</v>
      </c>
      <c r="BE18" s="11">
        <v>60493</v>
      </c>
      <c r="BF18" s="40">
        <v>60402</v>
      </c>
      <c r="BG18" s="40">
        <v>60471</v>
      </c>
      <c r="BH18" s="40"/>
    </row>
    <row r="19" spans="2:60" s="5" customFormat="1" x14ac:dyDescent="0.2">
      <c r="B19" s="67" t="s">
        <v>8</v>
      </c>
      <c r="C19" s="68"/>
      <c r="D19" s="69"/>
      <c r="E19" s="40"/>
      <c r="F19" s="55" t="s">
        <v>81</v>
      </c>
      <c r="G19" s="40"/>
      <c r="H19" s="40"/>
      <c r="I19" s="40"/>
      <c r="N19" s="10">
        <v>17</v>
      </c>
      <c r="O19" s="15">
        <v>60445</v>
      </c>
      <c r="P19" s="15">
        <v>60405</v>
      </c>
      <c r="Q19" s="6"/>
      <c r="R19" s="6"/>
      <c r="S19" s="6"/>
      <c r="T19" s="6"/>
      <c r="U19" s="6"/>
      <c r="V19" s="6"/>
      <c r="W19" s="6"/>
      <c r="X19" s="6">
        <v>60514</v>
      </c>
      <c r="Y19" s="6"/>
      <c r="Z19" s="6"/>
      <c r="AA19" s="6">
        <v>60468</v>
      </c>
      <c r="AB19" s="6"/>
      <c r="AC19" s="6"/>
      <c r="AD19" s="6"/>
      <c r="AE19" s="6">
        <v>60494</v>
      </c>
      <c r="AF19" s="6"/>
      <c r="AG19" s="6"/>
      <c r="AH19" s="6"/>
      <c r="AI19" s="6"/>
      <c r="AJ19" s="6"/>
      <c r="AK19" s="6"/>
      <c r="AL19" s="6"/>
      <c r="AM19" s="6"/>
      <c r="AN19" s="15">
        <v>60452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>
        <v>60923</v>
      </c>
      <c r="AZ19" s="15">
        <v>60320</v>
      </c>
      <c r="BA19" s="11"/>
      <c r="BB19" s="11">
        <v>69166</v>
      </c>
      <c r="BC19" s="11">
        <v>60392</v>
      </c>
      <c r="BD19" s="11" t="s">
        <v>101</v>
      </c>
      <c r="BE19" s="11">
        <v>60494</v>
      </c>
      <c r="BF19" s="40">
        <v>60403</v>
      </c>
      <c r="BG19" s="40">
        <v>60472</v>
      </c>
      <c r="BH19" s="40"/>
    </row>
    <row r="20" spans="2:60" s="5" customFormat="1" x14ac:dyDescent="0.2">
      <c r="B20" s="67" t="s">
        <v>39</v>
      </c>
      <c r="C20" s="68"/>
      <c r="D20" s="69"/>
      <c r="E20" s="40"/>
      <c r="F20" s="64" t="s">
        <v>51</v>
      </c>
      <c r="G20" s="65"/>
      <c r="H20" s="65"/>
      <c r="I20" s="66"/>
      <c r="N20" s="10">
        <v>18</v>
      </c>
      <c r="O20" s="15">
        <v>60452</v>
      </c>
      <c r="P20" s="15">
        <v>60392</v>
      </c>
      <c r="Q20" s="6"/>
      <c r="R20" s="6"/>
      <c r="S20" s="6"/>
      <c r="T20" s="6"/>
      <c r="U20" s="6"/>
      <c r="V20" s="6"/>
      <c r="W20" s="6"/>
      <c r="X20" s="6">
        <v>60470</v>
      </c>
      <c r="Y20" s="6"/>
      <c r="Z20" s="6"/>
      <c r="AA20" s="6">
        <v>60469</v>
      </c>
      <c r="AB20" s="6"/>
      <c r="AC20" s="6"/>
      <c r="AD20" s="6"/>
      <c r="AE20" s="6">
        <v>60495</v>
      </c>
      <c r="AF20" s="6"/>
      <c r="AG20" s="6"/>
      <c r="AH20" s="6"/>
      <c r="AI20" s="6"/>
      <c r="AJ20" s="6"/>
      <c r="AK20" s="6"/>
      <c r="AL20" s="6"/>
      <c r="AM20" s="6"/>
      <c r="AN20" s="15">
        <v>60453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>
        <v>60439</v>
      </c>
      <c r="AZ20" s="15">
        <v>60318</v>
      </c>
      <c r="BA20" s="11"/>
      <c r="BB20" s="11">
        <v>60377</v>
      </c>
      <c r="BC20" s="11">
        <v>60387</v>
      </c>
      <c r="BD20" s="11" t="s">
        <v>102</v>
      </c>
      <c r="BE20" s="11">
        <v>60495</v>
      </c>
      <c r="BF20" s="40">
        <v>60404</v>
      </c>
      <c r="BG20" s="40">
        <v>60473</v>
      </c>
      <c r="BH20" s="40"/>
    </row>
    <row r="21" spans="2:60" s="5" customFormat="1" x14ac:dyDescent="0.2">
      <c r="B21" s="67" t="s">
        <v>40</v>
      </c>
      <c r="C21" s="68"/>
      <c r="D21" s="69"/>
      <c r="E21" s="40"/>
      <c r="F21" s="67" t="s">
        <v>6</v>
      </c>
      <c r="G21" s="68"/>
      <c r="H21" s="68"/>
      <c r="I21" s="69"/>
      <c r="N21" s="10">
        <v>19</v>
      </c>
      <c r="O21" s="15">
        <v>60453</v>
      </c>
      <c r="P21" s="15">
        <v>60387</v>
      </c>
      <c r="Q21" s="6"/>
      <c r="R21" s="6"/>
      <c r="S21" s="6"/>
      <c r="T21" s="6"/>
      <c r="U21" s="6"/>
      <c r="V21" s="6"/>
      <c r="W21" s="6"/>
      <c r="X21" s="6">
        <v>60476</v>
      </c>
      <c r="Y21" s="6"/>
      <c r="Z21" s="6"/>
      <c r="AA21" s="6">
        <v>60471</v>
      </c>
      <c r="AB21" s="6"/>
      <c r="AC21" s="6"/>
      <c r="AD21" s="6"/>
      <c r="AE21" s="6">
        <v>60496</v>
      </c>
      <c r="AF21" s="6"/>
      <c r="AG21" s="6"/>
      <c r="AH21" s="6"/>
      <c r="AI21" s="6"/>
      <c r="AJ21" s="6"/>
      <c r="AK21" s="6"/>
      <c r="AL21" s="6"/>
      <c r="AM21" s="6"/>
      <c r="AN21" s="15">
        <v>60921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>
        <v>60445</v>
      </c>
      <c r="AZ21" s="15">
        <v>60927</v>
      </c>
      <c r="BA21" s="11"/>
      <c r="BB21" s="11">
        <v>60378</v>
      </c>
      <c r="BC21" s="11">
        <v>60415</v>
      </c>
      <c r="BD21" s="11" t="s">
        <v>103</v>
      </c>
      <c r="BE21" s="11">
        <v>60496</v>
      </c>
      <c r="BF21" s="40">
        <v>60406</v>
      </c>
      <c r="BG21" s="40">
        <v>60474</v>
      </c>
      <c r="BH21" s="40"/>
    </row>
    <row r="22" spans="2:60" s="5" customFormat="1" x14ac:dyDescent="0.2">
      <c r="B22" s="67" t="s">
        <v>9</v>
      </c>
      <c r="C22" s="68"/>
      <c r="D22" s="69"/>
      <c r="E22" s="40"/>
      <c r="F22" s="67" t="s">
        <v>55</v>
      </c>
      <c r="G22" s="68"/>
      <c r="H22" s="68"/>
      <c r="I22" s="69"/>
      <c r="N22" s="10">
        <v>20</v>
      </c>
      <c r="O22" s="15">
        <v>60455</v>
      </c>
      <c r="P22" s="15">
        <v>60415</v>
      </c>
      <c r="Q22" s="6"/>
      <c r="R22" s="6"/>
      <c r="S22" s="6"/>
      <c r="T22" s="6"/>
      <c r="U22" s="6"/>
      <c r="V22" s="6"/>
      <c r="W22" s="6"/>
      <c r="X22" s="6">
        <v>60477</v>
      </c>
      <c r="Y22" s="6"/>
      <c r="Z22" s="6"/>
      <c r="AA22" s="6">
        <v>60472</v>
      </c>
      <c r="AB22" s="6"/>
      <c r="AC22" s="6"/>
      <c r="AD22" s="6"/>
      <c r="AE22" s="6">
        <v>60929</v>
      </c>
      <c r="AF22" s="6"/>
      <c r="AG22" s="6"/>
      <c r="AH22" s="6"/>
      <c r="AI22" s="6"/>
      <c r="AJ22" s="6"/>
      <c r="AK22" s="6"/>
      <c r="AL22" s="6"/>
      <c r="AM22" s="6"/>
      <c r="AN22" s="15">
        <v>61061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60453</v>
      </c>
      <c r="AZ22" s="15">
        <v>60305</v>
      </c>
      <c r="BA22" s="11"/>
      <c r="BB22" s="11">
        <v>60384</v>
      </c>
      <c r="BC22" s="11">
        <v>60393</v>
      </c>
      <c r="BD22" s="11" t="s">
        <v>104</v>
      </c>
      <c r="BE22" s="11">
        <v>60929</v>
      </c>
      <c r="BF22" s="40">
        <v>60407</v>
      </c>
      <c r="BG22" s="93"/>
      <c r="BH22" s="40"/>
    </row>
    <row r="23" spans="2:60" s="5" customFormat="1" x14ac:dyDescent="0.2">
      <c r="B23" s="67" t="s">
        <v>41</v>
      </c>
      <c r="C23" s="68"/>
      <c r="D23" s="69"/>
      <c r="E23" s="40"/>
      <c r="F23" s="67" t="s">
        <v>1</v>
      </c>
      <c r="G23" s="68"/>
      <c r="H23" s="68"/>
      <c r="I23" s="69"/>
      <c r="N23" s="10">
        <v>21</v>
      </c>
      <c r="O23" s="15">
        <v>60456</v>
      </c>
      <c r="P23" s="88">
        <v>60393</v>
      </c>
      <c r="Q23" s="6"/>
      <c r="R23" s="6"/>
      <c r="S23" s="6"/>
      <c r="T23" s="6"/>
      <c r="U23" s="6"/>
      <c r="V23" s="6"/>
      <c r="W23" s="6"/>
      <c r="X23" s="40">
        <v>60480</v>
      </c>
      <c r="Y23" s="6"/>
      <c r="Z23" s="6"/>
      <c r="AA23" s="6">
        <v>60473</v>
      </c>
      <c r="AB23" s="6"/>
      <c r="AC23" s="6"/>
      <c r="AD23" s="6"/>
      <c r="AE23" s="6">
        <v>60498</v>
      </c>
      <c r="AF23" s="6"/>
      <c r="AG23" s="6"/>
      <c r="AH23" s="6"/>
      <c r="AI23" s="6"/>
      <c r="AJ23" s="6"/>
      <c r="AK23" s="6"/>
      <c r="AL23" s="6"/>
      <c r="AM23" s="6"/>
      <c r="AN23" s="15">
        <v>60373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>
        <v>60455</v>
      </c>
      <c r="AZ23" s="15">
        <v>60314</v>
      </c>
      <c r="BA23" s="11"/>
      <c r="BB23" s="11">
        <v>60441</v>
      </c>
      <c r="BC23" s="40">
        <v>60394</v>
      </c>
      <c r="BD23" s="11" t="s">
        <v>105</v>
      </c>
      <c r="BE23" s="11">
        <v>60498</v>
      </c>
      <c r="BF23" s="40">
        <v>60416</v>
      </c>
      <c r="BG23" s="40"/>
      <c r="BH23" s="40"/>
    </row>
    <row r="24" spans="2:60" s="5" customFormat="1" x14ac:dyDescent="0.2">
      <c r="B24" s="67" t="s">
        <v>42</v>
      </c>
      <c r="C24" s="68"/>
      <c r="D24" s="69"/>
      <c r="E24" s="40"/>
      <c r="F24" s="67" t="s">
        <v>2</v>
      </c>
      <c r="G24" s="68"/>
      <c r="H24" s="68"/>
      <c r="I24" s="69"/>
      <c r="N24" s="10">
        <v>22</v>
      </c>
      <c r="O24" s="15">
        <v>60459</v>
      </c>
      <c r="P24" s="88">
        <v>60394</v>
      </c>
      <c r="Q24" s="6"/>
      <c r="R24" s="6"/>
      <c r="S24" s="6"/>
      <c r="T24" s="6"/>
      <c r="U24" s="6"/>
      <c r="V24" s="6"/>
      <c r="W24" s="6"/>
      <c r="X24" s="40">
        <v>61067</v>
      </c>
      <c r="Y24" s="6"/>
      <c r="Z24" s="6"/>
      <c r="AA24" s="6">
        <v>60474</v>
      </c>
      <c r="AB24" s="6"/>
      <c r="AC24" s="6"/>
      <c r="AD24" s="6"/>
      <c r="AE24" s="6">
        <v>60930</v>
      </c>
      <c r="AF24" s="6"/>
      <c r="AG24" s="6"/>
      <c r="AH24" s="6"/>
      <c r="AI24" s="6"/>
      <c r="AJ24" s="6"/>
      <c r="AK24" s="6"/>
      <c r="AL24" s="6"/>
      <c r="AM24" s="6"/>
      <c r="AN24" s="15">
        <v>60368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>
        <v>60456</v>
      </c>
      <c r="AZ24" s="15">
        <v>60310</v>
      </c>
      <c r="BA24" s="11"/>
      <c r="BB24" s="40">
        <v>60446</v>
      </c>
      <c r="BC24" s="40">
        <v>60412</v>
      </c>
      <c r="BD24" s="11" t="s">
        <v>106</v>
      </c>
      <c r="BE24" s="11">
        <v>60930</v>
      </c>
      <c r="BF24" s="40">
        <v>60417</v>
      </c>
      <c r="BG24" s="40"/>
      <c r="BH24" s="40"/>
    </row>
    <row r="25" spans="2:60" s="5" customFormat="1" x14ac:dyDescent="0.2">
      <c r="B25" s="67" t="s">
        <v>43</v>
      </c>
      <c r="C25" s="68"/>
      <c r="D25" s="69"/>
      <c r="E25" s="40"/>
      <c r="F25" s="67" t="s">
        <v>54</v>
      </c>
      <c r="G25" s="68"/>
      <c r="H25" s="68"/>
      <c r="I25" s="69"/>
      <c r="N25" s="10">
        <v>23</v>
      </c>
      <c r="O25" s="15">
        <v>60479</v>
      </c>
      <c r="P25" s="88">
        <v>60412</v>
      </c>
      <c r="Q25" s="6"/>
      <c r="R25" s="6"/>
      <c r="S25" s="6"/>
      <c r="T25" s="6"/>
      <c r="U25" s="6"/>
      <c r="V25" s="6"/>
      <c r="W25" s="6"/>
      <c r="X25" s="40"/>
      <c r="Y25" s="6"/>
      <c r="Z25" s="6"/>
      <c r="AA25" s="6">
        <v>60482</v>
      </c>
      <c r="AB25" s="6"/>
      <c r="AC25" s="6"/>
      <c r="AD25" s="6"/>
      <c r="AE25" s="6">
        <v>60931</v>
      </c>
      <c r="AF25" s="6"/>
      <c r="AG25" s="6"/>
      <c r="AH25" s="6"/>
      <c r="AI25" s="6"/>
      <c r="AJ25" s="6"/>
      <c r="AK25" s="6"/>
      <c r="AL25" s="6"/>
      <c r="AM25" s="6"/>
      <c r="AN25" s="15">
        <v>60369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>
        <v>60479</v>
      </c>
      <c r="AZ25" s="15">
        <v>60315</v>
      </c>
      <c r="BA25" s="11"/>
      <c r="BB25" s="40">
        <v>60447</v>
      </c>
      <c r="BC25" s="93">
        <v>60395</v>
      </c>
      <c r="BD25" s="11" t="s">
        <v>107</v>
      </c>
      <c r="BE25" s="11">
        <v>60931</v>
      </c>
      <c r="BF25" s="40">
        <v>61109</v>
      </c>
      <c r="BG25" s="40"/>
      <c r="BH25" s="40"/>
    </row>
    <row r="26" spans="2:60" s="5" customFormat="1" x14ac:dyDescent="0.2">
      <c r="B26" s="67" t="s">
        <v>10</v>
      </c>
      <c r="C26" s="68"/>
      <c r="D26" s="69"/>
      <c r="E26" s="40"/>
      <c r="F26" s="97" t="s">
        <v>112</v>
      </c>
      <c r="G26" s="68"/>
      <c r="H26" s="68"/>
      <c r="I26" s="69"/>
      <c r="N26" s="10">
        <v>24</v>
      </c>
      <c r="O26" s="15">
        <v>60362</v>
      </c>
      <c r="P26" s="88">
        <v>60395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v>60484</v>
      </c>
      <c r="AB26" s="6"/>
      <c r="AC26" s="6"/>
      <c r="AD26" s="6"/>
      <c r="AE26" s="6">
        <v>60932</v>
      </c>
      <c r="AF26" s="6"/>
      <c r="AG26" s="6"/>
      <c r="AH26" s="6"/>
      <c r="AI26" s="6"/>
      <c r="AJ26" s="6"/>
      <c r="AK26" s="6"/>
      <c r="AL26" s="6"/>
      <c r="AM26" s="6"/>
      <c r="AN26" s="15">
        <v>60374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5">
        <v>60308</v>
      </c>
      <c r="BA26" s="11"/>
      <c r="BB26" s="40">
        <v>60448</v>
      </c>
      <c r="BC26" s="93">
        <v>60402</v>
      </c>
      <c r="BD26" s="11"/>
      <c r="BE26" s="11">
        <v>60932</v>
      </c>
      <c r="BF26" s="93">
        <v>60421</v>
      </c>
      <c r="BG26" s="40"/>
      <c r="BH26" s="40"/>
    </row>
    <row r="27" spans="2:60" s="5" customFormat="1" x14ac:dyDescent="0.2">
      <c r="B27" s="67" t="s">
        <v>44</v>
      </c>
      <c r="C27" s="68"/>
      <c r="D27" s="69"/>
      <c r="E27" s="40"/>
      <c r="F27" s="97" t="s">
        <v>111</v>
      </c>
      <c r="G27" s="68"/>
      <c r="H27" s="68"/>
      <c r="I27" s="69"/>
      <c r="N27" s="10">
        <v>25</v>
      </c>
      <c r="O27" s="15">
        <v>60921</v>
      </c>
      <c r="P27" s="88">
        <v>60402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>
        <v>60485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15">
        <v>60376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5"/>
      <c r="BA27" s="11"/>
      <c r="BB27" s="40"/>
      <c r="BC27" s="93">
        <v>60403</v>
      </c>
      <c r="BD27" s="11"/>
      <c r="BE27" s="11">
        <v>60505</v>
      </c>
      <c r="BF27" s="93">
        <v>60422</v>
      </c>
      <c r="BG27" s="40"/>
      <c r="BH27" s="40"/>
    </row>
    <row r="28" spans="2:60" x14ac:dyDescent="0.2">
      <c r="B28" s="67" t="s">
        <v>45</v>
      </c>
      <c r="C28" s="68"/>
      <c r="D28" s="69"/>
      <c r="E28" s="19"/>
      <c r="F28" s="97" t="s">
        <v>110</v>
      </c>
      <c r="G28" s="68"/>
      <c r="H28" s="68"/>
      <c r="I28" s="69"/>
      <c r="N28" s="10">
        <v>26</v>
      </c>
      <c r="O28" s="15">
        <v>61061</v>
      </c>
      <c r="P28" s="88">
        <v>60403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>
        <v>60467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15">
        <v>69166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5"/>
      <c r="BA28" s="12"/>
      <c r="BB28" s="12"/>
      <c r="BC28" s="93">
        <v>60404</v>
      </c>
      <c r="BD28" s="12"/>
      <c r="BE28" s="12">
        <v>60508</v>
      </c>
      <c r="BF28" s="93">
        <v>60423</v>
      </c>
      <c r="BG28" s="93"/>
      <c r="BH28" s="93"/>
    </row>
    <row r="29" spans="2:60" x14ac:dyDescent="0.2">
      <c r="B29" s="67" t="s">
        <v>11</v>
      </c>
      <c r="C29" s="68"/>
      <c r="D29" s="69"/>
      <c r="E29" s="19"/>
      <c r="F29" s="98" t="s">
        <v>109</v>
      </c>
      <c r="G29" s="71"/>
      <c r="H29" s="71"/>
      <c r="I29" s="72"/>
      <c r="N29" s="10">
        <v>27</v>
      </c>
      <c r="O29" s="15">
        <v>60373</v>
      </c>
      <c r="P29" s="88">
        <v>60404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v>60511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8">
        <v>60377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93">
        <v>60406</v>
      </c>
      <c r="BD29" s="12"/>
      <c r="BE29" s="93">
        <v>60510</v>
      </c>
      <c r="BF29" s="93">
        <v>60424</v>
      </c>
      <c r="BG29" s="93"/>
      <c r="BH29" s="93"/>
    </row>
    <row r="30" spans="2:60" x14ac:dyDescent="0.2">
      <c r="B30" s="67" t="s">
        <v>12</v>
      </c>
      <c r="C30" s="68"/>
      <c r="D30" s="69"/>
      <c r="E30" s="19"/>
      <c r="N30" s="10">
        <v>28</v>
      </c>
      <c r="O30" s="15">
        <v>60368</v>
      </c>
      <c r="P30" s="88">
        <v>60406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v>60512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8">
        <v>60378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93">
        <v>60407</v>
      </c>
      <c r="BD30" s="12"/>
      <c r="BE30" s="93">
        <v>60467</v>
      </c>
      <c r="BF30" s="93">
        <v>60425</v>
      </c>
      <c r="BG30" s="93"/>
      <c r="BH30" s="93"/>
    </row>
    <row r="31" spans="2:60" x14ac:dyDescent="0.2">
      <c r="B31" s="67" t="s">
        <v>46</v>
      </c>
      <c r="C31" s="68"/>
      <c r="D31" s="69"/>
      <c r="E31" s="19"/>
      <c r="F31" s="55" t="s">
        <v>325</v>
      </c>
      <c r="G31" s="19"/>
      <c r="H31" s="19"/>
      <c r="I31" s="19"/>
      <c r="N31" s="10">
        <v>29</v>
      </c>
      <c r="O31" s="366">
        <v>60369</v>
      </c>
      <c r="P31" s="88">
        <v>60407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8">
        <v>60380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93">
        <v>60416</v>
      </c>
      <c r="BD31" s="12"/>
      <c r="BE31" s="93">
        <v>60511</v>
      </c>
      <c r="BF31" s="93">
        <v>60426</v>
      </c>
      <c r="BG31" s="93"/>
      <c r="BH31" s="93"/>
    </row>
    <row r="32" spans="2:60" x14ac:dyDescent="0.2">
      <c r="B32" s="67" t="s">
        <v>47</v>
      </c>
      <c r="C32" s="68"/>
      <c r="D32" s="69"/>
      <c r="E32" s="19"/>
      <c r="F32" s="58" t="s">
        <v>346</v>
      </c>
      <c r="G32" s="58"/>
      <c r="H32" s="227"/>
      <c r="I32" s="230">
        <v>1</v>
      </c>
      <c r="N32" s="10">
        <v>30</v>
      </c>
      <c r="O32" s="366">
        <v>60374</v>
      </c>
      <c r="P32" s="88">
        <v>60416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8">
        <v>60384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93">
        <v>60417</v>
      </c>
      <c r="BD32" s="12"/>
      <c r="BE32" s="93">
        <v>60512</v>
      </c>
      <c r="BF32" s="93">
        <v>60427</v>
      </c>
      <c r="BG32" s="93"/>
      <c r="BH32" s="93"/>
    </row>
    <row r="33" spans="2:60" x14ac:dyDescent="0.2">
      <c r="B33" s="67" t="s">
        <v>48</v>
      </c>
      <c r="C33" s="68"/>
      <c r="D33" s="69"/>
      <c r="E33" s="19"/>
      <c r="F33" s="60" t="s">
        <v>347</v>
      </c>
      <c r="G33" s="60"/>
      <c r="H33" s="228"/>
      <c r="I33" s="231">
        <v>2</v>
      </c>
      <c r="N33" s="10">
        <v>31</v>
      </c>
      <c r="O33" s="366">
        <v>60376</v>
      </c>
      <c r="P33" s="88">
        <v>60417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8">
        <v>61686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93">
        <v>61109</v>
      </c>
      <c r="BD33" s="12"/>
      <c r="BE33" s="93">
        <v>60476</v>
      </c>
      <c r="BF33" s="93">
        <v>60428</v>
      </c>
      <c r="BG33" s="93"/>
      <c r="BH33" s="93"/>
    </row>
    <row r="34" spans="2:60" x14ac:dyDescent="0.2">
      <c r="B34" s="70" t="s">
        <v>49</v>
      </c>
      <c r="C34" s="71"/>
      <c r="D34" s="72"/>
      <c r="E34" s="19"/>
      <c r="F34" s="62" t="s">
        <v>348</v>
      </c>
      <c r="G34" s="62"/>
      <c r="H34" s="229"/>
      <c r="I34" s="232">
        <v>3</v>
      </c>
      <c r="N34" s="10">
        <v>32</v>
      </c>
      <c r="O34" s="696"/>
      <c r="P34" s="88">
        <v>61109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8">
        <v>60440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93">
        <v>60421</v>
      </c>
      <c r="BD34" s="12"/>
      <c r="BE34" s="93">
        <v>60477</v>
      </c>
      <c r="BF34" s="93">
        <v>60429</v>
      </c>
      <c r="BG34" s="93"/>
      <c r="BH34" s="93"/>
    </row>
    <row r="35" spans="2:60" x14ac:dyDescent="0.2">
      <c r="N35" s="10">
        <v>33</v>
      </c>
      <c r="O35" s="366">
        <v>69166</v>
      </c>
      <c r="P35" s="88">
        <v>60421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8">
        <v>60441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93">
        <v>60422</v>
      </c>
      <c r="BD35" s="12"/>
      <c r="BE35" s="93">
        <v>60480</v>
      </c>
      <c r="BF35" s="93">
        <v>60433</v>
      </c>
      <c r="BG35" s="93"/>
      <c r="BH35" s="93"/>
    </row>
    <row r="36" spans="2:60" x14ac:dyDescent="0.2">
      <c r="B36" s="234" t="s">
        <v>249</v>
      </c>
      <c r="C36" s="160" t="s">
        <v>251</v>
      </c>
      <c r="N36" s="10">
        <v>34</v>
      </c>
      <c r="O36" s="366">
        <v>60377</v>
      </c>
      <c r="P36" s="88">
        <v>60422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8">
        <v>60442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93">
        <v>60423</v>
      </c>
      <c r="BD36" s="12"/>
      <c r="BE36" s="93">
        <v>61067</v>
      </c>
      <c r="BF36" s="93">
        <v>60434</v>
      </c>
      <c r="BG36" s="93"/>
      <c r="BH36" s="93"/>
    </row>
    <row r="37" spans="2:60" x14ac:dyDescent="0.2">
      <c r="B37" s="235" t="s">
        <v>245</v>
      </c>
      <c r="C37" s="344">
        <v>40</v>
      </c>
      <c r="N37" s="10">
        <v>35</v>
      </c>
      <c r="O37" s="366">
        <v>60378</v>
      </c>
      <c r="P37" s="88">
        <v>60423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8">
        <v>60443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93">
        <v>60424</v>
      </c>
      <c r="BD37" s="12"/>
      <c r="BE37" s="93">
        <v>60506</v>
      </c>
      <c r="BF37" s="93">
        <v>60396</v>
      </c>
      <c r="BG37" s="93"/>
      <c r="BH37" s="93"/>
    </row>
    <row r="38" spans="2:60" x14ac:dyDescent="0.2">
      <c r="B38" s="236" t="s">
        <v>250</v>
      </c>
      <c r="C38" s="345">
        <v>60</v>
      </c>
      <c r="N38" s="10">
        <v>36</v>
      </c>
      <c r="O38" s="366">
        <v>60380</v>
      </c>
      <c r="P38" s="88">
        <v>60424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8">
        <v>60444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93">
        <v>60425</v>
      </c>
      <c r="BD38" s="12"/>
      <c r="BE38" s="93">
        <v>60507</v>
      </c>
      <c r="BF38" s="93">
        <v>60419</v>
      </c>
      <c r="BG38" s="93"/>
      <c r="BH38" s="93"/>
    </row>
    <row r="39" spans="2:60" x14ac:dyDescent="0.2">
      <c r="N39" s="10">
        <v>37</v>
      </c>
      <c r="O39" s="366">
        <v>60381</v>
      </c>
      <c r="P39" s="88">
        <v>60425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8">
        <v>60446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93">
        <v>60426</v>
      </c>
      <c r="BD39" s="12"/>
      <c r="BE39" s="93">
        <v>60515</v>
      </c>
      <c r="BF39" s="93">
        <v>60397</v>
      </c>
      <c r="BG39" s="93"/>
      <c r="BH39" s="93"/>
    </row>
    <row r="40" spans="2:60" x14ac:dyDescent="0.2">
      <c r="B40" s="234" t="s">
        <v>253</v>
      </c>
      <c r="C40" s="160" t="s">
        <v>263</v>
      </c>
      <c r="N40" s="10">
        <v>38</v>
      </c>
      <c r="O40" s="366">
        <v>60383</v>
      </c>
      <c r="P40" s="88">
        <v>60426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8">
        <v>60447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93">
        <v>60427</v>
      </c>
      <c r="BD40" s="12"/>
      <c r="BE40" s="93"/>
      <c r="BF40" s="93">
        <v>60413</v>
      </c>
      <c r="BG40" s="93"/>
      <c r="BH40" s="93"/>
    </row>
    <row r="41" spans="2:60" x14ac:dyDescent="0.2">
      <c r="B41" s="237">
        <v>0</v>
      </c>
      <c r="C41" s="161" t="s">
        <v>254</v>
      </c>
      <c r="N41" s="10">
        <v>39</v>
      </c>
      <c r="O41" s="366">
        <v>60384</v>
      </c>
      <c r="P41" s="88">
        <v>60427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8">
        <v>60448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93">
        <v>60428</v>
      </c>
      <c r="BD41" s="12"/>
      <c r="BE41" s="93"/>
      <c r="BF41" s="93">
        <v>60435</v>
      </c>
      <c r="BG41" s="93"/>
      <c r="BH41" s="93"/>
    </row>
    <row r="42" spans="2:60" x14ac:dyDescent="0.2">
      <c r="B42" s="237">
        <v>29</v>
      </c>
      <c r="C42" s="161" t="s">
        <v>255</v>
      </c>
      <c r="N42" s="10">
        <v>40</v>
      </c>
      <c r="O42" s="366">
        <v>61686</v>
      </c>
      <c r="P42" s="88">
        <v>60428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8">
        <v>60450</v>
      </c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93">
        <v>60429</v>
      </c>
      <c r="BD42" s="12"/>
      <c r="BE42" s="93"/>
      <c r="BF42" s="93">
        <v>60398</v>
      </c>
      <c r="BG42" s="93"/>
      <c r="BH42" s="93"/>
    </row>
    <row r="43" spans="2:60" x14ac:dyDescent="0.2">
      <c r="B43" s="237">
        <v>37</v>
      </c>
      <c r="C43" s="161" t="s">
        <v>256</v>
      </c>
      <c r="N43" s="10">
        <v>41</v>
      </c>
      <c r="O43" s="366">
        <v>60390</v>
      </c>
      <c r="P43" s="88">
        <v>60429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93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93">
        <v>60433</v>
      </c>
      <c r="BD43" s="12"/>
      <c r="BE43" s="359"/>
      <c r="BF43" s="93">
        <v>60925</v>
      </c>
      <c r="BG43" s="93"/>
      <c r="BH43" s="93"/>
    </row>
    <row r="44" spans="2:60" x14ac:dyDescent="0.2">
      <c r="B44" s="237">
        <v>45</v>
      </c>
      <c r="C44" s="161" t="s">
        <v>257</v>
      </c>
      <c r="N44" s="10">
        <v>42</v>
      </c>
      <c r="O44" s="366">
        <v>60430</v>
      </c>
      <c r="P44" s="88">
        <v>60433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93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93">
        <v>60434</v>
      </c>
      <c r="BD44" s="12"/>
      <c r="BE44" s="93"/>
      <c r="BF44" s="93">
        <v>60359</v>
      </c>
      <c r="BG44" s="93"/>
      <c r="BH44" s="93"/>
    </row>
    <row r="45" spans="2:60" x14ac:dyDescent="0.2">
      <c r="B45" s="237">
        <v>53</v>
      </c>
      <c r="C45" s="161" t="s">
        <v>258</v>
      </c>
      <c r="N45" s="10">
        <v>43</v>
      </c>
      <c r="O45" s="366">
        <v>60420</v>
      </c>
      <c r="P45" s="88">
        <v>60434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93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93">
        <v>60396</v>
      </c>
      <c r="BD45" s="12"/>
      <c r="BE45" s="12"/>
      <c r="BF45" s="93">
        <v>60400</v>
      </c>
      <c r="BG45" s="93"/>
      <c r="BH45" s="93"/>
    </row>
    <row r="46" spans="2:60" x14ac:dyDescent="0.2">
      <c r="B46" s="237">
        <v>61</v>
      </c>
      <c r="C46" s="161" t="s">
        <v>259</v>
      </c>
      <c r="E46" s="19"/>
      <c r="N46" s="10">
        <v>44</v>
      </c>
      <c r="O46" s="366">
        <v>60388</v>
      </c>
      <c r="P46" s="88">
        <v>60396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93">
        <v>60419</v>
      </c>
      <c r="BD46" s="12"/>
      <c r="BE46" s="12"/>
      <c r="BF46" s="93">
        <v>60436</v>
      </c>
      <c r="BG46" s="93"/>
      <c r="BH46" s="93"/>
    </row>
    <row r="47" spans="2:60" x14ac:dyDescent="0.2">
      <c r="B47" s="237">
        <v>69</v>
      </c>
      <c r="C47" s="161" t="s">
        <v>260</v>
      </c>
      <c r="E47" s="19"/>
      <c r="N47" s="10">
        <v>45</v>
      </c>
      <c r="O47" s="366">
        <v>60391</v>
      </c>
      <c r="P47" s="88">
        <v>60419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93">
        <v>60397</v>
      </c>
      <c r="BD47" s="12"/>
      <c r="BE47" s="12"/>
      <c r="BF47" s="93">
        <v>60437</v>
      </c>
      <c r="BG47" s="93"/>
      <c r="BH47" s="93"/>
    </row>
    <row r="48" spans="2:60" x14ac:dyDescent="0.2">
      <c r="B48" s="237">
        <v>77</v>
      </c>
      <c r="C48" s="161" t="s">
        <v>14</v>
      </c>
      <c r="N48" s="10">
        <v>46</v>
      </c>
      <c r="O48" s="366">
        <v>60410</v>
      </c>
      <c r="P48" s="88">
        <v>60397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93">
        <v>60413</v>
      </c>
      <c r="BD48" s="12"/>
      <c r="BE48" s="12"/>
      <c r="BF48" s="93">
        <v>69165</v>
      </c>
      <c r="BG48" s="93"/>
      <c r="BH48" s="93"/>
    </row>
    <row r="49" spans="2:60" x14ac:dyDescent="0.2">
      <c r="B49" s="237">
        <v>85</v>
      </c>
      <c r="C49" s="161" t="s">
        <v>261</v>
      </c>
      <c r="N49" s="10">
        <v>47</v>
      </c>
      <c r="O49" s="366">
        <v>60389</v>
      </c>
      <c r="P49" s="88">
        <v>60413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93">
        <v>60435</v>
      </c>
      <c r="BD49" s="12"/>
      <c r="BE49" s="12"/>
      <c r="BF49" s="93">
        <v>60411</v>
      </c>
      <c r="BG49" s="93"/>
      <c r="BH49" s="93"/>
    </row>
    <row r="50" spans="2:60" x14ac:dyDescent="0.2">
      <c r="B50" s="238">
        <v>93</v>
      </c>
      <c r="C50" s="162" t="s">
        <v>262</v>
      </c>
      <c r="N50" s="10">
        <v>48</v>
      </c>
      <c r="O50" s="366">
        <v>60405</v>
      </c>
      <c r="P50" s="88">
        <v>60435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93">
        <v>60398</v>
      </c>
      <c r="BD50" s="12"/>
      <c r="BE50" s="12"/>
      <c r="BF50" s="93">
        <v>60381</v>
      </c>
      <c r="BG50" s="93"/>
      <c r="BH50" s="93"/>
    </row>
    <row r="51" spans="2:60" x14ac:dyDescent="0.2">
      <c r="N51" s="10">
        <v>49</v>
      </c>
      <c r="O51" s="366">
        <v>60392</v>
      </c>
      <c r="P51" s="88">
        <v>60398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93">
        <v>60925</v>
      </c>
      <c r="BD51" s="12"/>
      <c r="BE51" s="12"/>
      <c r="BF51" s="93"/>
      <c r="BG51" s="93"/>
      <c r="BH51" s="93"/>
    </row>
    <row r="52" spans="2:60" x14ac:dyDescent="0.2">
      <c r="N52" s="10">
        <v>50</v>
      </c>
      <c r="O52" s="366">
        <v>60387</v>
      </c>
      <c r="P52" s="88">
        <v>60925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93">
        <v>60359</v>
      </c>
      <c r="BD52" s="12"/>
      <c r="BE52" s="12"/>
      <c r="BF52" s="12"/>
      <c r="BG52" s="93"/>
      <c r="BH52" s="93"/>
    </row>
    <row r="53" spans="2:60" x14ac:dyDescent="0.2">
      <c r="N53" s="10">
        <v>51</v>
      </c>
      <c r="O53" s="88">
        <v>60415</v>
      </c>
      <c r="P53" s="88">
        <v>60359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93">
        <v>60400</v>
      </c>
      <c r="BD53" s="12"/>
      <c r="BE53" s="12"/>
      <c r="BF53" s="12"/>
      <c r="BG53" s="93"/>
      <c r="BH53" s="93"/>
    </row>
    <row r="54" spans="2:60" x14ac:dyDescent="0.2">
      <c r="N54" s="10">
        <v>52</v>
      </c>
      <c r="O54" s="88">
        <v>60393</v>
      </c>
      <c r="P54" s="88">
        <v>60400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93">
        <v>60436</v>
      </c>
      <c r="BD54" s="12"/>
      <c r="BE54" s="12"/>
      <c r="BF54" s="12"/>
      <c r="BG54" s="93"/>
      <c r="BH54" s="93"/>
    </row>
    <row r="55" spans="2:60" x14ac:dyDescent="0.2">
      <c r="N55" s="10">
        <v>53</v>
      </c>
      <c r="O55" s="88">
        <v>60394</v>
      </c>
      <c r="P55" s="88">
        <v>60436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93">
        <v>60437</v>
      </c>
      <c r="BD55" s="12"/>
      <c r="BE55" s="12"/>
      <c r="BF55" s="12"/>
      <c r="BG55" s="93"/>
      <c r="BH55" s="93"/>
    </row>
    <row r="56" spans="2:60" x14ac:dyDescent="0.2">
      <c r="N56" s="10">
        <v>54</v>
      </c>
      <c r="O56" s="88">
        <v>60412</v>
      </c>
      <c r="P56" s="88">
        <v>60437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93">
        <v>69165</v>
      </c>
      <c r="BD56" s="12"/>
      <c r="BE56" s="12"/>
      <c r="BF56" s="12"/>
      <c r="BG56" s="93"/>
      <c r="BH56" s="93"/>
    </row>
    <row r="57" spans="2:60" x14ac:dyDescent="0.2">
      <c r="N57" s="10">
        <v>55</v>
      </c>
      <c r="O57" s="88">
        <v>60395</v>
      </c>
      <c r="P57" s="88">
        <v>69165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93">
        <v>60411</v>
      </c>
      <c r="BD57" s="12"/>
      <c r="BE57" s="12"/>
      <c r="BF57" s="12"/>
      <c r="BG57" s="93"/>
      <c r="BH57" s="93"/>
    </row>
    <row r="58" spans="2:60" x14ac:dyDescent="0.2">
      <c r="N58" s="10">
        <v>56</v>
      </c>
      <c r="O58" s="88">
        <v>60402</v>
      </c>
      <c r="P58" s="88">
        <v>60411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93">
        <v>60449</v>
      </c>
      <c r="BD58" s="12"/>
      <c r="BE58" s="12"/>
      <c r="BF58" s="12"/>
      <c r="BG58" s="93"/>
      <c r="BH58" s="93"/>
    </row>
    <row r="59" spans="2:60" x14ac:dyDescent="0.2">
      <c r="N59" s="10">
        <v>57</v>
      </c>
      <c r="O59" s="88">
        <v>60403</v>
      </c>
      <c r="P59" s="88">
        <v>60449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93">
        <v>60385</v>
      </c>
      <c r="BD59" s="12"/>
      <c r="BE59" s="12"/>
      <c r="BF59" s="12"/>
      <c r="BG59" s="93"/>
      <c r="BH59" s="93"/>
    </row>
    <row r="60" spans="2:60" x14ac:dyDescent="0.2">
      <c r="N60" s="10">
        <v>58</v>
      </c>
      <c r="O60" s="88">
        <v>60404</v>
      </c>
      <c r="P60" s="88">
        <v>60385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93">
        <v>60451</v>
      </c>
      <c r="BD60" s="12"/>
      <c r="BE60" s="12"/>
      <c r="BF60" s="12"/>
      <c r="BG60" s="93"/>
      <c r="BH60" s="93"/>
    </row>
    <row r="61" spans="2:60" x14ac:dyDescent="0.2">
      <c r="N61" s="10">
        <v>59</v>
      </c>
      <c r="O61" s="88">
        <v>60406</v>
      </c>
      <c r="P61" s="88">
        <v>60451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93">
        <v>60514</v>
      </c>
      <c r="BD61" s="12"/>
      <c r="BE61" s="12"/>
      <c r="BF61" s="12"/>
      <c r="BG61" s="93"/>
      <c r="BH61" s="93"/>
    </row>
    <row r="62" spans="2:60" x14ac:dyDescent="0.2">
      <c r="N62" s="10">
        <v>60</v>
      </c>
      <c r="O62" s="88">
        <v>60407</v>
      </c>
      <c r="P62" s="88">
        <v>60316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93">
        <v>60457</v>
      </c>
      <c r="BD62" s="12"/>
      <c r="BE62" s="12"/>
      <c r="BF62" s="12"/>
      <c r="BG62" s="93"/>
      <c r="BH62" s="93"/>
    </row>
    <row r="63" spans="2:60" x14ac:dyDescent="0.2">
      <c r="N63" s="10">
        <v>61</v>
      </c>
      <c r="O63" s="88">
        <v>60416</v>
      </c>
      <c r="P63" s="88">
        <v>60313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93">
        <v>60458</v>
      </c>
      <c r="BD63" s="12"/>
      <c r="BE63" s="12"/>
      <c r="BF63" s="12"/>
      <c r="BG63" s="93"/>
      <c r="BH63" s="93"/>
    </row>
    <row r="64" spans="2:60" x14ac:dyDescent="0.2">
      <c r="N64" s="10">
        <v>62</v>
      </c>
      <c r="O64" s="88">
        <v>60417</v>
      </c>
      <c r="P64" s="88">
        <v>60323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93">
        <v>60454</v>
      </c>
      <c r="BD64" s="12"/>
      <c r="BE64" s="12"/>
      <c r="BF64" s="12"/>
      <c r="BG64" s="93"/>
      <c r="BH64" s="93"/>
    </row>
    <row r="65" spans="14:60" x14ac:dyDescent="0.2">
      <c r="N65" s="10">
        <v>63</v>
      </c>
      <c r="O65" s="88">
        <v>61109</v>
      </c>
      <c r="P65" s="88">
        <v>60324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93">
        <v>60928</v>
      </c>
      <c r="BD65" s="12"/>
      <c r="BE65" s="12"/>
      <c r="BF65" s="12"/>
      <c r="BG65" s="93"/>
      <c r="BH65" s="93"/>
    </row>
    <row r="66" spans="14:60" x14ac:dyDescent="0.2">
      <c r="N66" s="10">
        <v>64</v>
      </c>
      <c r="O66" s="88">
        <v>60421</v>
      </c>
      <c r="P66" s="88">
        <v>60306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93">
        <v>60461</v>
      </c>
      <c r="BD66" s="12"/>
      <c r="BE66" s="12"/>
      <c r="BF66" s="12"/>
      <c r="BG66" s="93"/>
      <c r="BH66" s="93"/>
    </row>
    <row r="67" spans="14:60" x14ac:dyDescent="0.2">
      <c r="N67" s="10">
        <v>65</v>
      </c>
      <c r="O67" s="88">
        <v>60422</v>
      </c>
      <c r="P67" s="88">
        <v>60321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93">
        <v>60463</v>
      </c>
      <c r="BD67" s="12"/>
      <c r="BE67" s="12"/>
      <c r="BF67" s="12"/>
      <c r="BG67" s="93"/>
      <c r="BH67" s="93"/>
    </row>
    <row r="68" spans="14:60" x14ac:dyDescent="0.2">
      <c r="N68" s="10">
        <v>66</v>
      </c>
      <c r="O68" s="88">
        <v>60423</v>
      </c>
      <c r="P68" s="88">
        <v>60312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93">
        <v>60464</v>
      </c>
      <c r="BD68" s="12"/>
      <c r="BE68" s="12"/>
      <c r="BF68" s="12"/>
      <c r="BG68" s="93"/>
      <c r="BH68" s="93"/>
    </row>
    <row r="69" spans="14:60" x14ac:dyDescent="0.2">
      <c r="N69" s="10">
        <v>67</v>
      </c>
      <c r="O69" s="88">
        <v>60424</v>
      </c>
      <c r="P69" s="88">
        <v>60307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93">
        <v>60465</v>
      </c>
      <c r="BD69" s="12"/>
      <c r="BE69" s="12"/>
      <c r="BF69" s="12"/>
      <c r="BG69" s="93"/>
      <c r="BH69" s="93"/>
    </row>
    <row r="70" spans="14:60" x14ac:dyDescent="0.2">
      <c r="N70" s="10">
        <v>68</v>
      </c>
      <c r="O70" s="88">
        <v>60425</v>
      </c>
      <c r="P70" s="88">
        <v>60322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93">
        <v>60466</v>
      </c>
      <c r="BD70" s="12"/>
      <c r="BE70" s="12"/>
      <c r="BF70" s="12"/>
      <c r="BG70" s="93"/>
      <c r="BH70" s="93"/>
    </row>
    <row r="71" spans="14:60" x14ac:dyDescent="0.2">
      <c r="N71" s="10">
        <v>69</v>
      </c>
      <c r="O71" s="88">
        <v>60426</v>
      </c>
      <c r="P71" s="88">
        <v>60317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93">
        <v>60468</v>
      </c>
      <c r="BD71" s="12"/>
      <c r="BE71" s="12"/>
      <c r="BF71" s="12"/>
      <c r="BG71" s="93"/>
      <c r="BH71" s="93"/>
    </row>
    <row r="72" spans="14:60" x14ac:dyDescent="0.2">
      <c r="N72" s="10">
        <v>70</v>
      </c>
      <c r="O72" s="88">
        <v>60427</v>
      </c>
      <c r="P72" s="88">
        <v>60303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93">
        <v>60469</v>
      </c>
      <c r="BD72" s="12"/>
      <c r="BE72" s="12"/>
      <c r="BF72" s="12"/>
      <c r="BG72" s="93"/>
      <c r="BH72" s="93"/>
    </row>
    <row r="73" spans="14:60" x14ac:dyDescent="0.2">
      <c r="N73" s="10">
        <v>71</v>
      </c>
      <c r="O73" s="88">
        <v>60428</v>
      </c>
      <c r="P73" s="88">
        <v>60319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93">
        <v>60471</v>
      </c>
      <c r="BD73" s="12"/>
      <c r="BE73" s="12"/>
      <c r="BF73" s="12"/>
      <c r="BG73" s="93"/>
      <c r="BH73" s="93"/>
    </row>
    <row r="74" spans="14:60" x14ac:dyDescent="0.2">
      <c r="N74" s="10">
        <v>72</v>
      </c>
      <c r="O74" s="88">
        <v>60429</v>
      </c>
      <c r="P74" s="88">
        <v>60358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93">
        <v>60472</v>
      </c>
      <c r="BD74" s="12"/>
      <c r="BE74" s="12"/>
      <c r="BF74" s="12"/>
      <c r="BG74" s="93"/>
      <c r="BH74" s="93"/>
    </row>
    <row r="75" spans="14:60" x14ac:dyDescent="0.2">
      <c r="N75" s="10">
        <v>73</v>
      </c>
      <c r="O75" s="88">
        <v>60433</v>
      </c>
      <c r="P75" s="88">
        <v>60311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93">
        <v>60473</v>
      </c>
      <c r="BD75" s="12"/>
      <c r="BE75" s="12"/>
      <c r="BF75" s="12"/>
      <c r="BG75" s="93"/>
      <c r="BH75" s="93"/>
    </row>
    <row r="76" spans="14:60" x14ac:dyDescent="0.2">
      <c r="N76" s="10">
        <v>74</v>
      </c>
      <c r="O76" s="88">
        <v>60434</v>
      </c>
      <c r="P76" s="88">
        <v>60926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93">
        <v>60474</v>
      </c>
      <c r="BD76" s="12"/>
      <c r="BE76" s="12"/>
      <c r="BF76" s="12"/>
      <c r="BG76" s="93"/>
      <c r="BH76" s="93"/>
    </row>
    <row r="77" spans="14:60" x14ac:dyDescent="0.2">
      <c r="N77" s="10">
        <v>75</v>
      </c>
      <c r="O77" s="88">
        <v>60396</v>
      </c>
      <c r="P77" s="88">
        <v>60320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93">
        <v>60500</v>
      </c>
      <c r="BD77" s="12"/>
      <c r="BE77" s="12"/>
      <c r="BF77" s="12"/>
      <c r="BG77" s="93"/>
      <c r="BH77" s="93"/>
    </row>
    <row r="78" spans="14:60" x14ac:dyDescent="0.2">
      <c r="N78" s="10">
        <v>76</v>
      </c>
      <c r="O78" s="88">
        <v>60419</v>
      </c>
      <c r="P78" s="88">
        <v>60318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93">
        <v>60501</v>
      </c>
      <c r="BD78" s="12"/>
      <c r="BE78" s="12"/>
      <c r="BF78" s="12"/>
      <c r="BG78" s="93"/>
      <c r="BH78" s="93"/>
    </row>
    <row r="79" spans="14:60" x14ac:dyDescent="0.2">
      <c r="N79" s="10">
        <v>77</v>
      </c>
      <c r="O79" s="88">
        <v>60397</v>
      </c>
      <c r="P79" s="88">
        <v>60927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93">
        <v>60470</v>
      </c>
      <c r="BD79" s="12"/>
      <c r="BE79" s="12"/>
      <c r="BF79" s="12"/>
      <c r="BG79" s="93"/>
      <c r="BH79" s="93"/>
    </row>
    <row r="80" spans="14:60" x14ac:dyDescent="0.2">
      <c r="N80" s="10">
        <v>78</v>
      </c>
      <c r="O80" s="88">
        <v>60413</v>
      </c>
      <c r="P80" s="88">
        <v>60305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93">
        <v>60482</v>
      </c>
      <c r="BD80" s="12"/>
      <c r="BE80" s="12"/>
      <c r="BF80" s="12"/>
      <c r="BG80" s="93"/>
      <c r="BH80" s="93"/>
    </row>
    <row r="81" spans="14:60" x14ac:dyDescent="0.2">
      <c r="N81" s="10">
        <v>79</v>
      </c>
      <c r="O81" s="88">
        <v>60435</v>
      </c>
      <c r="P81" s="88">
        <v>60314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93">
        <v>60483</v>
      </c>
      <c r="BD81" s="12"/>
      <c r="BE81" s="12"/>
      <c r="BF81" s="12"/>
      <c r="BG81" s="93"/>
      <c r="BH81" s="93"/>
    </row>
    <row r="82" spans="14:60" x14ac:dyDescent="0.2">
      <c r="N82" s="10">
        <v>80</v>
      </c>
      <c r="O82" s="88">
        <v>60398</v>
      </c>
      <c r="P82" s="88">
        <v>60310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93">
        <v>60484</v>
      </c>
      <c r="BD82" s="12"/>
      <c r="BE82" s="12"/>
      <c r="BF82" s="12"/>
      <c r="BG82" s="93"/>
      <c r="BH82" s="93"/>
    </row>
    <row r="83" spans="14:60" x14ac:dyDescent="0.2">
      <c r="N83" s="10">
        <v>81</v>
      </c>
      <c r="O83" s="88">
        <v>60925</v>
      </c>
      <c r="P83" s="88">
        <v>60315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93">
        <v>60485</v>
      </c>
      <c r="BD83" s="12"/>
      <c r="BE83" s="12"/>
      <c r="BF83" s="12"/>
      <c r="BG83" s="93"/>
      <c r="BH83" s="93"/>
    </row>
    <row r="84" spans="14:60" x14ac:dyDescent="0.2">
      <c r="N84" s="10">
        <v>82</v>
      </c>
      <c r="O84" s="88">
        <v>60359</v>
      </c>
      <c r="P84" s="88">
        <v>60308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93">
        <v>60487</v>
      </c>
      <c r="BD84" s="12"/>
      <c r="BE84" s="12"/>
      <c r="BF84" s="12"/>
      <c r="BG84" s="93"/>
      <c r="BH84" s="93"/>
    </row>
    <row r="85" spans="14:60" x14ac:dyDescent="0.2">
      <c r="N85" s="10">
        <v>83</v>
      </c>
      <c r="O85" s="88">
        <v>60400</v>
      </c>
      <c r="P85" s="88">
        <v>60514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93">
        <v>60488</v>
      </c>
      <c r="BD85" s="12"/>
      <c r="BE85" s="12"/>
      <c r="BF85" s="12"/>
      <c r="BG85" s="93"/>
      <c r="BH85" s="93"/>
    </row>
    <row r="86" spans="14:60" x14ac:dyDescent="0.2">
      <c r="N86" s="10">
        <v>84</v>
      </c>
      <c r="O86" s="88">
        <v>60436</v>
      </c>
      <c r="P86" s="88">
        <v>60457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93">
        <v>60489</v>
      </c>
      <c r="BD86" s="12"/>
      <c r="BE86" s="12"/>
      <c r="BF86" s="12"/>
      <c r="BG86" s="93"/>
      <c r="BH86" s="93"/>
    </row>
    <row r="87" spans="14:60" x14ac:dyDescent="0.2">
      <c r="N87" s="10">
        <v>85</v>
      </c>
      <c r="O87" s="88">
        <v>60437</v>
      </c>
      <c r="P87" s="88">
        <v>60458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93">
        <v>60490</v>
      </c>
      <c r="BD87" s="12"/>
      <c r="BE87" s="12"/>
      <c r="BF87" s="12"/>
      <c r="BG87" s="93"/>
      <c r="BH87" s="93"/>
    </row>
    <row r="88" spans="14:60" x14ac:dyDescent="0.2">
      <c r="N88" s="10">
        <v>86</v>
      </c>
      <c r="O88" s="88">
        <v>69165</v>
      </c>
      <c r="P88" s="88">
        <v>60454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93">
        <v>60491</v>
      </c>
      <c r="BD88" s="12"/>
      <c r="BE88" s="12"/>
      <c r="BF88" s="12"/>
      <c r="BG88" s="93"/>
      <c r="BH88" s="93"/>
    </row>
    <row r="89" spans="14:60" x14ac:dyDescent="0.2">
      <c r="N89" s="10">
        <v>87</v>
      </c>
      <c r="O89" s="88">
        <v>60411</v>
      </c>
      <c r="P89" s="88">
        <v>60928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93">
        <v>60475</v>
      </c>
      <c r="BD89" s="12"/>
      <c r="BE89" s="12"/>
      <c r="BF89" s="12"/>
      <c r="BG89" s="93"/>
      <c r="BH89" s="93"/>
    </row>
    <row r="90" spans="14:60" x14ac:dyDescent="0.2">
      <c r="N90" s="10">
        <v>88</v>
      </c>
      <c r="O90" s="88">
        <v>60440</v>
      </c>
      <c r="P90" s="88">
        <v>60461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93">
        <v>60492</v>
      </c>
      <c r="BD90" s="12"/>
      <c r="BE90" s="12"/>
      <c r="BF90" s="12"/>
      <c r="BG90" s="93"/>
      <c r="BH90" s="93"/>
    </row>
    <row r="91" spans="14:60" x14ac:dyDescent="0.2">
      <c r="N91" s="10">
        <v>89</v>
      </c>
      <c r="O91" s="88">
        <v>60441</v>
      </c>
      <c r="P91" s="88">
        <v>60463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93">
        <v>60493</v>
      </c>
      <c r="BD91" s="12"/>
      <c r="BE91" s="12"/>
      <c r="BF91" s="12"/>
      <c r="BG91" s="93"/>
      <c r="BH91" s="93"/>
    </row>
    <row r="92" spans="14:60" x14ac:dyDescent="0.2">
      <c r="N92" s="10">
        <v>90</v>
      </c>
      <c r="O92" s="88">
        <v>60442</v>
      </c>
      <c r="P92" s="88">
        <v>60464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93">
        <v>60494</v>
      </c>
      <c r="BD92" s="12"/>
      <c r="BE92" s="12"/>
      <c r="BF92" s="12"/>
      <c r="BG92" s="93"/>
      <c r="BH92" s="93"/>
    </row>
    <row r="93" spans="14:60" x14ac:dyDescent="0.2">
      <c r="N93" s="10">
        <v>91</v>
      </c>
      <c r="O93" s="88">
        <v>60443</v>
      </c>
      <c r="P93" s="88">
        <v>60465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93">
        <v>60495</v>
      </c>
      <c r="BD93" s="12"/>
      <c r="BE93" s="12"/>
      <c r="BF93" s="12"/>
      <c r="BG93" s="93"/>
      <c r="BH93" s="93"/>
    </row>
    <row r="94" spans="14:60" x14ac:dyDescent="0.2">
      <c r="N94" s="10">
        <v>92</v>
      </c>
      <c r="O94" s="88">
        <v>60444</v>
      </c>
      <c r="P94" s="88">
        <v>60466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93">
        <v>60496</v>
      </c>
      <c r="BD94" s="12"/>
      <c r="BE94" s="12"/>
      <c r="BF94" s="12"/>
      <c r="BG94" s="93"/>
      <c r="BH94" s="93"/>
    </row>
    <row r="95" spans="14:60" x14ac:dyDescent="0.2">
      <c r="N95" s="10">
        <v>93</v>
      </c>
      <c r="O95" s="88">
        <v>60446</v>
      </c>
      <c r="P95" s="88">
        <v>60468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93">
        <v>60929</v>
      </c>
      <c r="BD95" s="12"/>
      <c r="BE95" s="12"/>
      <c r="BF95" s="12"/>
      <c r="BG95" s="93"/>
      <c r="BH95" s="93"/>
    </row>
    <row r="96" spans="14:60" x14ac:dyDescent="0.2">
      <c r="N96" s="10">
        <v>94</v>
      </c>
      <c r="O96" s="88">
        <v>60447</v>
      </c>
      <c r="P96" s="88">
        <v>60469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93">
        <v>60498</v>
      </c>
      <c r="BD96" s="12"/>
      <c r="BE96" s="12"/>
      <c r="BF96" s="12"/>
      <c r="BG96" s="93"/>
      <c r="BH96" s="93"/>
    </row>
    <row r="97" spans="14:60" x14ac:dyDescent="0.2">
      <c r="N97" s="10">
        <v>95</v>
      </c>
      <c r="O97" s="88">
        <v>60448</v>
      </c>
      <c r="P97" s="88">
        <v>60471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93">
        <v>60930</v>
      </c>
      <c r="BD97" s="12"/>
      <c r="BE97" s="12"/>
      <c r="BF97" s="12"/>
      <c r="BG97" s="93"/>
      <c r="BH97" s="93"/>
    </row>
    <row r="98" spans="14:60" x14ac:dyDescent="0.2">
      <c r="N98" s="10">
        <v>96</v>
      </c>
      <c r="O98" s="88">
        <v>60449</v>
      </c>
      <c r="P98" s="88">
        <v>60472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93">
        <v>60931</v>
      </c>
      <c r="BD98" s="12"/>
      <c r="BE98" s="12"/>
      <c r="BF98" s="12"/>
      <c r="BG98" s="93"/>
      <c r="BH98" s="93"/>
    </row>
    <row r="99" spans="14:60" x14ac:dyDescent="0.2">
      <c r="N99" s="10">
        <v>97</v>
      </c>
      <c r="O99" s="88">
        <v>60385</v>
      </c>
      <c r="P99" s="88">
        <v>60473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93">
        <v>60932</v>
      </c>
      <c r="BD99" s="12"/>
      <c r="BE99" s="12"/>
      <c r="BF99" s="12"/>
      <c r="BG99" s="93"/>
      <c r="BH99" s="93"/>
    </row>
    <row r="100" spans="14:60" x14ac:dyDescent="0.2">
      <c r="N100" s="10">
        <v>98</v>
      </c>
      <c r="O100" s="88">
        <v>60450</v>
      </c>
      <c r="P100" s="88">
        <v>60474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93">
        <v>60505</v>
      </c>
      <c r="BD100" s="12"/>
      <c r="BE100" s="12"/>
      <c r="BF100" s="12"/>
      <c r="BG100" s="93"/>
      <c r="BH100" s="93"/>
    </row>
    <row r="101" spans="14:60" x14ac:dyDescent="0.2">
      <c r="N101" s="10">
        <v>99</v>
      </c>
      <c r="O101" s="88">
        <v>60451</v>
      </c>
      <c r="P101" s="88">
        <v>60500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93">
        <v>60508</v>
      </c>
      <c r="BD101" s="12"/>
      <c r="BE101" s="12"/>
      <c r="BF101" s="12"/>
      <c r="BG101" s="93"/>
      <c r="BH101" s="93"/>
    </row>
    <row r="102" spans="14:60" x14ac:dyDescent="0.2">
      <c r="N102" s="10">
        <v>100</v>
      </c>
      <c r="O102" s="88">
        <v>60316</v>
      </c>
      <c r="P102" s="88">
        <v>60501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93">
        <v>60510</v>
      </c>
      <c r="BD102" s="12"/>
      <c r="BE102" s="12"/>
      <c r="BF102" s="12"/>
      <c r="BG102" s="93"/>
      <c r="BH102" s="93"/>
    </row>
    <row r="103" spans="14:60" x14ac:dyDescent="0.2">
      <c r="N103" s="10">
        <v>101</v>
      </c>
      <c r="O103" s="88">
        <v>60313</v>
      </c>
      <c r="P103" s="88">
        <v>60470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93">
        <v>60467</v>
      </c>
      <c r="BD103" s="12"/>
      <c r="BE103" s="12"/>
      <c r="BF103" s="12"/>
      <c r="BG103" s="93"/>
      <c r="BH103" s="93"/>
    </row>
    <row r="104" spans="14:60" x14ac:dyDescent="0.2">
      <c r="N104" s="10">
        <v>102</v>
      </c>
      <c r="O104" s="88">
        <v>60323</v>
      </c>
      <c r="P104" s="88">
        <v>60482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93">
        <v>60511</v>
      </c>
      <c r="BD104" s="12"/>
      <c r="BE104" s="12"/>
      <c r="BF104" s="12"/>
      <c r="BG104" s="93"/>
      <c r="BH104" s="93"/>
    </row>
    <row r="105" spans="14:60" x14ac:dyDescent="0.2">
      <c r="N105" s="10">
        <v>103</v>
      </c>
      <c r="O105" s="88">
        <v>60324</v>
      </c>
      <c r="P105" s="88">
        <v>60483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93">
        <v>60512</v>
      </c>
      <c r="BD105" s="12"/>
      <c r="BE105" s="12"/>
      <c r="BF105" s="12"/>
      <c r="BG105" s="93"/>
      <c r="BH105" s="93"/>
    </row>
    <row r="106" spans="14:60" x14ac:dyDescent="0.2">
      <c r="N106" s="10">
        <v>104</v>
      </c>
      <c r="O106" s="88">
        <v>60306</v>
      </c>
      <c r="P106" s="88">
        <v>60484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93">
        <v>60476</v>
      </c>
      <c r="BD106" s="12"/>
      <c r="BE106" s="12"/>
      <c r="BF106" s="12"/>
      <c r="BG106" s="93"/>
      <c r="BH106" s="93"/>
    </row>
    <row r="107" spans="14:60" x14ac:dyDescent="0.2">
      <c r="N107" s="10">
        <v>105</v>
      </c>
      <c r="O107" s="88">
        <v>60321</v>
      </c>
      <c r="P107" s="88">
        <v>60485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93">
        <v>60477</v>
      </c>
      <c r="BD107" s="12"/>
      <c r="BE107" s="12"/>
      <c r="BF107" s="12"/>
      <c r="BG107" s="93"/>
      <c r="BH107" s="93"/>
    </row>
    <row r="108" spans="14:60" x14ac:dyDescent="0.2">
      <c r="N108" s="10">
        <v>106</v>
      </c>
      <c r="O108" s="88">
        <v>60312</v>
      </c>
      <c r="P108" s="88">
        <v>60487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93">
        <v>60480</v>
      </c>
      <c r="BD108" s="12"/>
      <c r="BE108" s="12"/>
      <c r="BF108" s="12"/>
      <c r="BG108" s="93"/>
      <c r="BH108" s="93"/>
    </row>
    <row r="109" spans="14:60" x14ac:dyDescent="0.2">
      <c r="N109" s="10">
        <v>107</v>
      </c>
      <c r="O109" s="88">
        <v>60307</v>
      </c>
      <c r="P109" s="88">
        <v>60488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93">
        <v>61067</v>
      </c>
      <c r="BD109" s="12"/>
      <c r="BE109" s="12"/>
      <c r="BF109" s="12"/>
      <c r="BG109" s="93"/>
      <c r="BH109" s="93"/>
    </row>
    <row r="110" spans="14:60" x14ac:dyDescent="0.2">
      <c r="N110" s="10">
        <v>108</v>
      </c>
      <c r="O110" s="88">
        <v>60322</v>
      </c>
      <c r="P110" s="88">
        <v>60489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93">
        <v>60506</v>
      </c>
      <c r="BD110" s="12"/>
      <c r="BE110" s="12"/>
      <c r="BF110" s="12"/>
      <c r="BG110" s="93"/>
      <c r="BH110" s="93"/>
    </row>
    <row r="111" spans="14:60" x14ac:dyDescent="0.2">
      <c r="N111" s="10">
        <v>109</v>
      </c>
      <c r="O111" s="88">
        <v>60317</v>
      </c>
      <c r="P111" s="88">
        <v>60490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93">
        <v>60507</v>
      </c>
      <c r="BD111" s="12"/>
      <c r="BE111" s="12"/>
      <c r="BF111" s="12"/>
      <c r="BG111" s="93"/>
      <c r="BH111" s="93"/>
    </row>
    <row r="112" spans="14:60" x14ac:dyDescent="0.2">
      <c r="N112" s="10">
        <v>110</v>
      </c>
      <c r="O112" s="88">
        <v>60303</v>
      </c>
      <c r="P112" s="88">
        <v>60491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93">
        <v>60515</v>
      </c>
      <c r="BD112" s="12"/>
      <c r="BE112" s="12"/>
      <c r="BF112" s="12"/>
      <c r="BG112" s="93"/>
      <c r="BH112" s="93"/>
    </row>
    <row r="113" spans="14:60" x14ac:dyDescent="0.2">
      <c r="N113" s="10">
        <v>111</v>
      </c>
      <c r="O113" s="88">
        <v>60319</v>
      </c>
      <c r="P113" s="88">
        <v>60475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93"/>
      <c r="BD113" s="12"/>
      <c r="BE113" s="12"/>
      <c r="BF113" s="12"/>
      <c r="BG113" s="93"/>
      <c r="BH113" s="93"/>
    </row>
    <row r="114" spans="14:60" x14ac:dyDescent="0.2">
      <c r="N114" s="10">
        <v>112</v>
      </c>
      <c r="O114" s="88">
        <v>60358</v>
      </c>
      <c r="P114" s="88">
        <v>60492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93"/>
      <c r="BD114" s="12"/>
      <c r="BE114" s="12"/>
      <c r="BF114" s="12"/>
      <c r="BG114" s="93"/>
      <c r="BH114" s="93"/>
    </row>
    <row r="115" spans="14:60" x14ac:dyDescent="0.2">
      <c r="N115" s="10">
        <v>113</v>
      </c>
      <c r="O115" s="88">
        <v>60311</v>
      </c>
      <c r="P115" s="88">
        <v>60493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93"/>
      <c r="BD115" s="12"/>
      <c r="BE115" s="12"/>
      <c r="BF115" s="12"/>
      <c r="BG115" s="93"/>
      <c r="BH115" s="93"/>
    </row>
    <row r="116" spans="14:60" x14ac:dyDescent="0.2">
      <c r="N116" s="10">
        <v>114</v>
      </c>
      <c r="O116" s="88">
        <v>60926</v>
      </c>
      <c r="P116" s="88">
        <v>60494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93"/>
      <c r="BD116" s="12"/>
      <c r="BE116" s="12"/>
      <c r="BF116" s="12"/>
      <c r="BG116" s="93"/>
      <c r="BH116" s="93"/>
    </row>
    <row r="117" spans="14:60" x14ac:dyDescent="0.2">
      <c r="N117" s="10">
        <v>115</v>
      </c>
      <c r="O117" s="88">
        <v>60320</v>
      </c>
      <c r="P117" s="88">
        <v>60495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93"/>
      <c r="BD117" s="12"/>
      <c r="BE117" s="12"/>
      <c r="BF117" s="12"/>
      <c r="BG117" s="93"/>
      <c r="BH117" s="93"/>
    </row>
    <row r="118" spans="14:60" x14ac:dyDescent="0.2">
      <c r="N118" s="10">
        <v>116</v>
      </c>
      <c r="O118" s="88">
        <v>60318</v>
      </c>
      <c r="P118" s="88">
        <v>60496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93"/>
      <c r="BD118" s="12"/>
      <c r="BE118" s="12"/>
      <c r="BF118" s="12"/>
      <c r="BG118" s="93"/>
      <c r="BH118" s="93"/>
    </row>
    <row r="119" spans="14:60" x14ac:dyDescent="0.2">
      <c r="N119" s="10">
        <v>117</v>
      </c>
      <c r="O119" s="88">
        <v>60927</v>
      </c>
      <c r="P119" s="88">
        <v>60929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93"/>
      <c r="BD119" s="12"/>
      <c r="BE119" s="12"/>
      <c r="BF119" s="12"/>
      <c r="BG119" s="93"/>
      <c r="BH119" s="93"/>
    </row>
    <row r="120" spans="14:60" x14ac:dyDescent="0.2">
      <c r="N120" s="10">
        <v>118</v>
      </c>
      <c r="O120" s="88">
        <v>60305</v>
      </c>
      <c r="P120" s="88">
        <v>60498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93"/>
      <c r="BD120" s="12"/>
      <c r="BE120" s="12"/>
      <c r="BF120" s="12"/>
      <c r="BG120" s="93"/>
      <c r="BH120" s="93"/>
    </row>
    <row r="121" spans="14:60" x14ac:dyDescent="0.2">
      <c r="N121" s="10">
        <v>119</v>
      </c>
      <c r="O121" s="88">
        <v>60314</v>
      </c>
      <c r="P121" s="88">
        <v>60930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93"/>
      <c r="BD121" s="12"/>
      <c r="BE121" s="12"/>
      <c r="BF121" s="12"/>
      <c r="BG121" s="93"/>
      <c r="BH121" s="93"/>
    </row>
    <row r="122" spans="14:60" x14ac:dyDescent="0.2">
      <c r="N122" s="10">
        <v>120</v>
      </c>
      <c r="O122" s="88">
        <v>60310</v>
      </c>
      <c r="P122" s="88">
        <v>60931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93"/>
      <c r="BD122" s="12"/>
      <c r="BE122" s="12"/>
      <c r="BF122" s="12"/>
      <c r="BG122" s="93"/>
      <c r="BH122" s="93"/>
    </row>
    <row r="123" spans="14:60" x14ac:dyDescent="0.2">
      <c r="N123" s="10">
        <v>121</v>
      </c>
      <c r="O123" s="88">
        <v>60315</v>
      </c>
      <c r="P123" s="88">
        <v>60932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93"/>
      <c r="BD123" s="12"/>
      <c r="BE123" s="12"/>
      <c r="BF123" s="12"/>
      <c r="BG123" s="93"/>
      <c r="BH123" s="93"/>
    </row>
    <row r="124" spans="14:60" x14ac:dyDescent="0.2">
      <c r="N124" s="10">
        <v>122</v>
      </c>
      <c r="O124" s="88">
        <v>60308</v>
      </c>
      <c r="P124" s="88">
        <v>60505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93"/>
      <c r="BH124" s="93"/>
    </row>
    <row r="125" spans="14:60" x14ac:dyDescent="0.2">
      <c r="N125" s="10">
        <v>123</v>
      </c>
      <c r="O125" s="88">
        <v>60514</v>
      </c>
      <c r="P125" s="88">
        <v>60508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93"/>
      <c r="BH125" s="93"/>
    </row>
    <row r="126" spans="14:60" x14ac:dyDescent="0.2">
      <c r="N126" s="10">
        <v>124</v>
      </c>
      <c r="O126" s="88">
        <v>60457</v>
      </c>
      <c r="P126" s="88">
        <v>60510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93"/>
      <c r="BH126" s="93"/>
    </row>
    <row r="127" spans="14:60" x14ac:dyDescent="0.2">
      <c r="N127" s="10">
        <v>125</v>
      </c>
      <c r="O127" s="88">
        <v>60458</v>
      </c>
      <c r="P127" s="88">
        <v>60467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93"/>
      <c r="BH127" s="93"/>
    </row>
    <row r="128" spans="14:60" x14ac:dyDescent="0.2">
      <c r="N128" s="10">
        <v>126</v>
      </c>
      <c r="O128" s="88">
        <v>60454</v>
      </c>
      <c r="P128" s="88">
        <v>60511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93"/>
      <c r="BH128" s="93"/>
    </row>
    <row r="129" spans="14:60" x14ac:dyDescent="0.2">
      <c r="N129" s="10">
        <v>127</v>
      </c>
      <c r="O129" s="88">
        <v>60928</v>
      </c>
      <c r="P129" s="88">
        <v>60512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93"/>
      <c r="BH129" s="93"/>
    </row>
    <row r="130" spans="14:60" x14ac:dyDescent="0.2">
      <c r="N130" s="10">
        <v>128</v>
      </c>
      <c r="O130" s="88">
        <v>60461</v>
      </c>
      <c r="P130" s="88">
        <v>60476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93"/>
      <c r="BH130" s="93"/>
    </row>
    <row r="131" spans="14:60" x14ac:dyDescent="0.2">
      <c r="N131" s="10">
        <v>129</v>
      </c>
      <c r="O131" s="88">
        <v>60463</v>
      </c>
      <c r="P131" s="88">
        <v>60477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93"/>
      <c r="BH131" s="93"/>
    </row>
    <row r="132" spans="14:60" x14ac:dyDescent="0.2">
      <c r="N132" s="10">
        <v>130</v>
      </c>
      <c r="O132" s="88">
        <v>60464</v>
      </c>
      <c r="P132" s="88">
        <v>60480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93"/>
      <c r="BH132" s="93"/>
    </row>
    <row r="133" spans="14:60" x14ac:dyDescent="0.2">
      <c r="N133" s="10">
        <v>131</v>
      </c>
      <c r="O133" s="88">
        <v>60465</v>
      </c>
      <c r="P133" s="88">
        <v>61067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93"/>
      <c r="BH133" s="93"/>
    </row>
    <row r="134" spans="14:60" x14ac:dyDescent="0.2">
      <c r="N134" s="10">
        <v>132</v>
      </c>
      <c r="O134" s="88">
        <v>60466</v>
      </c>
      <c r="P134" s="88">
        <v>60506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93"/>
      <c r="BH134" s="93"/>
    </row>
    <row r="135" spans="14:60" x14ac:dyDescent="0.2">
      <c r="N135" s="10">
        <v>133</v>
      </c>
      <c r="O135" s="88">
        <v>60468</v>
      </c>
      <c r="P135" s="88">
        <v>60507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93"/>
      <c r="BH135" s="93"/>
    </row>
    <row r="136" spans="14:60" x14ac:dyDescent="0.2">
      <c r="N136" s="10">
        <v>134</v>
      </c>
      <c r="O136" s="88">
        <v>60469</v>
      </c>
      <c r="P136" s="88">
        <v>60515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93"/>
      <c r="BH136" s="93"/>
    </row>
    <row r="137" spans="14:60" x14ac:dyDescent="0.2">
      <c r="N137" s="10">
        <v>135</v>
      </c>
      <c r="O137" s="88">
        <v>60471</v>
      </c>
      <c r="P137" s="8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93"/>
      <c r="BH137" s="93"/>
    </row>
    <row r="138" spans="14:60" x14ac:dyDescent="0.2">
      <c r="N138" s="10">
        <v>136</v>
      </c>
      <c r="O138" s="88">
        <v>60472</v>
      </c>
      <c r="P138" s="93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93"/>
      <c r="BH138" s="93"/>
    </row>
    <row r="139" spans="14:60" x14ac:dyDescent="0.2">
      <c r="N139" s="10">
        <v>137</v>
      </c>
      <c r="O139" s="88">
        <v>60473</v>
      </c>
      <c r="P139" s="93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93"/>
      <c r="BH139" s="93"/>
    </row>
    <row r="140" spans="14:60" x14ac:dyDescent="0.2">
      <c r="N140" s="10">
        <v>138</v>
      </c>
      <c r="O140" s="88">
        <v>60474</v>
      </c>
      <c r="P140" s="93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93"/>
      <c r="BH140" s="93"/>
    </row>
    <row r="141" spans="14:60" x14ac:dyDescent="0.2">
      <c r="N141" s="10">
        <v>139</v>
      </c>
      <c r="O141" s="88">
        <v>60500</v>
      </c>
      <c r="P141" s="93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93"/>
      <c r="BH141" s="93"/>
    </row>
    <row r="142" spans="14:60" x14ac:dyDescent="0.2">
      <c r="N142" s="10">
        <v>140</v>
      </c>
      <c r="O142" s="88">
        <v>60501</v>
      </c>
      <c r="P142" s="93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93"/>
      <c r="BH142" s="93"/>
    </row>
    <row r="143" spans="14:60" x14ac:dyDescent="0.2">
      <c r="N143" s="10">
        <v>141</v>
      </c>
      <c r="O143" s="88">
        <v>60470</v>
      </c>
      <c r="P143" s="93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93"/>
      <c r="BH143" s="93"/>
    </row>
    <row r="144" spans="14:60" x14ac:dyDescent="0.2">
      <c r="N144" s="10">
        <v>142</v>
      </c>
      <c r="O144" s="88">
        <v>60482</v>
      </c>
      <c r="P144" s="93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93"/>
      <c r="BH144" s="93"/>
    </row>
    <row r="145" spans="14:60" x14ac:dyDescent="0.2">
      <c r="N145" s="10">
        <v>143</v>
      </c>
      <c r="O145" s="88">
        <v>60483</v>
      </c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93"/>
      <c r="BH145" s="93"/>
    </row>
    <row r="146" spans="14:60" x14ac:dyDescent="0.2">
      <c r="N146" s="10">
        <v>144</v>
      </c>
      <c r="O146" s="88">
        <v>60484</v>
      </c>
      <c r="P146" s="15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93"/>
      <c r="BH146" s="93"/>
    </row>
    <row r="147" spans="14:60" x14ac:dyDescent="0.2">
      <c r="N147" s="10">
        <v>145</v>
      </c>
      <c r="O147" s="88">
        <v>60485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93"/>
      <c r="BH147" s="93"/>
    </row>
    <row r="148" spans="14:60" x14ac:dyDescent="0.2">
      <c r="N148" s="10">
        <v>146</v>
      </c>
      <c r="O148" s="88">
        <v>60487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93"/>
      <c r="BH148" s="93"/>
    </row>
    <row r="149" spans="14:60" x14ac:dyDescent="0.2">
      <c r="N149" s="10">
        <v>147</v>
      </c>
      <c r="O149" s="88">
        <v>60488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93"/>
      <c r="BH149" s="93"/>
    </row>
    <row r="150" spans="14:60" x14ac:dyDescent="0.2">
      <c r="N150" s="10">
        <v>148</v>
      </c>
      <c r="O150" s="88">
        <v>60489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93"/>
      <c r="BH150" s="93"/>
    </row>
    <row r="151" spans="14:60" x14ac:dyDescent="0.2">
      <c r="N151" s="10">
        <v>149</v>
      </c>
      <c r="O151" s="88">
        <v>60490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93"/>
      <c r="BH151" s="93"/>
    </row>
    <row r="152" spans="14:60" x14ac:dyDescent="0.2">
      <c r="N152" s="10">
        <v>150</v>
      </c>
      <c r="O152" s="88">
        <v>60491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93"/>
      <c r="BH152" s="93"/>
    </row>
    <row r="153" spans="14:60" x14ac:dyDescent="0.2">
      <c r="N153" s="10">
        <v>151</v>
      </c>
      <c r="O153" s="88">
        <v>60475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93"/>
      <c r="BH153" s="93"/>
    </row>
    <row r="154" spans="14:60" x14ac:dyDescent="0.2">
      <c r="N154" s="10">
        <v>152</v>
      </c>
      <c r="O154" s="88">
        <v>60492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93"/>
      <c r="BH154" s="93"/>
    </row>
    <row r="155" spans="14:60" x14ac:dyDescent="0.2">
      <c r="N155" s="10">
        <v>153</v>
      </c>
      <c r="O155" s="88">
        <v>60493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93"/>
      <c r="BH155" s="93"/>
    </row>
    <row r="156" spans="14:60" x14ac:dyDescent="0.2">
      <c r="N156" s="10">
        <v>154</v>
      </c>
      <c r="O156" s="88">
        <v>60494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93"/>
      <c r="BH156" s="93"/>
    </row>
    <row r="157" spans="14:60" x14ac:dyDescent="0.2">
      <c r="N157" s="10">
        <v>155</v>
      </c>
      <c r="O157" s="88">
        <v>60495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93"/>
      <c r="BH157" s="93"/>
    </row>
    <row r="158" spans="14:60" x14ac:dyDescent="0.2">
      <c r="N158" s="10">
        <v>156</v>
      </c>
      <c r="O158" s="88">
        <v>60496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93"/>
      <c r="BH158" s="93"/>
    </row>
    <row r="159" spans="14:60" x14ac:dyDescent="0.2">
      <c r="N159" s="10">
        <v>157</v>
      </c>
      <c r="O159" s="88">
        <v>60929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93"/>
      <c r="BH159" s="93"/>
    </row>
    <row r="160" spans="14:60" x14ac:dyDescent="0.2">
      <c r="N160" s="10">
        <v>158</v>
      </c>
      <c r="O160" s="88">
        <v>60498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93"/>
      <c r="BH160" s="93"/>
    </row>
    <row r="161" spans="14:60" x14ac:dyDescent="0.2">
      <c r="N161" s="10">
        <v>159</v>
      </c>
      <c r="O161" s="88">
        <v>60930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93"/>
      <c r="BH161" s="93"/>
    </row>
    <row r="162" spans="14:60" x14ac:dyDescent="0.2">
      <c r="N162" s="10">
        <v>160</v>
      </c>
      <c r="O162" s="88">
        <v>60931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93"/>
      <c r="BH162" s="93"/>
    </row>
    <row r="163" spans="14:60" x14ac:dyDescent="0.2">
      <c r="N163" s="10">
        <v>161</v>
      </c>
      <c r="O163" s="88">
        <v>60932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93"/>
      <c r="BH163" s="93"/>
    </row>
    <row r="164" spans="14:60" x14ac:dyDescent="0.2">
      <c r="N164" s="10">
        <v>162</v>
      </c>
      <c r="O164" s="88">
        <v>60505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93"/>
      <c r="BH164" s="93"/>
    </row>
    <row r="165" spans="14:60" x14ac:dyDescent="0.2">
      <c r="N165" s="10">
        <v>163</v>
      </c>
      <c r="O165" s="88">
        <v>60508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93"/>
      <c r="BH165" s="93"/>
    </row>
    <row r="166" spans="14:60" x14ac:dyDescent="0.2">
      <c r="N166" s="10">
        <v>164</v>
      </c>
      <c r="O166" s="88">
        <v>60510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93"/>
      <c r="BH166" s="93"/>
    </row>
    <row r="167" spans="14:60" x14ac:dyDescent="0.2">
      <c r="N167" s="10">
        <v>165</v>
      </c>
      <c r="O167" s="88">
        <v>60467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93"/>
      <c r="BH167" s="93"/>
    </row>
    <row r="168" spans="14:60" x14ac:dyDescent="0.2">
      <c r="N168" s="10">
        <v>166</v>
      </c>
      <c r="O168" s="88">
        <v>60511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93"/>
      <c r="BH168" s="93"/>
    </row>
    <row r="169" spans="14:60" x14ac:dyDescent="0.2">
      <c r="N169" s="10">
        <v>167</v>
      </c>
      <c r="O169" s="88">
        <v>60512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93"/>
      <c r="BH169" s="93"/>
    </row>
    <row r="170" spans="14:60" x14ac:dyDescent="0.2">
      <c r="N170" s="10">
        <v>168</v>
      </c>
      <c r="O170" s="88">
        <v>60476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93"/>
      <c r="BH170" s="93"/>
    </row>
    <row r="171" spans="14:60" x14ac:dyDescent="0.2">
      <c r="N171" s="10">
        <v>169</v>
      </c>
      <c r="O171" s="88">
        <v>60477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93"/>
      <c r="BH171" s="93"/>
    </row>
    <row r="172" spans="14:60" x14ac:dyDescent="0.2">
      <c r="N172" s="10">
        <v>170</v>
      </c>
      <c r="O172" s="88">
        <v>60480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93"/>
      <c r="BH172" s="93"/>
    </row>
    <row r="173" spans="14:60" x14ac:dyDescent="0.2">
      <c r="N173" s="10">
        <v>171</v>
      </c>
      <c r="O173" s="88">
        <v>61067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93"/>
      <c r="BH173" s="93"/>
    </row>
    <row r="174" spans="14:60" x14ac:dyDescent="0.2">
      <c r="N174" s="10">
        <v>172</v>
      </c>
      <c r="O174" s="88">
        <v>60506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93"/>
      <c r="BH174" s="93"/>
    </row>
    <row r="175" spans="14:60" x14ac:dyDescent="0.2">
      <c r="N175" s="10">
        <v>173</v>
      </c>
      <c r="O175" s="88">
        <v>60507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93"/>
      <c r="BH175" s="93"/>
    </row>
    <row r="176" spans="14:60" x14ac:dyDescent="0.2">
      <c r="N176" s="10">
        <v>174</v>
      </c>
      <c r="O176" s="88">
        <v>60515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93"/>
      <c r="BH176" s="93"/>
    </row>
    <row r="177" spans="14:60" x14ac:dyDescent="0.2">
      <c r="N177" s="10">
        <v>175</v>
      </c>
      <c r="O177" s="369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93"/>
      <c r="BH177" s="93"/>
    </row>
    <row r="178" spans="14:60" x14ac:dyDescent="0.2">
      <c r="N178" s="10">
        <v>176</v>
      </c>
      <c r="O178" s="369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93"/>
      <c r="BH178" s="93"/>
    </row>
    <row r="179" spans="14:60" x14ac:dyDescent="0.2">
      <c r="N179" s="10">
        <v>177</v>
      </c>
      <c r="O179" s="369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93"/>
      <c r="BH179" s="93"/>
    </row>
    <row r="180" spans="14:60" x14ac:dyDescent="0.2">
      <c r="N180" s="10">
        <v>178</v>
      </c>
      <c r="O180" s="36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93"/>
      <c r="BH180" s="93"/>
    </row>
    <row r="182" spans="14:60" x14ac:dyDescent="0.2">
      <c r="N182" s="10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4:60" x14ac:dyDescent="0.2">
      <c r="N183" s="1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4:60" x14ac:dyDescent="0.2">
      <c r="N184" s="10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4:60" x14ac:dyDescent="0.2"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4:60" x14ac:dyDescent="0.2">
      <c r="N186" s="10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4:60" x14ac:dyDescent="0.2"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4:60" x14ac:dyDescent="0.2">
      <c r="N188" s="10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4:60" x14ac:dyDescent="0.2"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4:60" x14ac:dyDescent="0.2"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4:60" x14ac:dyDescent="0.2"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4:60" x14ac:dyDescent="0.2"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2"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2"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2"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2"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2">
      <c r="B197">
        <f ca="1">IF(jakaKS=1,INDIRECT("pict!B2"),IF(jakaKS=2,INDIRECT("pict!D2"),IF(jakaKS=3,INDIRECT("pict!F2"))))</f>
        <v>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</sheetData>
  <sheetProtection selectLockedCells="1"/>
  <phoneticPr fontId="4" type="noConversion"/>
  <pageMargins left="0.7" right="0.7" top="0.78740157499999996" bottom="0.78740157499999996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1.25" x14ac:dyDescent="0.2"/>
  <cols>
    <col min="1" max="1" width="5" customWidth="1"/>
    <col min="2" max="2" width="40.83203125" customWidth="1"/>
    <col min="3" max="3" width="5.33203125" customWidth="1"/>
    <col min="4" max="4" width="40.83203125" customWidth="1"/>
    <col min="5" max="5" width="5.5" customWidth="1"/>
    <col min="6" max="6" width="40.83203125" customWidth="1"/>
  </cols>
  <sheetData>
    <row r="2" ht="106.5" customHeight="1" x14ac:dyDescent="0.2"/>
  </sheetData>
  <phoneticPr fontId="4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125"/>
  <sheetViews>
    <sheetView showGridLines="0" showRowColHeaders="0" zoomScale="90" zoomScaleNormal="90" workbookViewId="0">
      <selection activeCell="C12" sqref="C12"/>
    </sheetView>
  </sheetViews>
  <sheetFormatPr defaultColWidth="0" defaultRowHeight="12" zeroHeight="1" x14ac:dyDescent="0.2"/>
  <cols>
    <col min="1" max="2" width="1.6640625" style="556" customWidth="1"/>
    <col min="3" max="3" width="48.33203125" style="521" customWidth="1"/>
    <col min="4" max="4" width="6.33203125" style="521" customWidth="1"/>
    <col min="5" max="5" width="7.83203125" style="521" customWidth="1"/>
    <col min="6" max="6" width="6" style="521" customWidth="1"/>
    <col min="7" max="7" width="6.33203125" style="521" customWidth="1"/>
    <col min="8" max="8" width="8.83203125" style="521" customWidth="1"/>
    <col min="9" max="9" width="6.33203125" style="521" customWidth="1"/>
    <col min="10" max="10" width="2.83203125" style="521" customWidth="1"/>
    <col min="11" max="11" width="4.5" style="521" customWidth="1"/>
    <col min="12" max="12" width="4.6640625" style="521" customWidth="1"/>
    <col min="13" max="13" width="6.1640625" style="521" customWidth="1"/>
    <col min="14" max="14" width="2.6640625" style="521" customWidth="1"/>
    <col min="15" max="16384" width="9.33203125" style="521" hidden="1"/>
  </cols>
  <sheetData>
    <row r="1" spans="1:13" x14ac:dyDescent="0.2"/>
    <row r="2" spans="1:13" s="556" customFormat="1" ht="20.100000000000001" customHeight="1" x14ac:dyDescent="0.2">
      <c r="A2" s="704"/>
      <c r="B2" s="704"/>
      <c r="C2" s="705" t="s">
        <v>474</v>
      </c>
      <c r="D2" s="705"/>
      <c r="E2" s="705"/>
      <c r="F2" s="705"/>
      <c r="G2" s="705"/>
      <c r="H2" s="705"/>
      <c r="I2" s="705"/>
      <c r="J2" s="705"/>
      <c r="K2" s="705"/>
      <c r="L2" s="705"/>
      <c r="M2" s="705"/>
    </row>
    <row r="3" spans="1:13" s="524" customFormat="1" ht="15" customHeight="1" x14ac:dyDescent="0.25">
      <c r="A3" s="704"/>
      <c r="B3" s="704"/>
      <c r="C3" s="555"/>
      <c r="D3" s="555"/>
      <c r="E3" s="555"/>
      <c r="F3" s="555"/>
      <c r="G3" s="555"/>
      <c r="H3" s="555"/>
      <c r="I3" s="555"/>
    </row>
    <row r="4" spans="1:13" s="524" customFormat="1" ht="20.100000000000001" customHeight="1" x14ac:dyDescent="0.2">
      <c r="A4" s="704"/>
      <c r="B4" s="704"/>
      <c r="C4" s="706" t="s">
        <v>473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</row>
    <row r="5" spans="1:13" s="524" customFormat="1" ht="5.0999999999999996" customHeight="1" x14ac:dyDescent="0.2">
      <c r="A5" s="704"/>
      <c r="B5" s="704"/>
      <c r="C5" s="554"/>
      <c r="D5" s="554"/>
      <c r="E5" s="554"/>
      <c r="F5" s="554"/>
      <c r="G5" s="554"/>
      <c r="H5" s="554"/>
      <c r="I5" s="554"/>
    </row>
    <row r="6" spans="1:13" s="524" customFormat="1" ht="20.100000000000001" customHeight="1" x14ac:dyDescent="0.2">
      <c r="A6" s="704"/>
      <c r="B6" s="704"/>
      <c r="C6" s="701" t="s">
        <v>472</v>
      </c>
      <c r="D6" s="701"/>
      <c r="E6" s="701"/>
      <c r="F6" s="701"/>
      <c r="G6" s="701"/>
      <c r="H6" s="702" t="s">
        <v>471</v>
      </c>
      <c r="I6" s="702"/>
      <c r="J6" s="702"/>
      <c r="K6" s="702"/>
      <c r="L6" s="702"/>
      <c r="M6" s="702"/>
    </row>
    <row r="7" spans="1:13" s="524" customFormat="1" ht="5.0999999999999996" customHeight="1" x14ac:dyDescent="0.2">
      <c r="A7" s="704"/>
      <c r="B7" s="704"/>
      <c r="C7" s="553"/>
      <c r="D7" s="553"/>
      <c r="E7" s="553"/>
      <c r="F7" s="553"/>
      <c r="G7" s="553"/>
      <c r="H7" s="552"/>
    </row>
    <row r="8" spans="1:13" s="524" customFormat="1" ht="20.100000000000001" customHeight="1" x14ac:dyDescent="0.2">
      <c r="A8" s="704"/>
      <c r="B8" s="704"/>
      <c r="C8" s="701" t="s">
        <v>470</v>
      </c>
      <c r="D8" s="701"/>
      <c r="E8" s="701"/>
      <c r="F8" s="701"/>
      <c r="G8" s="701"/>
      <c r="H8" s="702" t="s">
        <v>469</v>
      </c>
      <c r="I8" s="702"/>
      <c r="J8" s="702"/>
      <c r="K8" s="702"/>
      <c r="L8" s="702"/>
      <c r="M8" s="702"/>
    </row>
    <row r="9" spans="1:13" s="524" customFormat="1" ht="5.0999999999999996" customHeight="1" x14ac:dyDescent="0.2">
      <c r="A9" s="704"/>
      <c r="B9" s="704"/>
      <c r="C9" s="553"/>
      <c r="D9" s="553"/>
      <c r="E9" s="553"/>
      <c r="F9" s="553"/>
      <c r="G9" s="553"/>
      <c r="H9" s="552"/>
    </row>
    <row r="10" spans="1:13" s="524" customFormat="1" ht="20.100000000000001" customHeight="1" x14ac:dyDescent="0.2">
      <c r="A10" s="704"/>
      <c r="B10" s="704"/>
      <c r="C10" s="701" t="s">
        <v>468</v>
      </c>
      <c r="D10" s="701"/>
      <c r="E10" s="701"/>
      <c r="F10" s="701"/>
      <c r="G10" s="701"/>
      <c r="H10" s="702" t="s">
        <v>467</v>
      </c>
      <c r="I10" s="702"/>
      <c r="J10" s="702"/>
      <c r="K10" s="702"/>
      <c r="L10" s="702"/>
      <c r="M10" s="702"/>
    </row>
    <row r="11" spans="1:13" s="524" customFormat="1" ht="5.0999999999999996" customHeight="1" x14ac:dyDescent="0.2">
      <c r="A11" s="704"/>
      <c r="B11" s="704"/>
      <c r="C11" s="551"/>
      <c r="D11" s="551"/>
      <c r="E11" s="551"/>
      <c r="F11" s="551"/>
      <c r="G11" s="551"/>
      <c r="H11" s="551"/>
      <c r="I11" s="551"/>
    </row>
    <row r="12" spans="1:13" s="524" customFormat="1" ht="20.100000000000001" customHeight="1" x14ac:dyDescent="0.25">
      <c r="A12" s="704"/>
      <c r="B12" s="704"/>
      <c r="C12" s="665" t="str">
        <f>"období : "&amp;obdobi</f>
        <v>období : LEDEN-ČERVEN 2016</v>
      </c>
      <c r="D12" s="550"/>
      <c r="E12" s="703" t="s">
        <v>362</v>
      </c>
      <c r="F12" s="703"/>
      <c r="G12" s="522"/>
      <c r="H12" s="549" t="s">
        <v>466</v>
      </c>
      <c r="I12" s="523"/>
      <c r="J12" s="703" t="s">
        <v>465</v>
      </c>
      <c r="K12" s="703"/>
      <c r="L12" s="703"/>
      <c r="M12" s="703"/>
    </row>
    <row r="13" spans="1:13" s="524" customFormat="1" ht="5.0999999999999996" customHeight="1" x14ac:dyDescent="0.25">
      <c r="A13" s="704"/>
      <c r="B13" s="704"/>
      <c r="C13" s="546"/>
      <c r="D13" s="546"/>
      <c r="E13" s="548"/>
      <c r="F13" s="548"/>
      <c r="G13" s="548"/>
      <c r="H13" s="548"/>
      <c r="I13" s="547"/>
      <c r="J13" s="546"/>
      <c r="K13" s="546"/>
      <c r="L13" s="546"/>
      <c r="M13" s="546"/>
    </row>
    <row r="14" spans="1:13" s="522" customFormat="1" ht="5.0999999999999996" customHeight="1" thickBot="1" x14ac:dyDescent="0.25">
      <c r="A14" s="704"/>
      <c r="B14" s="704"/>
      <c r="C14" s="523"/>
      <c r="D14" s="523"/>
      <c r="E14" s="523"/>
      <c r="F14" s="523"/>
      <c r="G14" s="523"/>
      <c r="H14" s="523"/>
      <c r="I14" s="523"/>
    </row>
    <row r="15" spans="1:13" s="522" customFormat="1" ht="20.100000000000001" customHeight="1" thickBot="1" x14ac:dyDescent="0.25">
      <c r="A15" s="704"/>
      <c r="B15" s="704"/>
      <c r="C15" s="638" t="s">
        <v>464</v>
      </c>
      <c r="D15" s="545"/>
      <c r="E15" s="639">
        <f>VLOOKUP($C15,datarep!C:U,18,0)</f>
        <v>69.610612840157671</v>
      </c>
      <c r="F15" s="640" t="str">
        <f>VLOOKUP(E15,RAT,2,1)</f>
        <v>B++</v>
      </c>
      <c r="G15" s="532"/>
      <c r="H15" s="641">
        <f>IF(F15&lt;&gt;L15,(E15-K15)*1000,E15-K15)</f>
        <v>3015.7455948049974</v>
      </c>
      <c r="I15" s="532"/>
      <c r="J15" s="642" t="s">
        <v>460</v>
      </c>
      <c r="K15" s="643">
        <f>VLOOKUP($C15,datarep!$C:$U,15,0)</f>
        <v>66.594867245352674</v>
      </c>
      <c r="L15" s="644" t="str">
        <f>VLOOKUP(K15,RAT,2,1)</f>
        <v>B+</v>
      </c>
      <c r="M15" s="645" t="s">
        <v>459</v>
      </c>
    </row>
    <row r="16" spans="1:13" s="524" customFormat="1" ht="5.0999999999999996" customHeight="1" x14ac:dyDescent="0.2">
      <c r="A16" s="704"/>
      <c r="B16" s="704"/>
      <c r="C16" s="525"/>
      <c r="D16" s="525"/>
      <c r="E16" s="527"/>
      <c r="F16" s="527"/>
      <c r="G16" s="527"/>
      <c r="H16" s="527"/>
      <c r="I16" s="526"/>
      <c r="J16" s="525"/>
      <c r="K16" s="525"/>
      <c r="L16" s="525"/>
      <c r="M16" s="525"/>
    </row>
    <row r="17" spans="1:13" s="522" customFormat="1" ht="5.0999999999999996" customHeight="1" thickBot="1" x14ac:dyDescent="0.25">
      <c r="A17" s="704"/>
      <c r="B17" s="704"/>
      <c r="C17" s="523"/>
      <c r="D17" s="523"/>
      <c r="E17" s="523"/>
      <c r="F17" s="523"/>
      <c r="G17" s="523"/>
      <c r="H17" s="523"/>
      <c r="I17" s="523"/>
      <c r="J17" s="532"/>
      <c r="K17" s="532"/>
      <c r="L17" s="532"/>
      <c r="M17" s="532"/>
    </row>
    <row r="18" spans="1:13" s="522" customFormat="1" ht="20.100000000000001" customHeight="1" thickBot="1" x14ac:dyDescent="0.25">
      <c r="A18" s="704"/>
      <c r="B18" s="704"/>
      <c r="C18" s="638" t="s">
        <v>463</v>
      </c>
      <c r="D18" s="545"/>
      <c r="E18" s="639">
        <f>VLOOKUP($C18,datarep!C:U,18,0)</f>
        <v>69.315915170858545</v>
      </c>
      <c r="F18" s="640" t="str">
        <f>VLOOKUP(E18,RAT,2,1)</f>
        <v>B++</v>
      </c>
      <c r="G18" s="532"/>
      <c r="H18" s="641">
        <f>IF(F18&lt;&gt;L18,(E18-K18)*1000,E18-K18)</f>
        <v>404.6636989815795</v>
      </c>
      <c r="I18" s="532"/>
      <c r="J18" s="642" t="s">
        <v>460</v>
      </c>
      <c r="K18" s="643">
        <f>VLOOKUP($C18,datarep!$C:$U,15,0)</f>
        <v>68.911251471876966</v>
      </c>
      <c r="L18" s="644" t="str">
        <f>VLOOKUP(K18,RAT,2,1)</f>
        <v>B+</v>
      </c>
      <c r="M18" s="645" t="s">
        <v>459</v>
      </c>
    </row>
    <row r="19" spans="1:13" s="522" customFormat="1" ht="5.0999999999999996" customHeight="1" thickBot="1" x14ac:dyDescent="0.25">
      <c r="A19" s="704"/>
      <c r="B19" s="704"/>
      <c r="C19" s="544"/>
      <c r="D19" s="543"/>
      <c r="E19" s="542"/>
      <c r="F19" s="523"/>
      <c r="G19" s="532"/>
      <c r="H19" s="523"/>
      <c r="I19" s="532"/>
      <c r="J19" s="523"/>
      <c r="K19" s="532"/>
      <c r="L19" s="532"/>
      <c r="M19" s="523"/>
    </row>
    <row r="20" spans="1:13" s="540" customFormat="1" ht="15.95" customHeight="1" thickBot="1" x14ac:dyDescent="0.25">
      <c r="A20" s="704"/>
      <c r="B20" s="704"/>
      <c r="C20" s="537" t="s">
        <v>577</v>
      </c>
      <c r="D20" s="536"/>
      <c r="E20" s="535">
        <f>VLOOKUP($C20,datarep!C:U,18,0)</f>
        <v>82.771107957687732</v>
      </c>
      <c r="F20" s="534" t="str">
        <f t="shared" ref="F20:F26" si="0">VLOOKUP(E20,RAT,2,1)</f>
        <v>A</v>
      </c>
      <c r="G20" s="541"/>
      <c r="H20" s="533">
        <f t="shared" ref="H20:H26" si="1">IF(F20&lt;&gt;L20,(E20-K20)*1000,E20-K20)</f>
        <v>-3449.8259050215124</v>
      </c>
      <c r="I20" s="541"/>
      <c r="J20" s="531" t="s">
        <v>460</v>
      </c>
      <c r="K20" s="530">
        <f>VLOOKUP($C20,datarep!$C:$U,15,0)</f>
        <v>86.220933862709245</v>
      </c>
      <c r="L20" s="529" t="str">
        <f t="shared" ref="L20:L26" si="2">VLOOKUP(K20,RAT,2,1)</f>
        <v>A+</v>
      </c>
      <c r="M20" s="528" t="s">
        <v>459</v>
      </c>
    </row>
    <row r="21" spans="1:13" s="540" customFormat="1" ht="15.95" customHeight="1" thickBot="1" x14ac:dyDescent="0.25">
      <c r="A21" s="704"/>
      <c r="B21" s="704"/>
      <c r="C21" s="537" t="s">
        <v>5</v>
      </c>
      <c r="D21" s="536" t="s">
        <v>462</v>
      </c>
      <c r="E21" s="535">
        <f>VLOOKUP($C21,datarep!C:U,18,0)</f>
        <v>78.378307759188544</v>
      </c>
      <c r="F21" s="534" t="str">
        <f t="shared" si="0"/>
        <v>A</v>
      </c>
      <c r="G21" s="541"/>
      <c r="H21" s="533">
        <f t="shared" si="1"/>
        <v>-1.2301145958969073</v>
      </c>
      <c r="I21" s="541"/>
      <c r="J21" s="531" t="s">
        <v>460</v>
      </c>
      <c r="K21" s="530">
        <f>VLOOKUP($C21,datarep!$C:$U,15,0)</f>
        <v>79.608422355085452</v>
      </c>
      <c r="L21" s="529" t="str">
        <f t="shared" si="2"/>
        <v>A</v>
      </c>
      <c r="M21" s="528" t="s">
        <v>459</v>
      </c>
    </row>
    <row r="22" spans="1:13" s="540" customFormat="1" ht="15.95" customHeight="1" thickBot="1" x14ac:dyDescent="0.25">
      <c r="A22" s="704"/>
      <c r="B22" s="704"/>
      <c r="C22" s="537" t="s">
        <v>582</v>
      </c>
      <c r="D22" s="536"/>
      <c r="E22" s="535">
        <f>VLOOKUP($C22,datarep!C:U,18,0)</f>
        <v>77.057824714386356</v>
      </c>
      <c r="F22" s="534" t="str">
        <f t="shared" si="0"/>
        <v>A</v>
      </c>
      <c r="G22" s="541"/>
      <c r="H22" s="533">
        <f t="shared" si="1"/>
        <v>5341.573195446671</v>
      </c>
      <c r="I22" s="541"/>
      <c r="J22" s="531" t="s">
        <v>460</v>
      </c>
      <c r="K22" s="530">
        <f>VLOOKUP($C22,datarep!$C:$U,15,0)</f>
        <v>71.716251518939686</v>
      </c>
      <c r="L22" s="529" t="str">
        <f t="shared" si="2"/>
        <v>B++</v>
      </c>
      <c r="M22" s="528" t="s">
        <v>459</v>
      </c>
    </row>
    <row r="23" spans="1:13" s="540" customFormat="1" ht="15.95" customHeight="1" thickBot="1" x14ac:dyDescent="0.25">
      <c r="A23" s="704"/>
      <c r="B23" s="704"/>
      <c r="C23" s="537" t="s">
        <v>289</v>
      </c>
      <c r="D23" s="536"/>
      <c r="E23" s="535">
        <f>VLOOKUP($C23,datarep!C:U,18,0)</f>
        <v>73.504324277893716</v>
      </c>
      <c r="F23" s="534" t="str">
        <f t="shared" si="0"/>
        <v>B++</v>
      </c>
      <c r="G23" s="541"/>
      <c r="H23" s="533">
        <f t="shared" si="1"/>
        <v>1.3054230322549643</v>
      </c>
      <c r="I23" s="541"/>
      <c r="J23" s="531" t="s">
        <v>460</v>
      </c>
      <c r="K23" s="530">
        <f>VLOOKUP($C23,datarep!$C:$U,15,0)</f>
        <v>72.198901245638751</v>
      </c>
      <c r="L23" s="529" t="str">
        <f t="shared" si="2"/>
        <v>B++</v>
      </c>
      <c r="M23" s="528" t="s">
        <v>459</v>
      </c>
    </row>
    <row r="24" spans="1:13" s="540" customFormat="1" ht="15.95" customHeight="1" thickBot="1" x14ac:dyDescent="0.25">
      <c r="A24" s="704"/>
      <c r="B24" s="704"/>
      <c r="C24" s="537" t="s">
        <v>575</v>
      </c>
      <c r="D24" s="536"/>
      <c r="E24" s="535">
        <f>VLOOKUP($C24,datarep!C:U,18,0)</f>
        <v>70.405074279609209</v>
      </c>
      <c r="F24" s="534" t="str">
        <f t="shared" si="0"/>
        <v>B++</v>
      </c>
      <c r="G24" s="541"/>
      <c r="H24" s="533">
        <f t="shared" si="1"/>
        <v>0.81106769863568218</v>
      </c>
      <c r="I24" s="541"/>
      <c r="J24" s="531" t="s">
        <v>460</v>
      </c>
      <c r="K24" s="530">
        <f>VLOOKUP($C24,datarep!$C:$U,15,0)</f>
        <v>69.594006580973527</v>
      </c>
      <c r="L24" s="529" t="str">
        <f t="shared" si="2"/>
        <v>B++</v>
      </c>
      <c r="M24" s="528" t="s">
        <v>459</v>
      </c>
    </row>
    <row r="25" spans="1:13" s="540" customFormat="1" ht="15.95" customHeight="1" thickBot="1" x14ac:dyDescent="0.25">
      <c r="A25" s="704"/>
      <c r="B25" s="704"/>
      <c r="C25" s="537" t="s">
        <v>444</v>
      </c>
      <c r="D25" s="536"/>
      <c r="E25" s="535">
        <f>VLOOKUP($C25,datarep!C:U,18,0)</f>
        <v>68.964150889371183</v>
      </c>
      <c r="F25" s="534" t="str">
        <f t="shared" si="0"/>
        <v>B+</v>
      </c>
      <c r="G25" s="541"/>
      <c r="H25" s="533">
        <f t="shared" si="1"/>
        <v>1.0568608485572781</v>
      </c>
      <c r="I25" s="541"/>
      <c r="J25" s="531" t="s">
        <v>460</v>
      </c>
      <c r="K25" s="530">
        <f>VLOOKUP($C25,datarep!$C:$U,15,0)</f>
        <v>67.907290040813905</v>
      </c>
      <c r="L25" s="529" t="str">
        <f t="shared" si="2"/>
        <v>B+</v>
      </c>
      <c r="M25" s="528" t="s">
        <v>459</v>
      </c>
    </row>
    <row r="26" spans="1:13" s="540" customFormat="1" ht="15.95" customHeight="1" thickBot="1" x14ac:dyDescent="0.25">
      <c r="A26" s="704"/>
      <c r="B26" s="704"/>
      <c r="C26" s="537" t="s">
        <v>290</v>
      </c>
      <c r="D26" s="536"/>
      <c r="E26" s="535">
        <f>VLOOKUP($C26,datarep!C:U,18,0)</f>
        <v>42.834538694524817</v>
      </c>
      <c r="F26" s="534" t="str">
        <f t="shared" si="0"/>
        <v>C+</v>
      </c>
      <c r="G26" s="541"/>
      <c r="H26" s="533">
        <f t="shared" si="1"/>
        <v>-0.62105748551017115</v>
      </c>
      <c r="I26" s="541"/>
      <c r="J26" s="531" t="s">
        <v>460</v>
      </c>
      <c r="K26" s="530">
        <f>VLOOKUP($C26,datarep!$C:$U,15,0)</f>
        <v>43.455596180034988</v>
      </c>
      <c r="L26" s="529" t="str">
        <f t="shared" si="2"/>
        <v>C+</v>
      </c>
      <c r="M26" s="528" t="s">
        <v>459</v>
      </c>
    </row>
    <row r="27" spans="1:13" s="524" customFormat="1" ht="5.0999999999999996" customHeight="1" x14ac:dyDescent="0.2">
      <c r="A27" s="704"/>
      <c r="B27" s="704"/>
      <c r="C27" s="525"/>
      <c r="D27" s="525"/>
      <c r="E27" s="527"/>
      <c r="F27" s="527"/>
      <c r="G27" s="527"/>
      <c r="H27" s="527"/>
      <c r="I27" s="526"/>
      <c r="J27" s="525"/>
      <c r="K27" s="525"/>
      <c r="L27" s="525"/>
      <c r="M27" s="525"/>
    </row>
    <row r="28" spans="1:13" s="522" customFormat="1" ht="5.0999999999999996" customHeight="1" thickBot="1" x14ac:dyDescent="0.25">
      <c r="A28" s="704"/>
      <c r="B28" s="704"/>
      <c r="C28" s="523"/>
      <c r="D28" s="523"/>
      <c r="E28" s="523"/>
      <c r="F28" s="523"/>
      <c r="G28" s="523"/>
      <c r="H28" s="523"/>
      <c r="I28" s="523"/>
      <c r="J28" s="532"/>
      <c r="K28" s="532"/>
      <c r="L28" s="532"/>
      <c r="M28" s="532"/>
    </row>
    <row r="29" spans="1:13" s="522" customFormat="1" ht="20.100000000000001" customHeight="1" thickBot="1" x14ac:dyDescent="0.25">
      <c r="A29" s="704"/>
      <c r="B29" s="704"/>
      <c r="C29" s="646" t="s">
        <v>461</v>
      </c>
      <c r="D29" s="539"/>
      <c r="E29" s="639">
        <f>VLOOKUP($C29,datarep!C:U,18,0)</f>
        <v>69.702634514030507</v>
      </c>
      <c r="F29" s="640" t="str">
        <f>VLOOKUP(E29,RAT,2,1)</f>
        <v>B++</v>
      </c>
      <c r="G29" s="532"/>
      <c r="H29" s="641">
        <f>IF(F29&lt;&gt;L29,(E29-K29)*1000,E29-K29)</f>
        <v>9675.9512317564222</v>
      </c>
      <c r="I29" s="532"/>
      <c r="J29" s="642" t="s">
        <v>460</v>
      </c>
      <c r="K29" s="643">
        <f>VLOOKUP($C29,datarep!$C:$U,15,0)</f>
        <v>60.026683282274085</v>
      </c>
      <c r="L29" s="644" t="str">
        <f>VLOOKUP(K29,RAT,2,1)</f>
        <v>B</v>
      </c>
      <c r="M29" s="645" t="s">
        <v>459</v>
      </c>
    </row>
    <row r="30" spans="1:13" s="522" customFormat="1" ht="5.0999999999999996" customHeight="1" thickBot="1" x14ac:dyDescent="0.25">
      <c r="A30" s="704"/>
      <c r="B30" s="704"/>
      <c r="C30" s="523"/>
      <c r="D30" s="538"/>
      <c r="E30" s="523"/>
      <c r="F30" s="523"/>
      <c r="G30" s="532"/>
      <c r="H30" s="523"/>
      <c r="I30" s="532"/>
      <c r="J30" s="523"/>
      <c r="K30" s="523"/>
      <c r="L30" s="523"/>
      <c r="M30" s="532"/>
    </row>
    <row r="31" spans="1:13" s="522" customFormat="1" ht="15.6" customHeight="1" thickBot="1" x14ac:dyDescent="0.25">
      <c r="A31" s="704"/>
      <c r="B31" s="704"/>
      <c r="C31" s="537" t="s">
        <v>35</v>
      </c>
      <c r="D31" s="536"/>
      <c r="E31" s="535">
        <f>VLOOKUP($C31,datarep!C:U,18,0)</f>
        <v>87.27242313360243</v>
      </c>
      <c r="F31" s="534" t="str">
        <f t="shared" ref="F31:F53" si="3">VLOOKUP(E31,RAT,2,1)</f>
        <v>A+</v>
      </c>
      <c r="G31" s="532"/>
      <c r="H31" s="533">
        <f t="shared" ref="H31:H53" si="4">IF(F31&lt;&gt;L31,(E31-K31)*1000,E31-K31)</f>
        <v>0.7333179722821086</v>
      </c>
      <c r="I31" s="532"/>
      <c r="J31" s="531" t="s">
        <v>460</v>
      </c>
      <c r="K31" s="530">
        <f>VLOOKUP($C31,datarep!$C:$U,15,0)</f>
        <v>86.539105161320322</v>
      </c>
      <c r="L31" s="529" t="str">
        <f t="shared" ref="L31:L53" si="5">VLOOKUP(K31,RAT,2,1)</f>
        <v>A+</v>
      </c>
      <c r="M31" s="528" t="s">
        <v>459</v>
      </c>
    </row>
    <row r="32" spans="1:13" s="522" customFormat="1" ht="15.6" customHeight="1" thickBot="1" x14ac:dyDescent="0.25">
      <c r="A32" s="704"/>
      <c r="B32" s="704"/>
      <c r="C32" s="537" t="s">
        <v>10</v>
      </c>
      <c r="D32" s="536"/>
      <c r="E32" s="535">
        <f>VLOOKUP($C32,datarep!C:U,18,0)</f>
        <v>78.752311718347357</v>
      </c>
      <c r="F32" s="534" t="str">
        <f t="shared" si="3"/>
        <v>A</v>
      </c>
      <c r="G32" s="532"/>
      <c r="H32" s="533">
        <f t="shared" si="4"/>
        <v>-0.97080478050558838</v>
      </c>
      <c r="I32" s="532"/>
      <c r="J32" s="531" t="s">
        <v>460</v>
      </c>
      <c r="K32" s="530">
        <f>VLOOKUP($C32,datarep!$C:$U,15,0)</f>
        <v>79.723116498852946</v>
      </c>
      <c r="L32" s="529" t="str">
        <f t="shared" si="5"/>
        <v>A</v>
      </c>
      <c r="M32" s="528" t="s">
        <v>459</v>
      </c>
    </row>
    <row r="33" spans="1:13" s="522" customFormat="1" ht="15.6" customHeight="1" thickBot="1" x14ac:dyDescent="0.25">
      <c r="A33" s="704"/>
      <c r="B33" s="704"/>
      <c r="C33" s="537" t="s">
        <v>49</v>
      </c>
      <c r="D33" s="536"/>
      <c r="E33" s="535">
        <f>VLOOKUP($C33,datarep!C:U,18,0)</f>
        <v>78.225653945531732</v>
      </c>
      <c r="F33" s="534" t="str">
        <f t="shared" si="3"/>
        <v>A</v>
      </c>
      <c r="G33" s="532"/>
      <c r="H33" s="533">
        <f t="shared" si="4"/>
        <v>9978.3887775272433</v>
      </c>
      <c r="I33" s="532"/>
      <c r="J33" s="531" t="s">
        <v>460</v>
      </c>
      <c r="K33" s="530">
        <f>VLOOKUP($C33,datarep!$C:$U,15,0)</f>
        <v>68.247265168004489</v>
      </c>
      <c r="L33" s="529" t="str">
        <f t="shared" si="5"/>
        <v>B+</v>
      </c>
      <c r="M33" s="528" t="s">
        <v>459</v>
      </c>
    </row>
    <row r="34" spans="1:13" s="522" customFormat="1" ht="15.6" customHeight="1" thickBot="1" x14ac:dyDescent="0.25">
      <c r="A34" s="704"/>
      <c r="B34" s="704"/>
      <c r="C34" s="537" t="s">
        <v>46</v>
      </c>
      <c r="D34" s="536"/>
      <c r="E34" s="535">
        <f>VLOOKUP($C34,datarep!C:U,18,0)</f>
        <v>70.464763028564107</v>
      </c>
      <c r="F34" s="534" t="str">
        <f t="shared" si="3"/>
        <v>B++</v>
      </c>
      <c r="G34" s="532"/>
      <c r="H34" s="533">
        <f t="shared" si="4"/>
        <v>-3.2988949305354396</v>
      </c>
      <c r="I34" s="532"/>
      <c r="J34" s="531" t="s">
        <v>460</v>
      </c>
      <c r="K34" s="530">
        <f>VLOOKUP($C34,datarep!$C:$U,15,0)</f>
        <v>73.763657959099547</v>
      </c>
      <c r="L34" s="529" t="str">
        <f t="shared" si="5"/>
        <v>B++</v>
      </c>
      <c r="M34" s="528" t="s">
        <v>459</v>
      </c>
    </row>
    <row r="35" spans="1:13" s="522" customFormat="1" ht="15.6" customHeight="1" thickBot="1" x14ac:dyDescent="0.25">
      <c r="A35" s="704"/>
      <c r="B35" s="704"/>
      <c r="C35" s="537" t="s">
        <v>47</v>
      </c>
      <c r="D35" s="536"/>
      <c r="E35" s="535">
        <f>VLOOKUP($C35,datarep!C:U,18,0)</f>
        <v>63.025957363980545</v>
      </c>
      <c r="F35" s="534" t="str">
        <f t="shared" si="3"/>
        <v>B+</v>
      </c>
      <c r="G35" s="532"/>
      <c r="H35" s="533">
        <f t="shared" si="4"/>
        <v>0.50185331735232097</v>
      </c>
      <c r="I35" s="532"/>
      <c r="J35" s="531" t="s">
        <v>460</v>
      </c>
      <c r="K35" s="530">
        <f>VLOOKUP($C35,datarep!$C:$U,15,0)</f>
        <v>62.524104046628224</v>
      </c>
      <c r="L35" s="529" t="str">
        <f t="shared" si="5"/>
        <v>B+</v>
      </c>
      <c r="M35" s="528" t="s">
        <v>459</v>
      </c>
    </row>
    <row r="36" spans="1:13" s="522" customFormat="1" ht="15.6" customHeight="1" thickBot="1" x14ac:dyDescent="0.25">
      <c r="A36" s="704"/>
      <c r="B36" s="704"/>
      <c r="C36" s="537" t="s">
        <v>45</v>
      </c>
      <c r="D36" s="536"/>
      <c r="E36" s="535">
        <f>VLOOKUP($C36,datarep!C:U,18,0)</f>
        <v>60.199768551945446</v>
      </c>
      <c r="F36" s="534" t="str">
        <f t="shared" si="3"/>
        <v>B</v>
      </c>
      <c r="G36" s="532"/>
      <c r="H36" s="533">
        <f t="shared" si="4"/>
        <v>5.6214761331730756E-2</v>
      </c>
      <c r="I36" s="532"/>
      <c r="J36" s="531" t="s">
        <v>460</v>
      </c>
      <c r="K36" s="530">
        <f>VLOOKUP($C36,datarep!$C:$U,15,0)</f>
        <v>60.143553790613716</v>
      </c>
      <c r="L36" s="529" t="str">
        <f t="shared" si="5"/>
        <v>B</v>
      </c>
      <c r="M36" s="528" t="s">
        <v>459</v>
      </c>
    </row>
    <row r="37" spans="1:13" s="522" customFormat="1" ht="15.6" customHeight="1" thickBot="1" x14ac:dyDescent="0.25">
      <c r="A37" s="704"/>
      <c r="B37" s="704"/>
      <c r="C37" s="537" t="s">
        <v>42</v>
      </c>
      <c r="D37" s="536"/>
      <c r="E37" s="535">
        <f>VLOOKUP($C37,datarep!C:U,18,0)</f>
        <v>59.948416358268148</v>
      </c>
      <c r="F37" s="534" t="str">
        <f t="shared" si="3"/>
        <v>B</v>
      </c>
      <c r="G37" s="532"/>
      <c r="H37" s="533">
        <f t="shared" si="4"/>
        <v>3.6000488714998369</v>
      </c>
      <c r="I37" s="532"/>
      <c r="J37" s="531" t="s">
        <v>460</v>
      </c>
      <c r="K37" s="530">
        <f>VLOOKUP($C37,datarep!$C:$U,15,0)</f>
        <v>56.348367486768311</v>
      </c>
      <c r="L37" s="529" t="str">
        <f t="shared" si="5"/>
        <v>B</v>
      </c>
      <c r="M37" s="528" t="s">
        <v>459</v>
      </c>
    </row>
    <row r="38" spans="1:13" s="522" customFormat="1" ht="15.6" customHeight="1" thickBot="1" x14ac:dyDescent="0.25">
      <c r="A38" s="704"/>
      <c r="B38" s="704"/>
      <c r="C38" s="537" t="s">
        <v>8</v>
      </c>
      <c r="D38" s="536"/>
      <c r="E38" s="535">
        <f>VLOOKUP($C38,datarep!C:U,18,0)</f>
        <v>53.512787829384905</v>
      </c>
      <c r="F38" s="534" t="str">
        <f t="shared" si="3"/>
        <v>B</v>
      </c>
      <c r="G38" s="532"/>
      <c r="H38" s="533">
        <f t="shared" si="4"/>
        <v>-2.9168243494918116</v>
      </c>
      <c r="I38" s="532"/>
      <c r="J38" s="531" t="s">
        <v>460</v>
      </c>
      <c r="K38" s="530">
        <f>VLOOKUP($C38,datarep!$C:$U,15,0)</f>
        <v>56.429612178876717</v>
      </c>
      <c r="L38" s="529" t="str">
        <f t="shared" si="5"/>
        <v>B</v>
      </c>
      <c r="M38" s="528" t="s">
        <v>459</v>
      </c>
    </row>
    <row r="39" spans="1:13" s="522" customFormat="1" ht="15.6" customHeight="1" thickBot="1" x14ac:dyDescent="0.25">
      <c r="A39" s="704"/>
      <c r="B39" s="704"/>
      <c r="C39" s="537" t="s">
        <v>12</v>
      </c>
      <c r="D39" s="536"/>
      <c r="E39" s="535">
        <f>VLOOKUP($C39,datarep!C:U,18,0)</f>
        <v>51.711669770964662</v>
      </c>
      <c r="F39" s="534" t="str">
        <f t="shared" si="3"/>
        <v>C++</v>
      </c>
      <c r="G39" s="532"/>
      <c r="H39" s="533">
        <f t="shared" si="4"/>
        <v>1.1068967719959772</v>
      </c>
      <c r="I39" s="532"/>
      <c r="J39" s="531" t="s">
        <v>460</v>
      </c>
      <c r="K39" s="530">
        <f>VLOOKUP($C39,datarep!$C:$U,15,0)</f>
        <v>50.604772998968684</v>
      </c>
      <c r="L39" s="529" t="str">
        <f t="shared" si="5"/>
        <v>C++</v>
      </c>
      <c r="M39" s="528" t="s">
        <v>459</v>
      </c>
    </row>
    <row r="40" spans="1:13" s="522" customFormat="1" ht="15.6" customHeight="1" thickBot="1" x14ac:dyDescent="0.25">
      <c r="A40" s="704"/>
      <c r="B40" s="704"/>
      <c r="C40" s="537" t="s">
        <v>9</v>
      </c>
      <c r="D40" s="536"/>
      <c r="E40" s="535">
        <f>VLOOKUP($C40,datarep!C:U,18,0)</f>
        <v>49.563054503180375</v>
      </c>
      <c r="F40" s="534" t="str">
        <f t="shared" si="3"/>
        <v>C++</v>
      </c>
      <c r="G40" s="532"/>
      <c r="H40" s="533">
        <f t="shared" si="4"/>
        <v>-1.7236662182106386</v>
      </c>
      <c r="I40" s="532"/>
      <c r="J40" s="531" t="s">
        <v>460</v>
      </c>
      <c r="K40" s="530">
        <f>VLOOKUP($C40,datarep!$C:$U,15,0)</f>
        <v>51.286720721391013</v>
      </c>
      <c r="L40" s="529" t="str">
        <f t="shared" si="5"/>
        <v>C++</v>
      </c>
      <c r="M40" s="528" t="s">
        <v>459</v>
      </c>
    </row>
    <row r="41" spans="1:13" s="522" customFormat="1" ht="15.6" customHeight="1" thickBot="1" x14ac:dyDescent="0.25">
      <c r="A41" s="704"/>
      <c r="B41" s="704"/>
      <c r="C41" s="537" t="s">
        <v>41</v>
      </c>
      <c r="D41" s="536"/>
      <c r="E41" s="535">
        <f>VLOOKUP($C41,datarep!C:U,18,0)</f>
        <v>47.987158870578668</v>
      </c>
      <c r="F41" s="534" t="str">
        <f t="shared" si="3"/>
        <v>C++</v>
      </c>
      <c r="G41" s="532"/>
      <c r="H41" s="533">
        <f t="shared" si="4"/>
        <v>-2.2352022815669272</v>
      </c>
      <c r="I41" s="532"/>
      <c r="J41" s="531" t="s">
        <v>460</v>
      </c>
      <c r="K41" s="530">
        <f>VLOOKUP($C41,datarep!$C:$U,15,0)</f>
        <v>50.222361152145595</v>
      </c>
      <c r="L41" s="529" t="str">
        <f t="shared" si="5"/>
        <v>C++</v>
      </c>
      <c r="M41" s="528" t="s">
        <v>459</v>
      </c>
    </row>
    <row r="42" spans="1:13" s="522" customFormat="1" ht="15.6" customHeight="1" thickBot="1" x14ac:dyDescent="0.25">
      <c r="A42" s="704"/>
      <c r="B42" s="704"/>
      <c r="C42" s="537" t="s">
        <v>7</v>
      </c>
      <c r="D42" s="536"/>
      <c r="E42" s="535">
        <f>VLOOKUP($C42,datarep!C:U,18,0)</f>
        <v>39.868207337779516</v>
      </c>
      <c r="F42" s="534" t="str">
        <f t="shared" si="3"/>
        <v>C+</v>
      </c>
      <c r="G42" s="532"/>
      <c r="H42" s="533">
        <f t="shared" si="4"/>
        <v>-0.27625145865231815</v>
      </c>
      <c r="I42" s="532"/>
      <c r="J42" s="531" t="s">
        <v>460</v>
      </c>
      <c r="K42" s="530">
        <f>VLOOKUP($C42,datarep!$C:$U,15,0)</f>
        <v>40.144458796431834</v>
      </c>
      <c r="L42" s="529" t="str">
        <f t="shared" si="5"/>
        <v>C+</v>
      </c>
      <c r="M42" s="528" t="s">
        <v>459</v>
      </c>
    </row>
    <row r="43" spans="1:13" s="522" customFormat="1" ht="15.6" customHeight="1" thickBot="1" x14ac:dyDescent="0.25">
      <c r="A43" s="704"/>
      <c r="B43" s="704"/>
      <c r="C43" s="537" t="s">
        <v>11</v>
      </c>
      <c r="D43" s="536"/>
      <c r="E43" s="535">
        <f>VLOOKUP($C43,datarep!C:U,18,0)</f>
        <v>38.451391149706815</v>
      </c>
      <c r="F43" s="534" t="str">
        <f t="shared" si="3"/>
        <v>C+</v>
      </c>
      <c r="G43" s="532"/>
      <c r="H43" s="533">
        <f t="shared" si="4"/>
        <v>-0.24328918083691775</v>
      </c>
      <c r="I43" s="532"/>
      <c r="J43" s="531" t="s">
        <v>460</v>
      </c>
      <c r="K43" s="530">
        <f>VLOOKUP($C43,datarep!$C:$U,15,0)</f>
        <v>38.694680330543733</v>
      </c>
      <c r="L43" s="529" t="str">
        <f t="shared" si="5"/>
        <v>C+</v>
      </c>
      <c r="M43" s="528" t="s">
        <v>459</v>
      </c>
    </row>
    <row r="44" spans="1:13" s="522" customFormat="1" ht="15.6" customHeight="1" thickBot="1" x14ac:dyDescent="0.25">
      <c r="A44" s="704"/>
      <c r="B44" s="704"/>
      <c r="C44" s="537" t="s">
        <v>39</v>
      </c>
      <c r="D44" s="536"/>
      <c r="E44" s="535">
        <f>VLOOKUP($C44,datarep!C:U,18,0)</f>
        <v>38.3252009712022</v>
      </c>
      <c r="F44" s="534" t="str">
        <f t="shared" si="3"/>
        <v>C+</v>
      </c>
      <c r="G44" s="532"/>
      <c r="H44" s="533">
        <f t="shared" si="4"/>
        <v>-1.3118400374649397</v>
      </c>
      <c r="I44" s="532"/>
      <c r="J44" s="531" t="s">
        <v>460</v>
      </c>
      <c r="K44" s="530">
        <f>VLOOKUP($C44,datarep!$C:$U,15,0)</f>
        <v>39.63704100866714</v>
      </c>
      <c r="L44" s="529" t="str">
        <f t="shared" si="5"/>
        <v>C+</v>
      </c>
      <c r="M44" s="528" t="s">
        <v>459</v>
      </c>
    </row>
    <row r="45" spans="1:13" s="522" customFormat="1" ht="15.6" customHeight="1" thickBot="1" x14ac:dyDescent="0.25">
      <c r="A45" s="704"/>
      <c r="B45" s="704"/>
      <c r="C45" s="537" t="s">
        <v>48</v>
      </c>
      <c r="D45" s="536"/>
      <c r="E45" s="535">
        <f>VLOOKUP($C45,datarep!C:U,18,0)</f>
        <v>36.294231429211912</v>
      </c>
      <c r="F45" s="534" t="str">
        <f t="shared" si="3"/>
        <v>C</v>
      </c>
      <c r="G45" s="532"/>
      <c r="H45" s="533">
        <f t="shared" si="4"/>
        <v>-1016.3255875474633</v>
      </c>
      <c r="I45" s="532"/>
      <c r="J45" s="531" t="s">
        <v>460</v>
      </c>
      <c r="K45" s="530">
        <f>VLOOKUP($C45,datarep!$C:$U,15,0)</f>
        <v>37.310557016759375</v>
      </c>
      <c r="L45" s="529" t="str">
        <f t="shared" si="5"/>
        <v>C+</v>
      </c>
      <c r="M45" s="528" t="s">
        <v>459</v>
      </c>
    </row>
    <row r="46" spans="1:13" s="522" customFormat="1" ht="15.6" customHeight="1" thickBot="1" x14ac:dyDescent="0.25">
      <c r="A46" s="704"/>
      <c r="B46" s="704"/>
      <c r="C46" s="537" t="s">
        <v>36</v>
      </c>
      <c r="D46" s="536"/>
      <c r="E46" s="535">
        <f>VLOOKUP($C46,datarep!C:U,18,0)</f>
        <v>34.500212635241837</v>
      </c>
      <c r="F46" s="534" t="str">
        <f t="shared" si="3"/>
        <v>C</v>
      </c>
      <c r="G46" s="532"/>
      <c r="H46" s="533">
        <f t="shared" si="4"/>
        <v>7.1054273576010019E-15</v>
      </c>
      <c r="I46" s="532"/>
      <c r="J46" s="531" t="s">
        <v>460</v>
      </c>
      <c r="K46" s="530">
        <f>VLOOKUP($C46,datarep!$C:$U,15,0)</f>
        <v>34.50021263524183</v>
      </c>
      <c r="L46" s="529" t="str">
        <f t="shared" si="5"/>
        <v>C</v>
      </c>
      <c r="M46" s="528" t="s">
        <v>459</v>
      </c>
    </row>
    <row r="47" spans="1:13" s="522" customFormat="1" ht="15.6" customHeight="1" thickBot="1" x14ac:dyDescent="0.25">
      <c r="A47" s="704"/>
      <c r="B47" s="704"/>
      <c r="C47" s="537" t="s">
        <v>44</v>
      </c>
      <c r="D47" s="536"/>
      <c r="E47" s="535">
        <f>VLOOKUP($C47,datarep!C:U,18,0)</f>
        <v>33.838659584581322</v>
      </c>
      <c r="F47" s="534" t="str">
        <f t="shared" si="3"/>
        <v>C</v>
      </c>
      <c r="G47" s="532"/>
      <c r="H47" s="533">
        <f t="shared" si="4"/>
        <v>0.17604709008161024</v>
      </c>
      <c r="I47" s="532"/>
      <c r="J47" s="531" t="s">
        <v>460</v>
      </c>
      <c r="K47" s="530">
        <f>VLOOKUP($C47,datarep!$C:$U,15,0)</f>
        <v>33.662612494499712</v>
      </c>
      <c r="L47" s="529" t="str">
        <f t="shared" si="5"/>
        <v>C</v>
      </c>
      <c r="M47" s="528" t="s">
        <v>459</v>
      </c>
    </row>
    <row r="48" spans="1:13" s="522" customFormat="1" ht="15.6" customHeight="1" thickBot="1" x14ac:dyDescent="0.25">
      <c r="A48" s="704"/>
      <c r="B48" s="704"/>
      <c r="C48" s="537" t="s">
        <v>33</v>
      </c>
      <c r="D48" s="536"/>
      <c r="E48" s="535">
        <f>VLOOKUP($C48,datarep!C:U,18,0)</f>
        <v>28.642394254181276</v>
      </c>
      <c r="F48" s="534" t="str">
        <f t="shared" si="3"/>
        <v>D</v>
      </c>
      <c r="G48" s="532"/>
      <c r="H48" s="533">
        <f t="shared" si="4"/>
        <v>-2429.7361640253216</v>
      </c>
      <c r="I48" s="532"/>
      <c r="J48" s="531" t="s">
        <v>460</v>
      </c>
      <c r="K48" s="530">
        <f>VLOOKUP($C48,datarep!$C:$U,15,0)</f>
        <v>31.072130418206598</v>
      </c>
      <c r="L48" s="529" t="str">
        <f t="shared" si="5"/>
        <v>C</v>
      </c>
      <c r="M48" s="528" t="s">
        <v>459</v>
      </c>
    </row>
    <row r="49" spans="1:13" s="522" customFormat="1" ht="15.6" customHeight="1" thickBot="1" x14ac:dyDescent="0.25">
      <c r="A49" s="704"/>
      <c r="B49" s="704"/>
      <c r="C49" s="537" t="s">
        <v>38</v>
      </c>
      <c r="D49" s="536"/>
      <c r="E49" s="535">
        <f>VLOOKUP($C49,datarep!C:U,18,0)</f>
        <v>27.764796151560788</v>
      </c>
      <c r="F49" s="534" t="str">
        <f t="shared" si="3"/>
        <v>D</v>
      </c>
      <c r="G49" s="532"/>
      <c r="H49" s="533">
        <f t="shared" si="4"/>
        <v>0.17779659953678362</v>
      </c>
      <c r="I49" s="532"/>
      <c r="J49" s="531" t="s">
        <v>460</v>
      </c>
      <c r="K49" s="530">
        <f>VLOOKUP($C49,datarep!$C:$U,15,0)</f>
        <v>27.586999552024004</v>
      </c>
      <c r="L49" s="529" t="str">
        <f t="shared" si="5"/>
        <v>D</v>
      </c>
      <c r="M49" s="528" t="s">
        <v>459</v>
      </c>
    </row>
    <row r="50" spans="1:13" s="522" customFormat="1" ht="15.6" customHeight="1" thickBot="1" x14ac:dyDescent="0.25">
      <c r="A50" s="704"/>
      <c r="B50" s="704"/>
      <c r="C50" s="537" t="s">
        <v>37</v>
      </c>
      <c r="D50" s="536"/>
      <c r="E50" s="535">
        <f>VLOOKUP($C50,datarep!C:U,18,0)</f>
        <v>25.870395520602511</v>
      </c>
      <c r="F50" s="534" t="str">
        <f t="shared" si="3"/>
        <v>D</v>
      </c>
      <c r="G50" s="532"/>
      <c r="H50" s="533">
        <f t="shared" si="4"/>
        <v>-1.1438426098129781</v>
      </c>
      <c r="I50" s="532"/>
      <c r="J50" s="531" t="s">
        <v>460</v>
      </c>
      <c r="K50" s="530">
        <f>VLOOKUP($C50,datarep!$C:$U,15,0)</f>
        <v>27.014238130415489</v>
      </c>
      <c r="L50" s="529" t="str">
        <f t="shared" si="5"/>
        <v>D</v>
      </c>
      <c r="M50" s="528" t="s">
        <v>459</v>
      </c>
    </row>
    <row r="51" spans="1:13" s="522" customFormat="1" ht="15.6" customHeight="1" thickBot="1" x14ac:dyDescent="0.25">
      <c r="A51" s="704"/>
      <c r="B51" s="704"/>
      <c r="C51" s="537" t="s">
        <v>43</v>
      </c>
      <c r="D51" s="536"/>
      <c r="E51" s="535">
        <f>VLOOKUP($C51,datarep!C:U,18,0)</f>
        <v>23.965185652899351</v>
      </c>
      <c r="F51" s="534" t="str">
        <f t="shared" si="3"/>
        <v>D</v>
      </c>
      <c r="G51" s="532"/>
      <c r="H51" s="533">
        <f t="shared" si="4"/>
        <v>2.1235197544465336</v>
      </c>
      <c r="I51" s="532"/>
      <c r="J51" s="531" t="s">
        <v>460</v>
      </c>
      <c r="K51" s="530">
        <f>VLOOKUP($C51,datarep!$C:$U,15,0)</f>
        <v>21.841665898452817</v>
      </c>
      <c r="L51" s="529" t="str">
        <f t="shared" si="5"/>
        <v>D</v>
      </c>
      <c r="M51" s="528" t="s">
        <v>459</v>
      </c>
    </row>
    <row r="52" spans="1:13" s="522" customFormat="1" ht="15.6" customHeight="1" thickBot="1" x14ac:dyDescent="0.25">
      <c r="A52" s="704"/>
      <c r="B52" s="704"/>
      <c r="C52" s="537" t="s">
        <v>40</v>
      </c>
      <c r="D52" s="536"/>
      <c r="E52" s="535">
        <f>VLOOKUP($C52,datarep!C:U,18,0)</f>
        <v>20.484382066958307</v>
      </c>
      <c r="F52" s="534" t="str">
        <f t="shared" si="3"/>
        <v>D</v>
      </c>
      <c r="G52" s="532"/>
      <c r="H52" s="533">
        <f t="shared" si="4"/>
        <v>-7.4430154355312084E-2</v>
      </c>
      <c r="I52" s="532"/>
      <c r="J52" s="531" t="s">
        <v>460</v>
      </c>
      <c r="K52" s="530">
        <f>VLOOKUP($C52,datarep!$C:$U,15,0)</f>
        <v>20.55881222131362</v>
      </c>
      <c r="L52" s="529" t="str">
        <f t="shared" si="5"/>
        <v>D</v>
      </c>
      <c r="M52" s="528" t="s">
        <v>459</v>
      </c>
    </row>
    <row r="53" spans="1:13" s="522" customFormat="1" ht="15.6" customHeight="1" thickBot="1" x14ac:dyDescent="0.25">
      <c r="A53" s="704"/>
      <c r="B53" s="704"/>
      <c r="C53" s="537" t="s">
        <v>34</v>
      </c>
      <c r="D53" s="536"/>
      <c r="E53" s="535">
        <f>VLOOKUP($C53,datarep!C:U,18,0)</f>
        <v>9.5204299987394965</v>
      </c>
      <c r="F53" s="534" t="str">
        <f t="shared" si="3"/>
        <v>D</v>
      </c>
      <c r="G53" s="532"/>
      <c r="H53" s="533">
        <f t="shared" si="4"/>
        <v>-4.5996616834875326E-2</v>
      </c>
      <c r="I53" s="532"/>
      <c r="J53" s="531" t="s">
        <v>460</v>
      </c>
      <c r="K53" s="530">
        <f>VLOOKUP($C53,datarep!$C:$U,15,0)</f>
        <v>9.5664266155743718</v>
      </c>
      <c r="L53" s="529" t="str">
        <f t="shared" si="5"/>
        <v>D</v>
      </c>
      <c r="M53" s="528" t="s">
        <v>459</v>
      </c>
    </row>
    <row r="54" spans="1:13" s="524" customFormat="1" ht="5.0999999999999996" customHeight="1" x14ac:dyDescent="0.2">
      <c r="A54" s="704"/>
      <c r="B54" s="704"/>
      <c r="C54" s="525"/>
      <c r="D54" s="525"/>
      <c r="E54" s="527"/>
      <c r="F54" s="527"/>
      <c r="G54" s="527"/>
      <c r="H54" s="527"/>
      <c r="I54" s="526"/>
      <c r="J54" s="525"/>
      <c r="K54" s="525"/>
      <c r="L54" s="525"/>
      <c r="M54" s="525"/>
    </row>
    <row r="55" spans="1:13" s="522" customFormat="1" ht="6.75" customHeight="1" x14ac:dyDescent="0.2">
      <c r="A55" s="556"/>
      <c r="B55" s="556"/>
      <c r="C55" s="523"/>
      <c r="D55" s="523"/>
      <c r="E55" s="523"/>
      <c r="F55" s="523"/>
      <c r="G55" s="523"/>
      <c r="H55" s="523"/>
      <c r="I55" s="523"/>
    </row>
    <row r="56" spans="1:13" ht="5.25" customHeight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</sheetData>
  <sheetProtection sheet="1" objects="1" scenarios="1" selectLockedCells="1" selectUnlockedCells="1"/>
  <sortState ref="C31:E53">
    <sortCondition descending="1" ref="E31:E53"/>
  </sortState>
  <mergeCells count="11">
    <mergeCell ref="C10:G10"/>
    <mergeCell ref="H10:M10"/>
    <mergeCell ref="E12:F12"/>
    <mergeCell ref="A2:B54"/>
    <mergeCell ref="J12:M12"/>
    <mergeCell ref="C2:M2"/>
    <mergeCell ref="C4:M4"/>
    <mergeCell ref="C6:G6"/>
    <mergeCell ref="H6:M6"/>
    <mergeCell ref="C8:G8"/>
    <mergeCell ref="H8:M8"/>
  </mergeCells>
  <conditionalFormatting sqref="E29 E15 E18 E20:E26 E31:E53 K15 K18 K20:K26 K29 K31:K53">
    <cfRule type="iconSet" priority="1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H29 H15 H18 H20:H26 H31:H53">
    <cfRule type="iconSet" priority="2">
      <iconSet iconSet="5Arrows" showValue="0">
        <cfvo type="percent" val="0"/>
        <cfvo type="num" val="-100"/>
        <cfvo type="num" val="-0.1"/>
        <cfvo type="num" val="0.1"/>
        <cfvo type="num" val="100"/>
      </iconSet>
    </cfRule>
  </conditionalFormatting>
  <printOptions horizontalCentered="1" verticalCentered="1"/>
  <pageMargins left="0" right="0.11811023622047245" top="0.19685039370078741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-0.249977111117893"/>
    <pageSetUpPr autoPageBreaks="0" fitToPage="1"/>
  </sheetPr>
  <dimension ref="A1:W38"/>
  <sheetViews>
    <sheetView showGridLines="0" showRowColHeaders="0" tabSelected="1" topLeftCell="A2" workbookViewId="0">
      <selection activeCell="C5" sqref="C5:D5"/>
    </sheetView>
  </sheetViews>
  <sheetFormatPr defaultColWidth="0" defaultRowHeight="0" customHeight="1" zeroHeight="1" x14ac:dyDescent="0.2"/>
  <cols>
    <col min="1" max="1" width="1.83203125" style="475" customWidth="1"/>
    <col min="2" max="2" width="5.1640625" customWidth="1"/>
    <col min="3" max="3" width="33" style="475" customWidth="1"/>
    <col min="4" max="4" width="3.83203125" style="475" customWidth="1"/>
    <col min="5" max="5" width="4" style="475" customWidth="1"/>
    <col min="6" max="6" width="5.1640625" style="475" customWidth="1"/>
    <col min="7" max="7" width="1" style="475" customWidth="1"/>
    <col min="8" max="8" width="14.83203125" style="475" customWidth="1"/>
    <col min="9" max="9" width="13.83203125" style="475" customWidth="1"/>
    <col min="10" max="10" width="9.6640625" style="475" customWidth="1"/>
    <col min="11" max="11" width="15.83203125" style="475" customWidth="1"/>
    <col min="12" max="12" width="9.6640625" style="475" customWidth="1"/>
    <col min="13" max="13" width="13.83203125" style="475" customWidth="1"/>
    <col min="14" max="15" width="9.6640625" style="475" customWidth="1"/>
    <col min="16" max="16" width="15.83203125" style="475" customWidth="1"/>
    <col min="17" max="17" width="13.83203125" style="475" customWidth="1"/>
    <col min="18" max="18" width="9.6640625" style="475" customWidth="1"/>
    <col min="19" max="19" width="15.83203125" style="475" customWidth="1"/>
    <col min="20" max="20" width="1.5" style="388" customWidth="1"/>
    <col min="21" max="21" width="1.83203125" style="388" customWidth="1"/>
    <col min="22" max="22" width="9.33203125" hidden="1" customWidth="1"/>
    <col min="23" max="23" width="0" hidden="1" customWidth="1"/>
    <col min="24" max="16384" width="9.33203125" hidden="1"/>
  </cols>
  <sheetData>
    <row r="1" spans="1:21" ht="0" hidden="1" customHeight="1" x14ac:dyDescent="0.2"/>
    <row r="2" spans="1:21" s="14" customFormat="1" ht="28.5" customHeight="1" x14ac:dyDescent="0.2">
      <c r="A2" s="647"/>
      <c r="B2" s="708" t="str">
        <f>'III. Souhrn SMO'!B2:N2</f>
        <v>SYSTÉM SDRUŽENÝCH NÁKUPŮ - STATUTÁRNÍ MĚSTO OSTRAVA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474"/>
      <c r="U2" s="474"/>
    </row>
    <row r="3" spans="1:21" s="14" customFormat="1" ht="18" customHeight="1" x14ac:dyDescent="0.2">
      <c r="A3" s="474"/>
      <c r="B3" s="709" t="s">
        <v>252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474"/>
      <c r="U3" s="474"/>
    </row>
    <row r="4" spans="1:21" s="475" customFormat="1" ht="15" customHeight="1" thickBot="1" x14ac:dyDescent="0.25">
      <c r="B4" s="488"/>
      <c r="C4" s="707" t="s">
        <v>324</v>
      </c>
      <c r="D4" s="707"/>
      <c r="E4" s="707"/>
      <c r="F4" s="707"/>
      <c r="G4" s="707"/>
      <c r="H4" s="70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1" s="475" customFormat="1" ht="24.95" customHeight="1" thickTop="1" thickBot="1" x14ac:dyDescent="0.25">
      <c r="B5" s="489" t="s">
        <v>80</v>
      </c>
      <c r="C5" s="711" t="s">
        <v>346</v>
      </c>
      <c r="D5" s="712"/>
      <c r="E5" s="492"/>
      <c r="F5" s="740" t="s">
        <v>79</v>
      </c>
      <c r="G5" s="741"/>
      <c r="H5" s="725" t="s">
        <v>81</v>
      </c>
      <c r="I5" s="726"/>
      <c r="J5" s="727"/>
      <c r="K5" s="493" t="s">
        <v>390</v>
      </c>
      <c r="L5" s="725" t="s">
        <v>51</v>
      </c>
      <c r="M5" s="726"/>
      <c r="N5" s="726"/>
      <c r="O5" s="727"/>
      <c r="P5" s="494"/>
      <c r="Q5" s="746" t="str">
        <f>"za období : "&amp;obdobi</f>
        <v>za období : LEDEN-ČERVEN 2016</v>
      </c>
      <c r="R5" s="747"/>
      <c r="S5" s="748"/>
      <c r="T5" s="492"/>
    </row>
    <row r="6" spans="1:21" s="475" customFormat="1" ht="8.1" customHeight="1" thickTop="1" x14ac:dyDescent="0.2"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2"/>
    </row>
    <row r="7" spans="1:21" s="475" customFormat="1" ht="20.100000000000001" customHeight="1" x14ac:dyDescent="0.25">
      <c r="B7" s="720"/>
      <c r="C7" s="721"/>
      <c r="D7" s="721"/>
      <c r="E7" s="159"/>
      <c r="F7" s="159"/>
      <c r="G7" s="159"/>
      <c r="H7" s="7"/>
      <c r="I7" s="742" t="str">
        <f>"Rating-váha Evidence : "&amp;vahaE&amp;"%"</f>
        <v>Rating-váha Evidence : 40%</v>
      </c>
      <c r="J7" s="742"/>
      <c r="K7" s="742"/>
      <c r="L7" s="739" t="str">
        <f>"Rating-váha Zařazených : "&amp;vahaD&amp;"%"</f>
        <v>Rating-váha Zařazených : 60%</v>
      </c>
      <c r="M7" s="739"/>
      <c r="N7" s="739"/>
      <c r="O7" s="739"/>
      <c r="P7" s="739"/>
      <c r="Q7" s="749"/>
      <c r="R7" s="750"/>
      <c r="S7" s="750"/>
      <c r="T7" s="750"/>
    </row>
    <row r="8" spans="1:21" s="475" customFormat="1" ht="39.950000000000003" customHeight="1" x14ac:dyDescent="0.2">
      <c r="B8" s="717"/>
      <c r="C8" s="718"/>
      <c r="D8" s="719"/>
      <c r="E8" s="728" t="s">
        <v>249</v>
      </c>
      <c r="F8" s="729"/>
      <c r="G8" s="730"/>
      <c r="H8" s="713" t="s">
        <v>597</v>
      </c>
      <c r="I8" s="734" t="s">
        <v>82</v>
      </c>
      <c r="J8" s="735"/>
      <c r="K8" s="736"/>
      <c r="L8" s="710" t="s">
        <v>377</v>
      </c>
      <c r="M8" s="710"/>
      <c r="N8" s="710"/>
      <c r="O8" s="710"/>
      <c r="P8" s="710"/>
      <c r="Q8" s="743" t="s">
        <v>30</v>
      </c>
      <c r="R8" s="744"/>
      <c r="S8" s="744"/>
      <c r="T8" s="744"/>
    </row>
    <row r="9" spans="1:21" s="475" customFormat="1" ht="30" customHeight="1" x14ac:dyDescent="0.2">
      <c r="B9" s="717"/>
      <c r="C9" s="718"/>
      <c r="D9" s="719"/>
      <c r="E9" s="731"/>
      <c r="F9" s="732"/>
      <c r="G9" s="733"/>
      <c r="H9" s="714"/>
      <c r="I9" s="472" t="s">
        <v>83</v>
      </c>
      <c r="J9" s="715" t="s">
        <v>84</v>
      </c>
      <c r="K9" s="716"/>
      <c r="L9" s="472" t="s">
        <v>244</v>
      </c>
      <c r="M9" s="472" t="s">
        <v>83</v>
      </c>
      <c r="N9" s="472" t="s">
        <v>385</v>
      </c>
      <c r="O9" s="715" t="s">
        <v>386</v>
      </c>
      <c r="P9" s="716"/>
      <c r="Q9" s="473" t="s">
        <v>83</v>
      </c>
      <c r="R9" s="715" t="s">
        <v>242</v>
      </c>
      <c r="S9" s="745"/>
      <c r="T9" s="308"/>
    </row>
    <row r="10" spans="1:21" s="475" customFormat="1" ht="11.25" customHeight="1" x14ac:dyDescent="0.2">
      <c r="B10" s="717"/>
      <c r="C10" s="718"/>
      <c r="D10" s="719"/>
      <c r="E10" s="722">
        <v>1</v>
      </c>
      <c r="F10" s="723"/>
      <c r="G10" s="724"/>
      <c r="H10" s="149">
        <v>2</v>
      </c>
      <c r="I10" s="127">
        <v>3</v>
      </c>
      <c r="J10" s="737">
        <v>4</v>
      </c>
      <c r="K10" s="738"/>
      <c r="L10" s="128">
        <v>5</v>
      </c>
      <c r="M10" s="129">
        <v>6</v>
      </c>
      <c r="N10" s="129">
        <v>7</v>
      </c>
      <c r="O10" s="737">
        <v>8</v>
      </c>
      <c r="P10" s="738"/>
      <c r="Q10" s="127">
        <v>9</v>
      </c>
      <c r="R10" s="737">
        <v>10</v>
      </c>
      <c r="S10" s="737"/>
      <c r="T10" s="307"/>
    </row>
    <row r="11" spans="1:21" s="475" customFormat="1" ht="24.95" customHeight="1" x14ac:dyDescent="0.2">
      <c r="B11" s="75"/>
      <c r="C11" s="148" t="s">
        <v>243</v>
      </c>
      <c r="D11" s="520" t="str">
        <f>IF(Org_nast!$E$4&gt;1,"▲","")</f>
        <v/>
      </c>
      <c r="E11" s="300">
        <f>Org_dat!H4</f>
        <v>69.6106128401577</v>
      </c>
      <c r="F11" s="303" t="str">
        <f>IF(ISERROR(VLOOKUP(E11,vstupy!$B$41:$C$50,2,1)),"",VLOOKUP(E11,vstupy!$B$41:$C$50,2,1))</f>
        <v>B++</v>
      </c>
      <c r="G11" s="273"/>
      <c r="H11" s="333">
        <f>Org_dat!E4</f>
        <v>1909185156.4706273</v>
      </c>
      <c r="I11" s="334">
        <f>Org_dat!F4</f>
        <v>1064121085.0700001</v>
      </c>
      <c r="J11" s="335">
        <f>Org_dat!G4</f>
        <v>0.55736924282250544</v>
      </c>
      <c r="K11" s="336">
        <f>Org_nast!N8</f>
        <v>0.8</v>
      </c>
      <c r="L11" s="337">
        <f>Org_dat!H3</f>
        <v>0.21311121584853954</v>
      </c>
      <c r="M11" s="334">
        <f>Org_dat!I4</f>
        <v>246727483.48000002</v>
      </c>
      <c r="N11" s="335">
        <f>Org_dat!J4</f>
        <v>0.12923182575759562</v>
      </c>
      <c r="O11" s="335">
        <f>Org_dat!K4</f>
        <v>0.60640555797608542</v>
      </c>
      <c r="P11" s="336"/>
      <c r="Q11" s="338">
        <f>Org_dat!L4</f>
        <v>65441486.290000029</v>
      </c>
      <c r="R11" s="339">
        <f>Q11/(M11+Q11)</f>
        <v>0.20963482161028379</v>
      </c>
      <c r="S11" s="130"/>
      <c r="T11" s="308"/>
    </row>
    <row r="12" spans="1:21" s="475" customFormat="1" ht="12.6" customHeight="1" x14ac:dyDescent="0.2">
      <c r="B12" s="76">
        <f ca="1">IF(C12&lt;&gt;"",OFFSET(Org_nast!C9,Org_nast!$E$4,0,1,1),0)</f>
        <v>1</v>
      </c>
      <c r="C12" s="142" t="str">
        <f ca="1">OFFSET(Org_nast!J9,Org_nast!$E$4,0,1,1)</f>
        <v>Středisko volného času Korunka</v>
      </c>
      <c r="D12" s="143"/>
      <c r="E12" s="150">
        <f ca="1">OFFSET(Org_nast!K9,Org_nast!$E$4,0,1,1)</f>
        <v>100</v>
      </c>
      <c r="F12" s="304" t="str">
        <f ca="1">IF(ISERROR(VLOOKUP(E12,vstupy!$B$41:$C$50,2,1)),"",VLOOKUP(E12,vstupy!$B$41:$C$50,2,1))</f>
        <v>A++</v>
      </c>
      <c r="G12" s="302"/>
      <c r="H12" s="325">
        <f ca="1">OFFSET(Org_nast!L9,Org_nast!$E$4,0,1,1)</f>
        <v>1791000</v>
      </c>
      <c r="I12" s="326">
        <f ca="1">OFFSET(Org_nast!M9,Org_nast!$E$4,0,1,1)</f>
        <v>1459310.65</v>
      </c>
      <c r="J12" s="133">
        <f ca="1">OFFSET(Org_nast!N9,Org_nast!$E$4,0,1,1)</f>
        <v>0.8148021496370742</v>
      </c>
      <c r="K12" s="131"/>
      <c r="L12" s="135">
        <f ca="1">OFFSET(Org_nast!O9,Org_nast!$E$4,0,1,1)</f>
        <v>0.06</v>
      </c>
      <c r="M12" s="329">
        <f ca="1">OFFSET(Org_nast!P9,Org_nast!$E$4,0,1,1)</f>
        <v>178213.75</v>
      </c>
      <c r="N12" s="313">
        <f ca="1">OFFSET(Org_nast!Q9,Org_nast!$E$4,0,1,1)</f>
        <v>9.9505164712451147E-2</v>
      </c>
      <c r="O12" s="133">
        <f ca="1">OFFSET(Org_nast!R9,Org_nast!$E$4,0,1,1)</f>
        <v>1.6584194118741857</v>
      </c>
      <c r="P12" s="132"/>
      <c r="Q12" s="331">
        <f ca="1">OFFSET(Org_nast!S9,Org_nast!$E$4,0,1,1)</f>
        <v>81194.600000000006</v>
      </c>
      <c r="R12" s="133">
        <f ca="1">OFFSET(Org_nast!T9,Org_nast!$E$4,0,1,1)</f>
        <v>0.31299917678054701</v>
      </c>
      <c r="S12" s="153"/>
      <c r="T12" s="309"/>
    </row>
    <row r="13" spans="1:21" s="475" customFormat="1" ht="12.6" customHeight="1" x14ac:dyDescent="0.2">
      <c r="B13" s="77">
        <f ca="1">IF(C13&lt;&gt;"",OFFSET(Org_nast!C10,Org_nast!$E$4,0,1,1),0)</f>
        <v>2</v>
      </c>
      <c r="C13" s="144" t="str">
        <f ca="1">OFFSET(Org_nast!J10,Org_nast!$E$4,0,1,1)</f>
        <v>Křesťanská MŠ Ostrava-Mariánské Hory</v>
      </c>
      <c r="D13" s="145"/>
      <c r="E13" s="151">
        <f ca="1">OFFSET(Org_nast!K10,Org_nast!$E$4,0,1,1)</f>
        <v>100</v>
      </c>
      <c r="F13" s="305" t="str">
        <f ca="1">IF(ISERROR(VLOOKUP(E13,vstupy!$B$41:$C$50,2,1)),"",VLOOKUP(E13,vstupy!$B$41:$C$50,2,1))</f>
        <v>A++</v>
      </c>
      <c r="G13" s="145"/>
      <c r="H13" s="325">
        <f ca="1">OFFSET(Org_nast!L10,Org_nast!$E$4,0,1,1)</f>
        <v>1006000</v>
      </c>
      <c r="I13" s="326">
        <f ca="1">OFFSET(Org_nast!M10,Org_nast!$E$4,0,1,1)</f>
        <v>929367.41</v>
      </c>
      <c r="J13" s="133">
        <f ca="1">OFFSET(Org_nast!N10,Org_nast!$E$4,0,1,1)</f>
        <v>0.92382446322067602</v>
      </c>
      <c r="K13" s="134"/>
      <c r="L13" s="135">
        <f ca="1">OFFSET(Org_nast!O10,Org_nast!$E$4,0,1,1)</f>
        <v>0.24970000000000001</v>
      </c>
      <c r="M13" s="329">
        <f ca="1">OFFSET(Org_nast!P10,Org_nast!$E$4,0,1,1)</f>
        <v>360395.24</v>
      </c>
      <c r="N13" s="313">
        <f ca="1">OFFSET(Org_nast!Q10,Org_nast!$E$4,0,1,1)</f>
        <v>0.35824576540755465</v>
      </c>
      <c r="O13" s="133">
        <f ca="1">OFFSET(Org_nast!R10,Org_nast!$E$4,0,1,1)</f>
        <v>1.4347047072789534</v>
      </c>
      <c r="P13" s="136"/>
      <c r="Q13" s="331">
        <f ca="1">OFFSET(Org_nast!S10,Org_nast!$E$4,0,1,1)</f>
        <v>89363.64</v>
      </c>
      <c r="R13" s="133">
        <f ca="1">OFFSET(Org_nast!T10,Org_nast!$E$4,0,1,1)</f>
        <v>0.19869233043269763</v>
      </c>
      <c r="S13" s="154"/>
      <c r="T13" s="310"/>
    </row>
    <row r="14" spans="1:21" s="475" customFormat="1" ht="12.6" customHeight="1" x14ac:dyDescent="0.2">
      <c r="B14" s="77">
        <f ca="1">IF(C14&lt;&gt;"",OFFSET(Org_nast!C11,Org_nast!$E$4,0,1,1),0)</f>
        <v>3</v>
      </c>
      <c r="C14" s="144" t="str">
        <f ca="1">OFFSET(Org_nast!J11,Org_nast!$E$4,0,1,1)</f>
        <v>ZŠ a MŠ O-Zábřeh, Kosmonautů 15</v>
      </c>
      <c r="D14" s="145"/>
      <c r="E14" s="151">
        <f ca="1">OFFSET(Org_nast!K11,Org_nast!$E$4,0,1,1)</f>
        <v>100</v>
      </c>
      <c r="F14" s="305" t="str">
        <f ca="1">IF(ISERROR(VLOOKUP(E14,vstupy!$B$41:$C$50,2,1)),"",VLOOKUP(E14,vstupy!$B$41:$C$50,2,1))</f>
        <v>A++</v>
      </c>
      <c r="G14" s="145"/>
      <c r="H14" s="325">
        <f ca="1">OFFSET(Org_nast!L11,Org_nast!$E$4,0,1,1)</f>
        <v>4695750</v>
      </c>
      <c r="I14" s="326">
        <f ca="1">OFFSET(Org_nast!M11,Org_nast!$E$4,0,1,1)</f>
        <v>4012846.17</v>
      </c>
      <c r="J14" s="133">
        <f ca="1">OFFSET(Org_nast!N11,Org_nast!$E$4,0,1,1)</f>
        <v>0.85456980674013738</v>
      </c>
      <c r="K14" s="134"/>
      <c r="L14" s="135">
        <f ca="1">OFFSET(Org_nast!O11,Org_nast!$E$4,0,1,1)</f>
        <v>0.30020000000000002</v>
      </c>
      <c r="M14" s="329">
        <f ca="1">OFFSET(Org_nast!P11,Org_nast!$E$4,0,1,1)</f>
        <v>2002449.5899999999</v>
      </c>
      <c r="N14" s="313">
        <f ca="1">OFFSET(Org_nast!Q11,Org_nast!$E$4,0,1,1)</f>
        <v>0.42643871373050096</v>
      </c>
      <c r="O14" s="133">
        <f ca="1">OFFSET(Org_nast!R11,Org_nast!$E$4,0,1,1)</f>
        <v>1.4205153688557659</v>
      </c>
      <c r="P14" s="136"/>
      <c r="Q14" s="331">
        <f ca="1">OFFSET(Org_nast!S11,Org_nast!$E$4,0,1,1)</f>
        <v>345964.08999999997</v>
      </c>
      <c r="R14" s="133">
        <f ca="1">OFFSET(Org_nast!T11,Org_nast!$E$4,0,1,1)</f>
        <v>0.14731820587929806</v>
      </c>
      <c r="S14" s="154"/>
      <c r="T14" s="310"/>
    </row>
    <row r="15" spans="1:21" s="475" customFormat="1" ht="12.6" customHeight="1" x14ac:dyDescent="0.2">
      <c r="B15" s="77">
        <f ca="1">IF(C15&lt;&gt;"",OFFSET(Org_nast!C12,Org_nast!$E$4,0,1,1),0)</f>
        <v>4</v>
      </c>
      <c r="C15" s="144" t="str">
        <f ca="1">OFFSET(Org_nast!J12,Org_nast!$E$4,0,1,1)</f>
        <v>ZŠ O-Stará Bělá</v>
      </c>
      <c r="D15" s="145"/>
      <c r="E15" s="151">
        <f ca="1">OFFSET(Org_nast!K12,Org_nast!$E$4,0,1,1)</f>
        <v>100</v>
      </c>
      <c r="F15" s="305" t="str">
        <f ca="1">IF(ISERROR(VLOOKUP(E15,vstupy!$B$41:$C$50,2,1)),"",VLOOKUP(E15,vstupy!$B$41:$C$50,2,1))</f>
        <v>A++</v>
      </c>
      <c r="G15" s="145"/>
      <c r="H15" s="325">
        <f ca="1">OFFSET(Org_nast!L12,Org_nast!$E$4,0,1,1)</f>
        <v>2600250</v>
      </c>
      <c r="I15" s="326">
        <f ca="1">OFFSET(Org_nast!M12,Org_nast!$E$4,0,1,1)</f>
        <v>2264750.5599999996</v>
      </c>
      <c r="J15" s="133">
        <f ca="1">OFFSET(Org_nast!N12,Org_nast!$E$4,0,1,1)</f>
        <v>0.87097416017690588</v>
      </c>
      <c r="K15" s="134"/>
      <c r="L15" s="135">
        <f ca="1">OFFSET(Org_nast!O12,Org_nast!$E$4,0,1,1)</f>
        <v>0.2802</v>
      </c>
      <c r="M15" s="329">
        <f ca="1">OFFSET(Org_nast!P12,Org_nast!$E$4,0,1,1)</f>
        <v>965203.17999999993</v>
      </c>
      <c r="N15" s="313">
        <f ca="1">OFFSET(Org_nast!Q12,Org_nast!$E$4,0,1,1)</f>
        <v>0.37119630035573498</v>
      </c>
      <c r="O15" s="133">
        <f ca="1">OFFSET(Org_nast!R12,Org_nast!$E$4,0,1,1)</f>
        <v>1.3247548192567273</v>
      </c>
      <c r="P15" s="136"/>
      <c r="Q15" s="331">
        <f ca="1">OFFSET(Org_nast!S12,Org_nast!$E$4,0,1,1)</f>
        <v>220753.15999999997</v>
      </c>
      <c r="R15" s="133">
        <f ca="1">OFFSET(Org_nast!T12,Org_nast!$E$4,0,1,1)</f>
        <v>0.18613936496178266</v>
      </c>
      <c r="S15" s="154"/>
      <c r="T15" s="310"/>
    </row>
    <row r="16" spans="1:21" s="475" customFormat="1" ht="12.6" customHeight="1" x14ac:dyDescent="0.2">
      <c r="B16" s="77">
        <f ca="1">IF(C16&lt;&gt;"",OFFSET(Org_nast!C13,Org_nast!$E$4,0,1,1),0)</f>
        <v>5</v>
      </c>
      <c r="C16" s="144" t="str">
        <f ca="1">OFFSET(Org_nast!J13,Org_nast!$E$4,0,1,1)</f>
        <v>Knihovna města Ostravy</v>
      </c>
      <c r="D16" s="145"/>
      <c r="E16" s="151">
        <f ca="1">OFFSET(Org_nast!K13,Org_nast!$E$4,0,1,1)</f>
        <v>100</v>
      </c>
      <c r="F16" s="305" t="str">
        <f ca="1">IF(ISERROR(VLOOKUP(E16,vstupy!$B$41:$C$50,2,1)),"",VLOOKUP(E16,vstupy!$B$41:$C$50,2,1))</f>
        <v>A++</v>
      </c>
      <c r="G16" s="145"/>
      <c r="H16" s="325">
        <f ca="1">OFFSET(Org_nast!L13,Org_nast!$E$4,0,1,1)</f>
        <v>6548850</v>
      </c>
      <c r="I16" s="326">
        <f ca="1">OFFSET(Org_nast!M13,Org_nast!$E$4,0,1,1)</f>
        <v>5434893.6699999999</v>
      </c>
      <c r="J16" s="133">
        <f ca="1">OFFSET(Org_nast!N13,Org_nast!$E$4,0,1,1)</f>
        <v>0.82990046649411731</v>
      </c>
      <c r="K16" s="134"/>
      <c r="L16" s="135">
        <f ca="1">OFFSET(Org_nast!O13,Org_nast!$E$4,0,1,1)</f>
        <v>0.23924987180665169</v>
      </c>
      <c r="M16" s="329">
        <f ca="1">OFFSET(Org_nast!P13,Org_nast!$E$4,0,1,1)</f>
        <v>1881444.24</v>
      </c>
      <c r="N16" s="313">
        <f ca="1">OFFSET(Org_nast!Q13,Org_nast!$E$4,0,1,1)</f>
        <v>0.28729383632240774</v>
      </c>
      <c r="O16" s="133">
        <f ca="1">OFFSET(Org_nast!R13,Org_nast!$E$4,0,1,1)</f>
        <v>1.2008108265762518</v>
      </c>
      <c r="P16" s="136"/>
      <c r="Q16" s="331">
        <f ca="1">OFFSET(Org_nast!S13,Org_nast!$E$4,0,1,1)</f>
        <v>1230004.9099999999</v>
      </c>
      <c r="R16" s="133">
        <f ca="1">OFFSET(Org_nast!T13,Org_nast!$E$4,0,1,1)</f>
        <v>0.39531576789548367</v>
      </c>
      <c r="S16" s="154"/>
      <c r="T16" s="310"/>
    </row>
    <row r="17" spans="2:20" s="475" customFormat="1" ht="12.6" customHeight="1" x14ac:dyDescent="0.2">
      <c r="B17" s="77">
        <f ca="1">IF(C17&lt;&gt;"",OFFSET(Org_nast!C14,Org_nast!$E$4,0,1,1),0)</f>
        <v>6</v>
      </c>
      <c r="C17" s="144" t="str">
        <f ca="1">OFFSET(Org_nast!J14,Org_nast!$E$4,0,1,1)</f>
        <v>Středisko volného času O-Zábřeh</v>
      </c>
      <c r="D17" s="145"/>
      <c r="E17" s="151">
        <f ca="1">OFFSET(Org_nast!K14,Org_nast!$E$4,0,1,1)</f>
        <v>99.80033509378984</v>
      </c>
      <c r="F17" s="305" t="str">
        <f ca="1">IF(ISERROR(VLOOKUP(E17,vstupy!$B$41:$C$50,2,1)),"",VLOOKUP(E17,vstupy!$B$41:$C$50,2,1))</f>
        <v>A++</v>
      </c>
      <c r="G17" s="145"/>
      <c r="H17" s="325">
        <f ca="1">OFFSET(Org_nast!L14,Org_nast!$E$4,0,1,1)</f>
        <v>2745500</v>
      </c>
      <c r="I17" s="326">
        <f ca="1">OFFSET(Org_nast!M14,Org_nast!$E$4,0,1,1)</f>
        <v>2185436.4</v>
      </c>
      <c r="J17" s="133">
        <f ca="1">OFFSET(Org_nast!N14,Org_nast!$E$4,0,1,1)</f>
        <v>0.7960067018757967</v>
      </c>
      <c r="K17" s="134"/>
      <c r="L17" s="135">
        <f ca="1">OFFSET(Org_nast!O14,Org_nast!$E$4,0,1,1)</f>
        <v>0.15</v>
      </c>
      <c r="M17" s="329">
        <f ca="1">OFFSET(Org_nast!P14,Org_nast!$E$4,0,1,1)</f>
        <v>478602.67000000004</v>
      </c>
      <c r="N17" s="313">
        <f ca="1">OFFSET(Org_nast!Q14,Org_nast!$E$4,0,1,1)</f>
        <v>0.17432258969222367</v>
      </c>
      <c r="O17" s="133">
        <f ca="1">OFFSET(Org_nast!R14,Org_nast!$E$4,0,1,1)</f>
        <v>1.1621505979481577</v>
      </c>
      <c r="P17" s="136"/>
      <c r="Q17" s="331">
        <f ca="1">OFFSET(Org_nast!S14,Org_nast!$E$4,0,1,1)</f>
        <v>197915.54</v>
      </c>
      <c r="R17" s="133">
        <f ca="1">OFFSET(Org_nast!T14,Org_nast!$E$4,0,1,1)</f>
        <v>0.29255020348971833</v>
      </c>
      <c r="S17" s="154"/>
      <c r="T17" s="310"/>
    </row>
    <row r="18" spans="2:20" s="475" customFormat="1" ht="12.6" customHeight="1" x14ac:dyDescent="0.2">
      <c r="B18" s="77">
        <f ca="1">IF(C18&lt;&gt;"",OFFSET(Org_nast!C15,Org_nast!$E$4,0,1,1),0)</f>
        <v>7</v>
      </c>
      <c r="C18" s="144" t="str">
        <f ca="1">OFFSET(Org_nast!J15,Org_nast!$E$4,0,1,1)</f>
        <v>Čtyřlístek</v>
      </c>
      <c r="D18" s="145"/>
      <c r="E18" s="151">
        <f ca="1">OFFSET(Org_nast!K15,Org_nast!$E$4,0,1,1)</f>
        <v>98.217999728879732</v>
      </c>
      <c r="F18" s="305" t="str">
        <f ca="1">IF(ISERROR(VLOOKUP(E18,vstupy!$B$41:$C$50,2,1)),"",VLOOKUP(E18,vstupy!$B$41:$C$50,2,1))</f>
        <v>A++</v>
      </c>
      <c r="G18" s="145"/>
      <c r="H18" s="325">
        <f ca="1">OFFSET(Org_nast!L15,Org_nast!$E$4,0,1,1)</f>
        <v>18442000</v>
      </c>
      <c r="I18" s="326">
        <f ca="1">OFFSET(Org_nast!M15,Org_nast!$E$4,0,1,1)</f>
        <v>14111729.050000001</v>
      </c>
      <c r="J18" s="133">
        <f ca="1">OFFSET(Org_nast!N15,Org_nast!$E$4,0,1,1)</f>
        <v>0.76519515508079383</v>
      </c>
      <c r="K18" s="134"/>
      <c r="L18" s="135">
        <f ca="1">OFFSET(Org_nast!O15,Org_nast!$E$4,0,1,1)</f>
        <v>0.4</v>
      </c>
      <c r="M18" s="329">
        <f ca="1">OFFSET(Org_nast!P15,Org_nast!$E$4,0,1,1)</f>
        <v>7371665.9900000002</v>
      </c>
      <c r="N18" s="313">
        <f ca="1">OFFSET(Org_nast!Q15,Org_nast!$E$4,0,1,1)</f>
        <v>0.39972161316560029</v>
      </c>
      <c r="O18" s="133">
        <f ca="1">OFFSET(Org_nast!R15,Org_nast!$E$4,0,1,1)</f>
        <v>0.99930403291400072</v>
      </c>
      <c r="P18" s="136"/>
      <c r="Q18" s="331">
        <f ca="1">OFFSET(Org_nast!S15,Org_nast!$E$4,0,1,1)</f>
        <v>2781023.41</v>
      </c>
      <c r="R18" s="133">
        <f ca="1">OFFSET(Org_nast!T15,Org_nast!$E$4,0,1,1)</f>
        <v>0.27391987486586561</v>
      </c>
      <c r="S18" s="154"/>
      <c r="T18" s="310"/>
    </row>
    <row r="19" spans="2:20" s="475" customFormat="1" ht="12.6" customHeight="1" x14ac:dyDescent="0.2">
      <c r="B19" s="77">
        <f ca="1">IF(C19&lt;&gt;"",OFFSET(Org_nast!C16,Org_nast!$E$4,0,1,1),0)</f>
        <v>8</v>
      </c>
      <c r="C19" s="144" t="str">
        <f ca="1">OFFSET(Org_nast!J16,Org_nast!$E$4,0,1,1)</f>
        <v>DPS Kamenec</v>
      </c>
      <c r="D19" s="145"/>
      <c r="E19" s="151">
        <f ca="1">OFFSET(Org_nast!K16,Org_nast!$E$4,0,1,1)</f>
        <v>94.97545454150125</v>
      </c>
      <c r="F19" s="305" t="str">
        <f ca="1">IF(ISERROR(VLOOKUP(E19,vstupy!$B$41:$C$50,2,1)),"",VLOOKUP(E19,vstupy!$B$41:$C$50,2,1))</f>
        <v>A++</v>
      </c>
      <c r="G19" s="145"/>
      <c r="H19" s="325">
        <f ca="1">OFFSET(Org_nast!L16,Org_nast!$E$4,0,1,1)</f>
        <v>8844500</v>
      </c>
      <c r="I19" s="326">
        <f ca="1">OFFSET(Org_nast!M16,Org_nast!$E$4,0,1,1)</f>
        <v>7584708.8200000003</v>
      </c>
      <c r="J19" s="133">
        <f ca="1">OFFSET(Org_nast!N16,Org_nast!$E$4,0,1,1)</f>
        <v>0.85756219345355877</v>
      </c>
      <c r="K19" s="134"/>
      <c r="L19" s="135">
        <f ca="1">OFFSET(Org_nast!O16,Org_nast!$E$4,0,1,1)</f>
        <v>0.39</v>
      </c>
      <c r="M19" s="329">
        <f ca="1">OFFSET(Org_nast!P16,Org_nast!$E$4,0,1,1)</f>
        <v>3160497.6500000004</v>
      </c>
      <c r="N19" s="313">
        <f ca="1">OFFSET(Org_nast!Q16,Org_nast!$E$4,0,1,1)</f>
        <v>0.3573404545197581</v>
      </c>
      <c r="O19" s="133">
        <f ca="1">OFFSET(Org_nast!R16,Org_nast!$E$4,0,1,1)</f>
        <v>0.91625757569168742</v>
      </c>
      <c r="P19" s="136"/>
      <c r="Q19" s="331">
        <f ca="1">OFFSET(Org_nast!S16,Org_nast!$E$4,0,1,1)</f>
        <v>768013.31</v>
      </c>
      <c r="R19" s="133">
        <f ca="1">OFFSET(Org_nast!T16,Org_nast!$E$4,0,1,1)</f>
        <v>0.19549730618544589</v>
      </c>
      <c r="S19" s="154"/>
      <c r="T19" s="310"/>
    </row>
    <row r="20" spans="2:20" s="475" customFormat="1" ht="12.6" customHeight="1" x14ac:dyDescent="0.2">
      <c r="B20" s="77">
        <f ca="1">IF(C20&lt;&gt;"",OFFSET(Org_nast!C17,Org_nast!$E$4,0,1,1),0)</f>
        <v>9</v>
      </c>
      <c r="C20" s="144" t="str">
        <f ca="1">OFFSET(Org_nast!J17,Org_nast!$E$4,0,1,1)</f>
        <v>Ostravské muzeum</v>
      </c>
      <c r="D20" s="145"/>
      <c r="E20" s="151">
        <f ca="1">OFFSET(Org_nast!K17,Org_nast!$E$4,0,1,1)</f>
        <v>92.906337442660544</v>
      </c>
      <c r="F20" s="305" t="str">
        <f ca="1">IF(ISERROR(VLOOKUP(E20,vstupy!$B$41:$C$50,2,1)),"",VLOOKUP(E20,vstupy!$B$41:$C$50,2,1))</f>
        <v>A+</v>
      </c>
      <c r="G20" s="145"/>
      <c r="H20" s="325">
        <f ca="1">OFFSET(Org_nast!L17,Org_nast!$E$4,0,1,1)</f>
        <v>1744000</v>
      </c>
      <c r="I20" s="326">
        <f ca="1">OFFSET(Org_nast!M17,Org_nast!$E$4,0,1,1)</f>
        <v>1147773.05</v>
      </c>
      <c r="J20" s="133">
        <f ca="1">OFFSET(Org_nast!N17,Org_nast!$E$4,0,1,1)</f>
        <v>0.65812674885321099</v>
      </c>
      <c r="K20" s="134"/>
      <c r="L20" s="135">
        <f ca="1">OFFSET(Org_nast!O17,Org_nast!$E$4,0,1,1)</f>
        <v>0.14015691912963066</v>
      </c>
      <c r="M20" s="329">
        <f ca="1">OFFSET(Org_nast!P17,Org_nast!$E$4,0,1,1)</f>
        <v>276957.61</v>
      </c>
      <c r="N20" s="313">
        <f ca="1">OFFSET(Org_nast!Q17,Org_nast!$E$4,0,1,1)</f>
        <v>0.15880596903669725</v>
      </c>
      <c r="O20" s="133">
        <f ca="1">OFFSET(Org_nast!R17,Org_nast!$E$4,0,1,1)</f>
        <v>1.1330583607493407</v>
      </c>
      <c r="P20" s="136"/>
      <c r="Q20" s="331">
        <f ca="1">OFFSET(Org_nast!S17,Org_nast!$E$4,0,1,1)</f>
        <v>209503.67</v>
      </c>
      <c r="R20" s="133">
        <f ca="1">OFFSET(Org_nast!T17,Org_nast!$E$4,0,1,1)</f>
        <v>0.43066874716113068</v>
      </c>
      <c r="S20" s="154"/>
      <c r="T20" s="310"/>
    </row>
    <row r="21" spans="2:20" s="475" customFormat="1" ht="12.6" customHeight="1" x14ac:dyDescent="0.2">
      <c r="B21" s="77">
        <f ca="1">IF(C21&lt;&gt;"",OFFSET(Org_nast!C18,Org_nast!$E$4,0,1,1),0)</f>
        <v>10</v>
      </c>
      <c r="C21" s="144" t="str">
        <f ca="1">OFFSET(Org_nast!J18,Org_nast!$E$4,0,1,1)</f>
        <v>MŠ O-Poruba, Nezvalovo nám.</v>
      </c>
      <c r="D21" s="145"/>
      <c r="E21" s="151">
        <f ca="1">OFFSET(Org_nast!K18,Org_nast!$E$4,0,1,1)</f>
        <v>92.311880908865277</v>
      </c>
      <c r="F21" s="305" t="str">
        <f ca="1">IF(ISERROR(VLOOKUP(E21,vstupy!$B$41:$C$50,2,1)),"",VLOOKUP(E21,vstupy!$B$41:$C$50,2,1))</f>
        <v>A+</v>
      </c>
      <c r="G21" s="145"/>
      <c r="H21" s="325">
        <f ca="1">OFFSET(Org_nast!L18,Org_nast!$E$4,0,1,1)</f>
        <v>1422000</v>
      </c>
      <c r="I21" s="326">
        <f ca="1">OFFSET(Org_nast!M18,Org_nast!$E$4,0,1,1)</f>
        <v>1687737.47</v>
      </c>
      <c r="J21" s="133">
        <f ca="1">OFFSET(Org_nast!N18,Org_nast!$E$4,0,1,1)</f>
        <v>1.1868758579465541</v>
      </c>
      <c r="K21" s="134"/>
      <c r="L21" s="135">
        <f ca="1">OFFSET(Org_nast!O18,Org_nast!$E$4,0,1,1)</f>
        <v>0.14960000000000001</v>
      </c>
      <c r="M21" s="329">
        <f ca="1">OFFSET(Org_nast!P18,Org_nast!$E$4,0,1,1)</f>
        <v>185472.82</v>
      </c>
      <c r="N21" s="313">
        <f ca="1">OFFSET(Org_nast!Q18,Org_nast!$E$4,0,1,1)</f>
        <v>0.13043095639943741</v>
      </c>
      <c r="O21" s="133">
        <f ca="1">OFFSET(Org_nast!R18,Org_nast!$E$4,0,1,1)</f>
        <v>0.87186468181442123</v>
      </c>
      <c r="P21" s="136"/>
      <c r="Q21" s="331">
        <f ca="1">OFFSET(Org_nast!S18,Org_nast!$E$4,0,1,1)</f>
        <v>47588.35</v>
      </c>
      <c r="R21" s="133">
        <f ca="1">OFFSET(Org_nast!T18,Org_nast!$E$4,0,1,1)</f>
        <v>0.20418823950810852</v>
      </c>
      <c r="S21" s="154"/>
      <c r="T21" s="310"/>
    </row>
    <row r="22" spans="2:20" s="475" customFormat="1" ht="12.6" customHeight="1" x14ac:dyDescent="0.2">
      <c r="B22" s="77">
        <f ca="1">IF(C22&lt;&gt;"",OFFSET(Org_nast!C19,Org_nast!$E$4,0,1,1),0)</f>
        <v>11</v>
      </c>
      <c r="C22" s="144" t="str">
        <f ca="1">OFFSET(Org_nast!J19,Org_nast!$E$4,0,1,1)</f>
        <v>Divadlo loutek Ostrava</v>
      </c>
      <c r="D22" s="145"/>
      <c r="E22" s="151">
        <f ca="1">OFFSET(Org_nast!K19,Org_nast!$E$4,0,1,1)</f>
        <v>91.461635558804801</v>
      </c>
      <c r="F22" s="305" t="str">
        <f ca="1">IF(ISERROR(VLOOKUP(E22,vstupy!$B$41:$C$50,2,1)),"",VLOOKUP(E22,vstupy!$B$41:$C$50,2,1))</f>
        <v>A+</v>
      </c>
      <c r="G22" s="145"/>
      <c r="H22" s="325">
        <f ca="1">OFFSET(Org_nast!L19,Org_nast!$E$4,0,1,1)</f>
        <v>3772470</v>
      </c>
      <c r="I22" s="326">
        <f ca="1">OFFSET(Org_nast!M19,Org_nast!$E$4,0,1,1)</f>
        <v>2965795.3200000003</v>
      </c>
      <c r="J22" s="133">
        <f ca="1">OFFSET(Org_nast!N19,Org_nast!$E$4,0,1,1)</f>
        <v>0.78616803314539285</v>
      </c>
      <c r="K22" s="134"/>
      <c r="L22" s="135">
        <f ca="1">OFFSET(Org_nast!O19,Org_nast!$E$4,0,1,1)</f>
        <v>0.23641056672313276</v>
      </c>
      <c r="M22" s="329">
        <f ca="1">OFFSET(Org_nast!P19,Org_nast!$E$4,0,1,1)</f>
        <v>775215.9</v>
      </c>
      <c r="N22" s="313">
        <f ca="1">OFFSET(Org_nast!Q19,Org_nast!$E$4,0,1,1)</f>
        <v>0.20549292638510047</v>
      </c>
      <c r="O22" s="133">
        <f ca="1">OFFSET(Org_nast!R19,Org_nast!$E$4,0,1,1)</f>
        <v>0.86922056502558609</v>
      </c>
      <c r="P22" s="136"/>
      <c r="Q22" s="331">
        <f ca="1">OFFSET(Org_nast!S19,Org_nast!$E$4,0,1,1)</f>
        <v>440979.76999999996</v>
      </c>
      <c r="R22" s="133">
        <f ca="1">OFFSET(Org_nast!T19,Org_nast!$E$4,0,1,1)</f>
        <v>0.3625894918701692</v>
      </c>
      <c r="S22" s="154"/>
      <c r="T22" s="310"/>
    </row>
    <row r="23" spans="2:20" s="475" customFormat="1" ht="12.6" customHeight="1" x14ac:dyDescent="0.2">
      <c r="B23" s="77">
        <f ca="1">IF(C23&lt;&gt;"",OFFSET(Org_nast!C20,Org_nast!$E$4,0,1,1),0)</f>
        <v>12</v>
      </c>
      <c r="C23" s="144" t="str">
        <f ca="1">OFFSET(Org_nast!J20,Org_nast!$E$4,0,1,1)</f>
        <v>Domov Čujkovova</v>
      </c>
      <c r="D23" s="145"/>
      <c r="E23" s="151">
        <f ca="1">OFFSET(Org_nast!K20,Org_nast!$E$4,0,1,1)</f>
        <v>90.840293808235657</v>
      </c>
      <c r="F23" s="305" t="str">
        <f ca="1">IF(ISERROR(VLOOKUP(E23,vstupy!$B$41:$C$50,2,1)),"",VLOOKUP(E23,vstupy!$B$41:$C$50,2,1))</f>
        <v>A+</v>
      </c>
      <c r="G23" s="145"/>
      <c r="H23" s="325">
        <f ca="1">OFFSET(Org_nast!L20,Org_nast!$E$4,0,1,1)</f>
        <v>9981000</v>
      </c>
      <c r="I23" s="326">
        <f ca="1">OFFSET(Org_nast!M20,Org_nast!$E$4,0,1,1)</f>
        <v>6156339.4500000002</v>
      </c>
      <c r="J23" s="133">
        <f ca="1">OFFSET(Org_nast!N20,Org_nast!$E$4,0,1,1)</f>
        <v>0.61680587616471294</v>
      </c>
      <c r="K23" s="134"/>
      <c r="L23" s="135">
        <f ca="1">OFFSET(Org_nast!O20,Org_nast!$E$4,0,1,1)</f>
        <v>0.39</v>
      </c>
      <c r="M23" s="329">
        <f ca="1">OFFSET(Org_nast!P20,Org_nast!$E$4,0,1,1)</f>
        <v>4662381.7300000004</v>
      </c>
      <c r="N23" s="313">
        <f ca="1">OFFSET(Org_nast!Q20,Org_nast!$E$4,0,1,1)</f>
        <v>0.46712571185251983</v>
      </c>
      <c r="O23" s="133">
        <f ca="1">OFFSET(Org_nast!R20,Org_nast!$E$4,0,1,1)</f>
        <v>1.1977582355192815</v>
      </c>
      <c r="P23" s="136"/>
      <c r="Q23" s="331">
        <f ca="1">OFFSET(Org_nast!S20,Org_nast!$E$4,0,1,1)</f>
        <v>1392646.13</v>
      </c>
      <c r="R23" s="133">
        <f ca="1">OFFSET(Org_nast!T20,Org_nast!$E$4,0,1,1)</f>
        <v>0.22999830260070839</v>
      </c>
      <c r="S23" s="154"/>
      <c r="T23" s="310"/>
    </row>
    <row r="24" spans="2:20" s="475" customFormat="1" ht="12.6" customHeight="1" x14ac:dyDescent="0.2">
      <c r="B24" s="77">
        <f ca="1">IF(C24&lt;&gt;"",OFFSET(Org_nast!C21,Org_nast!$E$4,0,1,1),0)</f>
        <v>13</v>
      </c>
      <c r="C24" s="144" t="str">
        <f ca="1">OFFSET(Org_nast!J21,Org_nast!$E$4,0,1,1)</f>
        <v>ZŠ MO a Přívoz, Matiční</v>
      </c>
      <c r="D24" s="145"/>
      <c r="E24" s="151">
        <f ca="1">OFFSET(Org_nast!K21,Org_nast!$E$4,0,1,1)</f>
        <v>90.365100705580502</v>
      </c>
      <c r="F24" s="305" t="str">
        <f ca="1">IF(ISERROR(VLOOKUP(E24,vstupy!$B$41:$C$50,2,1)),"",VLOOKUP(E24,vstupy!$B$41:$C$50,2,1))</f>
        <v>A+</v>
      </c>
      <c r="G24" s="145"/>
      <c r="H24" s="325">
        <f ca="1">OFFSET(Org_nast!L21,Org_nast!$E$4,0,1,1)</f>
        <v>5456500</v>
      </c>
      <c r="I24" s="326">
        <f ca="1">OFFSET(Org_nast!M21,Org_nast!$E$4,0,1,1)</f>
        <v>3313743.44</v>
      </c>
      <c r="J24" s="133">
        <f ca="1">OFFSET(Org_nast!N21,Org_nast!$E$4,0,1,1)</f>
        <v>0.60730201411161</v>
      </c>
      <c r="K24" s="137"/>
      <c r="L24" s="135">
        <f ca="1">OFFSET(Org_nast!O21,Org_nast!$E$4,0,1,1)</f>
        <v>0.32140000000000002</v>
      </c>
      <c r="M24" s="329">
        <f ca="1">OFFSET(Org_nast!P21,Org_nast!$E$4,0,1,1)</f>
        <v>2476886.71</v>
      </c>
      <c r="N24" s="313">
        <f ca="1">OFFSET(Org_nast!Q21,Org_nast!$E$4,0,1,1)</f>
        <v>0.45393323742325664</v>
      </c>
      <c r="O24" s="133">
        <f ca="1">OFFSET(Org_nast!R21,Org_nast!$E$4,0,1,1)</f>
        <v>1.4123622819640842</v>
      </c>
      <c r="P24" s="136"/>
      <c r="Q24" s="331">
        <f ca="1">OFFSET(Org_nast!S21,Org_nast!$E$4,0,1,1)</f>
        <v>632618.54</v>
      </c>
      <c r="R24" s="133">
        <f ca="1">OFFSET(Org_nast!T21,Org_nast!$E$4,0,1,1)</f>
        <v>0.20344668657497847</v>
      </c>
      <c r="S24" s="154"/>
      <c r="T24" s="310"/>
    </row>
    <row r="25" spans="2:20" s="475" customFormat="1" ht="12.6" customHeight="1" x14ac:dyDescent="0.2">
      <c r="B25" s="77">
        <f ca="1">IF(C25&lt;&gt;"",OFFSET(Org_nast!C22,Org_nast!$E$4,0,1,1),0)</f>
        <v>14</v>
      </c>
      <c r="C25" s="144" t="str">
        <f ca="1">OFFSET(Org_nast!J22,Org_nast!$E$4,0,1,1)</f>
        <v>ZŠ a MŠ O-Hrabůvka, Krestova</v>
      </c>
      <c r="D25" s="145"/>
      <c r="E25" s="151">
        <f ca="1">OFFSET(Org_nast!K22,Org_nast!$E$4,0,1,1)</f>
        <v>90.246264576919486</v>
      </c>
      <c r="F25" s="305" t="str">
        <f ca="1">IF(ISERROR(VLOOKUP(E25,vstupy!$B$41:$C$50,2,1)),"",VLOOKUP(E25,vstupy!$B$41:$C$50,2,1))</f>
        <v>A+</v>
      </c>
      <c r="G25" s="145"/>
      <c r="H25" s="325">
        <f ca="1">OFFSET(Org_nast!L22,Org_nast!$E$4,0,1,1)</f>
        <v>3215700</v>
      </c>
      <c r="I25" s="326">
        <f ca="1">OFFSET(Org_nast!M22,Org_nast!$E$4,0,1,1)</f>
        <v>1945258.26</v>
      </c>
      <c r="J25" s="133">
        <f ca="1">OFFSET(Org_nast!N22,Org_nast!$E$4,0,1,1)</f>
        <v>0.60492529153838981</v>
      </c>
      <c r="K25" s="137"/>
      <c r="L25" s="135">
        <f ca="1">OFFSET(Org_nast!O22,Org_nast!$E$4,0,1,1)</f>
        <v>0.23280000000000001</v>
      </c>
      <c r="M25" s="329">
        <f ca="1">OFFSET(Org_nast!P22,Org_nast!$E$4,0,1,1)</f>
        <v>1100474.3599999999</v>
      </c>
      <c r="N25" s="313">
        <f ca="1">OFFSET(Org_nast!Q22,Org_nast!$E$4,0,1,1)</f>
        <v>0.34221922443013958</v>
      </c>
      <c r="O25" s="133">
        <f ca="1">OFFSET(Org_nast!R22,Org_nast!$E$4,0,1,1)</f>
        <v>1.4700138506449294</v>
      </c>
      <c r="P25" s="136"/>
      <c r="Q25" s="331">
        <f ca="1">OFFSET(Org_nast!S22,Org_nast!$E$4,0,1,1)</f>
        <v>172295.38999999998</v>
      </c>
      <c r="R25" s="133">
        <f ca="1">OFFSET(Org_nast!T22,Org_nast!$E$4,0,1,1)</f>
        <v>0.13537043129756973</v>
      </c>
      <c r="S25" s="154"/>
      <c r="T25" s="310"/>
    </row>
    <row r="26" spans="2:20" s="475" customFormat="1" ht="12.6" customHeight="1" x14ac:dyDescent="0.2">
      <c r="B26" s="77">
        <f ca="1">IF(C26&lt;&gt;"",OFFSET(Org_nast!C23,Org_nast!$E$4,0,1,1),0)</f>
        <v>15</v>
      </c>
      <c r="C26" s="144" t="str">
        <f ca="1">OFFSET(Org_nast!J23,Org_nast!$E$4,0,1,1)</f>
        <v>ZŠ O-Poruba, Dětská</v>
      </c>
      <c r="D26" s="145"/>
      <c r="E26" s="151">
        <f ca="1">OFFSET(Org_nast!K23,Org_nast!$E$4,0,1,1)</f>
        <v>87.996279132791329</v>
      </c>
      <c r="F26" s="305" t="str">
        <f ca="1">IF(ISERROR(VLOOKUP(E26,vstupy!$B$41:$C$50,2,1)),"",VLOOKUP(E26,vstupy!$B$41:$C$50,2,1))</f>
        <v>A+</v>
      </c>
      <c r="G26" s="145"/>
      <c r="H26" s="325">
        <f ca="1">OFFSET(Org_nast!L23,Org_nast!$E$4,0,1,1)</f>
        <v>922500</v>
      </c>
      <c r="I26" s="326">
        <f ca="1">OFFSET(Org_nast!M23,Org_nast!$E$4,0,1,1)</f>
        <v>516531.35</v>
      </c>
      <c r="J26" s="133">
        <f ca="1">OFFSET(Org_nast!N23,Org_nast!$E$4,0,1,1)</f>
        <v>0.55992558265582648</v>
      </c>
      <c r="K26" s="137"/>
      <c r="L26" s="135">
        <f ca="1">OFFSET(Org_nast!O23,Org_nast!$E$4,0,1,1)</f>
        <v>6.4199999999999993E-2</v>
      </c>
      <c r="M26" s="329">
        <f ca="1">OFFSET(Org_nast!P23,Org_nast!$E$4,0,1,1)</f>
        <v>66660.67</v>
      </c>
      <c r="N26" s="313">
        <f ca="1">OFFSET(Org_nast!Q23,Org_nast!$E$4,0,1,1)</f>
        <v>7.2260888888888888E-2</v>
      </c>
      <c r="O26" s="133">
        <f ca="1">OFFSET(Org_nast!R23,Org_nast!$E$4,0,1,1)</f>
        <v>1.1255590169608862</v>
      </c>
      <c r="P26" s="136"/>
      <c r="Q26" s="331">
        <f ca="1">OFFSET(Org_nast!S23,Org_nast!$E$4,0,1,1)</f>
        <v>42526.670000000006</v>
      </c>
      <c r="R26" s="133">
        <f ca="1">OFFSET(Org_nast!T23,Org_nast!$E$4,0,1,1)</f>
        <v>0.38948352437196482</v>
      </c>
      <c r="S26" s="154"/>
      <c r="T26" s="310"/>
    </row>
    <row r="27" spans="2:20" s="475" customFormat="1" ht="12.6" customHeight="1" x14ac:dyDescent="0.2">
      <c r="B27" s="77">
        <f ca="1">IF(C27&lt;&gt;"",OFFSET(Org_nast!C24,Org_nast!$E$4,0,1,1),0)</f>
        <v>16</v>
      </c>
      <c r="C27" s="144" t="str">
        <f ca="1">OFFSET(Org_nast!J24,Org_nast!$E$4,0,1,1)</f>
        <v>MŠ Harmonie, O-Hrabůvka</v>
      </c>
      <c r="D27" s="145"/>
      <c r="E27" s="151">
        <f ca="1">OFFSET(Org_nast!K24,Org_nast!$E$4,0,1,1)</f>
        <v>87.804668235347151</v>
      </c>
      <c r="F27" s="305" t="str">
        <f ca="1">IF(ISERROR(VLOOKUP(E27,vstupy!$B$41:$C$50,2,1)),"",VLOOKUP(E27,vstupy!$B$41:$C$50,2,1))</f>
        <v>A+</v>
      </c>
      <c r="G27" s="145"/>
      <c r="H27" s="325">
        <f ca="1">OFFSET(Org_nast!L24,Org_nast!$E$4,0,1,1)</f>
        <v>1701700</v>
      </c>
      <c r="I27" s="326">
        <f ca="1">OFFSET(Org_nast!M24,Org_nast!$E$4,0,1,1)</f>
        <v>1144653.5899999999</v>
      </c>
      <c r="J27" s="133">
        <f ca="1">OFFSET(Org_nast!N24,Org_nast!$E$4,0,1,1)</f>
        <v>0.67265298818828223</v>
      </c>
      <c r="K27" s="137"/>
      <c r="L27" s="135">
        <f ca="1">OFFSET(Org_nast!O24,Org_nast!$E$4,0,1,1)</f>
        <v>0.21279999999999999</v>
      </c>
      <c r="M27" s="329">
        <f ca="1">OFFSET(Org_nast!P24,Org_nast!$E$4,0,1,1)</f>
        <v>326947.78000000003</v>
      </c>
      <c r="N27" s="313">
        <f ca="1">OFFSET(Org_nast!Q24,Org_nast!$E$4,0,1,1)</f>
        <v>0.19213009343597581</v>
      </c>
      <c r="O27" s="133">
        <f ca="1">OFFSET(Org_nast!R24,Org_nast!$E$4,0,1,1)</f>
        <v>0.90286698043221714</v>
      </c>
      <c r="P27" s="136"/>
      <c r="Q27" s="331">
        <f ca="1">OFFSET(Org_nast!S24,Org_nast!$E$4,0,1,1)</f>
        <v>110690.97</v>
      </c>
      <c r="R27" s="133">
        <f ca="1">OFFSET(Org_nast!T24,Org_nast!$E$4,0,1,1)</f>
        <v>0.25292771720968493</v>
      </c>
      <c r="S27" s="154"/>
      <c r="T27" s="310"/>
    </row>
    <row r="28" spans="2:20" s="475" customFormat="1" ht="12.6" customHeight="1" x14ac:dyDescent="0.2">
      <c r="B28" s="77">
        <f ca="1">IF(C28&lt;&gt;"",OFFSET(Org_nast!C25,Org_nast!$E$4,0,1,1),0)</f>
        <v>17</v>
      </c>
      <c r="C28" s="144" t="str">
        <f ca="1">OFFSET(Org_nast!J25,Org_nast!$E$4,0,1,1)</f>
        <v>MŠ O-Poruba, J.Šoupala</v>
      </c>
      <c r="D28" s="145"/>
      <c r="E28" s="151">
        <f ca="1">OFFSET(Org_nast!K25,Org_nast!$E$4,0,1,1)</f>
        <v>85.438929840142094</v>
      </c>
      <c r="F28" s="305" t="str">
        <f ca="1">IF(ISERROR(VLOOKUP(E28,vstupy!$B$41:$C$50,2,1)),"",VLOOKUP(E28,vstupy!$B$41:$C$50,2,1))</f>
        <v>A+</v>
      </c>
      <c r="G28" s="145"/>
      <c r="H28" s="325">
        <f ca="1">OFFSET(Org_nast!L25,Org_nast!$E$4,0,1,1)</f>
        <v>1689000</v>
      </c>
      <c r="I28" s="326">
        <f ca="1">OFFSET(Org_nast!M25,Org_nast!$E$4,0,1,1)</f>
        <v>859327.05</v>
      </c>
      <c r="J28" s="133">
        <f ca="1">OFFSET(Org_nast!N25,Org_nast!$E$4,0,1,1)</f>
        <v>0.50877859680284199</v>
      </c>
      <c r="K28" s="137"/>
      <c r="L28" s="135">
        <f ca="1">OFFSET(Org_nast!O25,Org_nast!$E$4,0,1,1)</f>
        <v>0.24890000000000001</v>
      </c>
      <c r="M28" s="329">
        <f ca="1">OFFSET(Org_nast!P25,Org_nast!$E$4,0,1,1)</f>
        <v>514108.32</v>
      </c>
      <c r="N28" s="313">
        <f ca="1">OFFSET(Org_nast!Q25,Org_nast!$E$4,0,1,1)</f>
        <v>0.30438621669626997</v>
      </c>
      <c r="O28" s="133">
        <f ca="1">OFFSET(Org_nast!R25,Org_nast!$E$4,0,1,1)</f>
        <v>1.2229257400412614</v>
      </c>
      <c r="P28" s="136"/>
      <c r="Q28" s="331">
        <f ca="1">OFFSET(Org_nast!S25,Org_nast!$E$4,0,1,1)</f>
        <v>107894.57</v>
      </c>
      <c r="R28" s="133">
        <f ca="1">OFFSET(Org_nast!T25,Org_nast!$E$4,0,1,1)</f>
        <v>0.17346313294460738</v>
      </c>
      <c r="S28" s="154"/>
      <c r="T28" s="310"/>
    </row>
    <row r="29" spans="2:20" s="475" customFormat="1" ht="12.6" customHeight="1" x14ac:dyDescent="0.2">
      <c r="B29" s="77">
        <f ca="1">IF(C29&lt;&gt;"",OFFSET(Org_nast!C26,Org_nast!$E$4,0,1,1),0)</f>
        <v>18</v>
      </c>
      <c r="C29" s="144" t="str">
        <f ca="1">OFFSET(Org_nast!J26,Org_nast!$E$4,0,1,1)</f>
        <v>Domov Sluníčko</v>
      </c>
      <c r="D29" s="145"/>
      <c r="E29" s="151">
        <f ca="1">OFFSET(Org_nast!K26,Org_nast!$E$4,0,1,1)</f>
        <v>85.090595546493248</v>
      </c>
      <c r="F29" s="305" t="str">
        <f ca="1">IF(ISERROR(VLOOKUP(E29,vstupy!$B$41:$C$50,2,1)),"",VLOOKUP(E29,vstupy!$B$41:$C$50,2,1))</f>
        <v>A+</v>
      </c>
      <c r="G29" s="145"/>
      <c r="H29" s="325">
        <f ca="1">OFFSET(Org_nast!L26,Org_nast!$E$4,0,1,1)</f>
        <v>7952000</v>
      </c>
      <c r="I29" s="326">
        <f ca="1">OFFSET(Org_nast!M26,Org_nast!$E$4,0,1,1)</f>
        <v>5453188.5800000001</v>
      </c>
      <c r="J29" s="133">
        <f ca="1">OFFSET(Org_nast!N26,Org_nast!$E$4,0,1,1)</f>
        <v>0.68576315140845068</v>
      </c>
      <c r="K29" s="137"/>
      <c r="L29" s="135">
        <f ca="1">OFFSET(Org_nast!O26,Org_nast!$E$4,0,1,1)</f>
        <v>0.56000000000000005</v>
      </c>
      <c r="M29" s="329">
        <f ca="1">OFFSET(Org_nast!P26,Org_nast!$E$4,0,1,1)</f>
        <v>3770489.21</v>
      </c>
      <c r="N29" s="313">
        <f ca="1">OFFSET(Org_nast!Q26,Org_nast!$E$4,0,1,1)</f>
        <v>0.47415608777665996</v>
      </c>
      <c r="O29" s="133">
        <f ca="1">OFFSET(Org_nast!R26,Org_nast!$E$4,0,1,1)</f>
        <v>0.84670729960117852</v>
      </c>
      <c r="P29" s="136"/>
      <c r="Q29" s="331">
        <f ca="1">OFFSET(Org_nast!S26,Org_nast!$E$4,0,1,1)</f>
        <v>1155040.6399999999</v>
      </c>
      <c r="R29" s="133">
        <f ca="1">OFFSET(Org_nast!T26,Org_nast!$E$4,0,1,1)</f>
        <v>0.23450078979827926</v>
      </c>
      <c r="S29" s="154"/>
      <c r="T29" s="310"/>
    </row>
    <row r="30" spans="2:20" s="475" customFormat="1" ht="12.6" customHeight="1" x14ac:dyDescent="0.2">
      <c r="B30" s="77">
        <f ca="1">IF(C30&lt;&gt;"",OFFSET(Org_nast!C27,Org_nast!$E$4,0,1,1),0)</f>
        <v>19</v>
      </c>
      <c r="C30" s="144" t="str">
        <f ca="1">OFFSET(Org_nast!J27,Org_nast!$E$4,0,1,1)</f>
        <v>ZŠ Ostrava, Gen.Píky</v>
      </c>
      <c r="D30" s="145"/>
      <c r="E30" s="151">
        <f ca="1">OFFSET(Org_nast!K27,Org_nast!$E$4,0,1,1)</f>
        <v>84.713534273467332</v>
      </c>
      <c r="F30" s="305" t="str">
        <f ca="1">IF(ISERROR(VLOOKUP(E30,vstupy!$B$41:$C$50,2,1)),"",VLOOKUP(E30,vstupy!$B$41:$C$50,2,1))</f>
        <v>A</v>
      </c>
      <c r="G30" s="145"/>
      <c r="H30" s="325">
        <f ca="1">OFFSET(Org_nast!L27,Org_nast!$E$4,0,1,1)</f>
        <v>2644000</v>
      </c>
      <c r="I30" s="326">
        <f ca="1">OFFSET(Org_nast!M27,Org_nast!$E$4,0,1,1)</f>
        <v>1913030.74</v>
      </c>
      <c r="J30" s="133">
        <f ca="1">OFFSET(Org_nast!N27,Org_nast!$E$4,0,1,1)</f>
        <v>0.72353658850226932</v>
      </c>
      <c r="K30" s="137"/>
      <c r="L30" s="135">
        <f ca="1">OFFSET(Org_nast!O27,Org_nast!$E$4,0,1,1)</f>
        <v>5.04E-2</v>
      </c>
      <c r="M30" s="329">
        <f ca="1">OFFSET(Org_nast!P27,Org_nast!$E$4,0,1,1)</f>
        <v>107798.08</v>
      </c>
      <c r="N30" s="313">
        <f ca="1">OFFSET(Org_nast!Q27,Org_nast!$E$4,0,1,1)</f>
        <v>4.0770832072617245E-2</v>
      </c>
      <c r="O30" s="133">
        <f ca="1">OFFSET(Org_nast!R27,Org_nast!$E$4,0,1,1)</f>
        <v>0.80894508080589778</v>
      </c>
      <c r="P30" s="136"/>
      <c r="Q30" s="331">
        <f ca="1">OFFSET(Org_nast!S27,Org_nast!$E$4,0,1,1)</f>
        <v>85783</v>
      </c>
      <c r="R30" s="133">
        <f ca="1">OFFSET(Org_nast!T27,Org_nast!$E$4,0,1,1)</f>
        <v>0.4431373148656883</v>
      </c>
      <c r="S30" s="154"/>
      <c r="T30" s="310"/>
    </row>
    <row r="31" spans="2:20" s="475" customFormat="1" ht="12.6" customHeight="1" x14ac:dyDescent="0.2">
      <c r="B31" s="77">
        <f ca="1">IF(C31&lt;&gt;"",OFFSET(Org_nast!C28,Org_nast!$E$4,0,1,1),0)</f>
        <v>20</v>
      </c>
      <c r="C31" s="144" t="str">
        <f ca="1">OFFSET(Org_nast!J28,Org_nast!$E$4,0,1,1)</f>
        <v>MŠ O-Poruba, Ukrajinská</v>
      </c>
      <c r="D31" s="145"/>
      <c r="E31" s="151">
        <f ca="1">OFFSET(Org_nast!K28,Org_nast!$E$4,0,1,1)</f>
        <v>84.686104276473031</v>
      </c>
      <c r="F31" s="305" t="str">
        <f ca="1">IF(ISERROR(VLOOKUP(E31,vstupy!$B$41:$C$50,2,1)),"",VLOOKUP(E31,vstupy!$B$41:$C$50,2,1))</f>
        <v>A</v>
      </c>
      <c r="G31" s="145"/>
      <c r="H31" s="325">
        <f ca="1">OFFSET(Org_nast!L28,Org_nast!$E$4,0,1,1)</f>
        <v>971195</v>
      </c>
      <c r="I31" s="326">
        <f ca="1">OFFSET(Org_nast!M28,Org_nast!$E$4,0,1,1)</f>
        <v>709950.76</v>
      </c>
      <c r="J31" s="133">
        <f ca="1">OFFSET(Org_nast!N28,Org_nast!$E$4,0,1,1)</f>
        <v>0.73100742899211801</v>
      </c>
      <c r="K31" s="137"/>
      <c r="L31" s="135">
        <f ca="1">OFFSET(Org_nast!O28,Org_nast!$E$4,0,1,1)</f>
        <v>0.25240000000000001</v>
      </c>
      <c r="M31" s="329">
        <f ca="1">OFFSET(Org_nast!P28,Org_nast!$E$4,0,1,1)</f>
        <v>196658.23</v>
      </c>
      <c r="N31" s="313">
        <f ca="1">OFFSET(Org_nast!Q28,Org_nast!$E$4,0,1,1)</f>
        <v>0.20249098275835442</v>
      </c>
      <c r="O31" s="133">
        <f ca="1">OFFSET(Org_nast!R28,Org_nast!$E$4,0,1,1)</f>
        <v>0.80226221378111884</v>
      </c>
      <c r="P31" s="136"/>
      <c r="Q31" s="331">
        <f ca="1">OFFSET(Org_nast!S28,Org_nast!$E$4,0,1,1)</f>
        <v>49348.52</v>
      </c>
      <c r="R31" s="133">
        <f ca="1">OFFSET(Org_nast!T28,Org_nast!$E$4,0,1,1)</f>
        <v>0.20059823561751861</v>
      </c>
      <c r="S31" s="154"/>
      <c r="T31" s="310"/>
    </row>
    <row r="32" spans="2:20" s="475" customFormat="1" ht="12.6" customHeight="1" x14ac:dyDescent="0.2">
      <c r="B32" s="77">
        <f ca="1">IF(C32&lt;&gt;"",OFFSET(Org_nast!C29,Org_nast!$E$4,0,1,1),0)</f>
        <v>21</v>
      </c>
      <c r="C32" s="144" t="str">
        <f ca="1">OFFSET(Org_nast!J29,Org_nast!$E$4,0,1,1)</f>
        <v>MŠ O-Poruba, V.Makovského</v>
      </c>
      <c r="D32" s="145"/>
      <c r="E32" s="151">
        <f ca="1">OFFSET(Org_nast!K29,Org_nast!$E$4,0,1,1)</f>
        <v>84.180122936120213</v>
      </c>
      <c r="F32" s="305" t="str">
        <f ca="1">IF(ISERROR(VLOOKUP(E32,vstupy!$B$41:$C$50,2,1)),"",VLOOKUP(E32,vstupy!$B$41:$C$50,2,1))</f>
        <v>A</v>
      </c>
      <c r="G32" s="145"/>
      <c r="H32" s="325">
        <f ca="1">OFFSET(Org_nast!L29,Org_nast!$E$4,0,1,1)</f>
        <v>1177500</v>
      </c>
      <c r="I32" s="326">
        <f ca="1">OFFSET(Org_nast!M29,Org_nast!$E$4,0,1,1)</f>
        <v>1321169.6099999999</v>
      </c>
      <c r="J32" s="133">
        <f ca="1">OFFSET(Org_nast!N29,Org_nast!$E$4,0,1,1)</f>
        <v>1.122012407643312</v>
      </c>
      <c r="K32" s="137"/>
      <c r="L32" s="135">
        <f ca="1">OFFSET(Org_nast!O29,Org_nast!$E$4,0,1,1)</f>
        <v>0.25750000000000001</v>
      </c>
      <c r="M32" s="329">
        <f ca="1">OFFSET(Org_nast!P29,Org_nast!$E$4,0,1,1)</f>
        <v>223261.49</v>
      </c>
      <c r="N32" s="313">
        <f ca="1">OFFSET(Org_nast!Q29,Org_nast!$E$4,0,1,1)</f>
        <v>0.18960636093418259</v>
      </c>
      <c r="O32" s="133">
        <f ca="1">OFFSET(Org_nast!R29,Org_nast!$E$4,0,1,1)</f>
        <v>0.73633538226867024</v>
      </c>
      <c r="P32" s="136"/>
      <c r="Q32" s="331">
        <f ca="1">OFFSET(Org_nast!S29,Org_nast!$E$4,0,1,1)</f>
        <v>81234.47</v>
      </c>
      <c r="R32" s="133">
        <f ca="1">OFFSET(Org_nast!T29,Org_nast!$E$4,0,1,1)</f>
        <v>0.26678340822649999</v>
      </c>
      <c r="S32" s="154"/>
      <c r="T32" s="310"/>
    </row>
    <row r="33" spans="1:22" s="475" customFormat="1" ht="12.6" customHeight="1" x14ac:dyDescent="0.2">
      <c r="B33" s="77">
        <f ca="1">IF(C33&lt;&gt;"",OFFSET(Org_nast!C30,Org_nast!$E$4,0,1,1),0)</f>
        <v>22</v>
      </c>
      <c r="C33" s="144" t="str">
        <f ca="1">OFFSET(Org_nast!J30,Org_nast!$E$4,0,1,1)</f>
        <v>ZŠ O-Poruba, Komenského</v>
      </c>
      <c r="D33" s="145"/>
      <c r="E33" s="151">
        <f ca="1">OFFSET(Org_nast!K30,Org_nast!$E$4,0,1,1)</f>
        <v>83.715842406674199</v>
      </c>
      <c r="F33" s="305" t="str">
        <f ca="1">IF(ISERROR(VLOOKUP(E33,vstupy!$B$41:$C$50,2,1)),"",VLOOKUP(E33,vstupy!$B$41:$C$50,2,1))</f>
        <v>A</v>
      </c>
      <c r="G33" s="145"/>
      <c r="H33" s="325">
        <f ca="1">OFFSET(Org_nast!L30,Org_nast!$E$4,0,1,1)</f>
        <v>2432000</v>
      </c>
      <c r="I33" s="326">
        <f ca="1">OFFSET(Org_nast!M30,Org_nast!$E$4,0,1,1)</f>
        <v>2227584.44</v>
      </c>
      <c r="J33" s="133">
        <f ca="1">OFFSET(Org_nast!N30,Org_nast!$E$4,0,1,1)</f>
        <v>0.91594754934210521</v>
      </c>
      <c r="K33" s="137"/>
      <c r="L33" s="135">
        <f ca="1">OFFSET(Org_nast!O30,Org_nast!$E$4,0,1,1)</f>
        <v>0.17680000000000001</v>
      </c>
      <c r="M33" s="329">
        <f ca="1">OFFSET(Org_nast!P30,Org_nast!$E$4,0,1,1)</f>
        <v>313280.55</v>
      </c>
      <c r="N33" s="313">
        <f ca="1">OFFSET(Org_nast!Q30,Org_nast!$E$4,0,1,1)</f>
        <v>0.128816015625</v>
      </c>
      <c r="O33" s="133">
        <f ca="1">OFFSET(Org_nast!R30,Org_nast!$E$4,0,1,1)</f>
        <v>0.7285973734445701</v>
      </c>
      <c r="P33" s="136"/>
      <c r="Q33" s="331">
        <f ca="1">OFFSET(Org_nast!S30,Org_nast!$E$4,0,1,1)</f>
        <v>93802.68</v>
      </c>
      <c r="R33" s="133">
        <f ca="1">OFFSET(Org_nast!T30,Org_nast!$E$4,0,1,1)</f>
        <v>0.2304262939055485</v>
      </c>
      <c r="S33" s="154"/>
      <c r="T33" s="310"/>
    </row>
    <row r="34" spans="1:22" s="475" customFormat="1" ht="12.6" customHeight="1" x14ac:dyDescent="0.2">
      <c r="B34" s="77">
        <f ca="1">IF(C34&lt;&gt;"",OFFSET(Org_nast!C31,Org_nast!$E$4,0,1,1),0)</f>
        <v>23</v>
      </c>
      <c r="C34" s="144" t="str">
        <f ca="1">OFFSET(Org_nast!J31,Org_nast!$E$4,0,1,1)</f>
        <v>Centrum sociálních služeb Poruba</v>
      </c>
      <c r="D34" s="145"/>
      <c r="E34" s="151">
        <f ca="1">OFFSET(Org_nast!K31,Org_nast!$E$4,0,1,1)</f>
        <v>83.221939367487295</v>
      </c>
      <c r="F34" s="305" t="str">
        <f ca="1">IF(ISERROR(VLOOKUP(E34,vstupy!$B$41:$C$50,2,1)),"",VLOOKUP(E34,vstupy!$B$41:$C$50,2,1))</f>
        <v>A</v>
      </c>
      <c r="G34" s="145"/>
      <c r="H34" s="325">
        <f ca="1">OFFSET(Org_nast!L31,Org_nast!$E$4,0,1,1)</f>
        <v>2019750</v>
      </c>
      <c r="I34" s="326">
        <f ca="1">OFFSET(Org_nast!M31,Org_nast!$E$4,0,1,1)</f>
        <v>1451181.7400000002</v>
      </c>
      <c r="J34" s="133">
        <f ca="1">OFFSET(Org_nast!N31,Org_nast!$E$4,0,1,1)</f>
        <v>0.71849572471840584</v>
      </c>
      <c r="K34" s="137"/>
      <c r="L34" s="135">
        <f ca="1">OFFSET(Org_nast!O31,Org_nast!$E$4,0,1,1)</f>
        <v>0.14353952548280566</v>
      </c>
      <c r="M34" s="329">
        <f ca="1">OFFSET(Org_nast!P31,Org_nast!$E$4,0,1,1)</f>
        <v>228535.08000000002</v>
      </c>
      <c r="N34" s="313">
        <f ca="1">OFFSET(Org_nast!Q31,Org_nast!$E$4,0,1,1)</f>
        <v>0.11315018195321204</v>
      </c>
      <c r="O34" s="133">
        <f ca="1">OFFSET(Org_nast!R31,Org_nast!$E$4,0,1,1)</f>
        <v>0.78828588552611656</v>
      </c>
      <c r="P34" s="136"/>
      <c r="Q34" s="331">
        <f ca="1">OFFSET(Org_nast!S31,Org_nast!$E$4,0,1,1)</f>
        <v>55763.48</v>
      </c>
      <c r="R34" s="133">
        <f ca="1">OFFSET(Org_nast!T31,Org_nast!$E$4,0,1,1)</f>
        <v>0.19614408177093828</v>
      </c>
      <c r="S34" s="154"/>
      <c r="T34" s="310"/>
    </row>
    <row r="35" spans="1:22" s="475" customFormat="1" ht="12.6" customHeight="1" x14ac:dyDescent="0.2">
      <c r="B35" s="77">
        <f ca="1">IF(C35&lt;&gt;"",OFFSET(Org_nast!C32,Org_nast!$E$4,0,1,1),0)</f>
        <v>24</v>
      </c>
      <c r="C35" s="144" t="str">
        <f ca="1">OFFSET(Org_nast!J32,Org_nast!$E$4,0,1,1)</f>
        <v>Národní divadlo Moravskoslezské</v>
      </c>
      <c r="D35" s="145"/>
      <c r="E35" s="151">
        <f ca="1">OFFSET(Org_nast!K32,Org_nast!$E$4,0,1,1)</f>
        <v>83.071674701695315</v>
      </c>
      <c r="F35" s="305" t="str">
        <f ca="1">IF(ISERROR(VLOOKUP(E35,vstupy!$B$41:$C$50,2,1)),"",VLOOKUP(E35,vstupy!$B$41:$C$50,2,1))</f>
        <v>A</v>
      </c>
      <c r="G35" s="145"/>
      <c r="H35" s="325">
        <f ca="1">OFFSET(Org_nast!L32,Org_nast!$E$4,0,1,1)</f>
        <v>34298000</v>
      </c>
      <c r="I35" s="326">
        <f ca="1">OFFSET(Org_nast!M32,Org_nast!$E$4,0,1,1)</f>
        <v>26873820.669999998</v>
      </c>
      <c r="J35" s="133">
        <f ca="1">OFFSET(Org_nast!N32,Org_nast!$E$4,0,1,1)</f>
        <v>0.7835390013994985</v>
      </c>
      <c r="K35" s="137"/>
      <c r="L35" s="135">
        <f ca="1">OFFSET(Org_nast!O32,Org_nast!$E$4,0,1,1)</f>
        <v>9.8124220413000354E-2</v>
      </c>
      <c r="M35" s="329">
        <f ca="1">OFFSET(Org_nast!P32,Org_nast!$E$4,0,1,1)</f>
        <v>2462102.2999999998</v>
      </c>
      <c r="N35" s="313">
        <f ca="1">OFFSET(Org_nast!Q32,Org_nast!$E$4,0,1,1)</f>
        <v>7.1785593912181464E-2</v>
      </c>
      <c r="O35" s="133">
        <f ca="1">OFFSET(Org_nast!R32,Org_nast!$E$4,0,1,1)</f>
        <v>0.7315787438620065</v>
      </c>
      <c r="P35" s="136"/>
      <c r="Q35" s="331">
        <f ca="1">OFFSET(Org_nast!S32,Org_nast!$E$4,0,1,1)</f>
        <v>1159910.2400000002</v>
      </c>
      <c r="R35" s="133">
        <f ca="1">OFFSET(Org_nast!T32,Org_nast!$E$4,0,1,1)</f>
        <v>0.3202391563227443</v>
      </c>
      <c r="S35" s="154"/>
      <c r="T35" s="310"/>
    </row>
    <row r="36" spans="1:22" s="475" customFormat="1" ht="12.6" customHeight="1" x14ac:dyDescent="0.2">
      <c r="B36" s="78">
        <f ca="1">IF(C36&lt;&gt;"",OFFSET(Org_nast!C33,Org_nast!$E$4,0,1,1),0)</f>
        <v>25</v>
      </c>
      <c r="C36" s="146" t="str">
        <f ca="1">OFFSET(Org_nast!J33,Org_nast!$E$4,0,1,1)</f>
        <v>Krematorium Ostrava</v>
      </c>
      <c r="D36" s="147"/>
      <c r="E36" s="152">
        <f ca="1">OFFSET(Org_nast!K33,Org_nast!$E$4,0,1,1)</f>
        <v>82.88412829403606</v>
      </c>
      <c r="F36" s="306" t="str">
        <f ca="1">IF(ISERROR(VLOOKUP(E36,vstupy!$B$41:$C$50,2,1)),"",VLOOKUP(E36,vstupy!$B$41:$C$50,2,1))</f>
        <v>A</v>
      </c>
      <c r="G36" s="163"/>
      <c r="H36" s="327">
        <f ca="1">OFFSET(Org_nast!L33,Org_nast!$E$4,0,1,1)</f>
        <v>2163000</v>
      </c>
      <c r="I36" s="328">
        <f ca="1">OFFSET(Org_nast!M33,Org_nast!$E$4,0,1,1)</f>
        <v>1284539.71</v>
      </c>
      <c r="J36" s="138">
        <f ca="1">OFFSET(Org_nast!N33,Org_nast!$E$4,0,1,1)</f>
        <v>0.59386949144706425</v>
      </c>
      <c r="K36" s="139"/>
      <c r="L36" s="140">
        <f ca="1">OFFSET(Org_nast!O33,Org_nast!$E$4,0,1,1)</f>
        <v>0.3</v>
      </c>
      <c r="M36" s="330">
        <f ca="1">OFFSET(Org_nast!P33,Org_nast!$E$4,0,1,1)</f>
        <v>575256.92000000004</v>
      </c>
      <c r="N36" s="313">
        <f ca="1">OFFSET(Org_nast!Q33,Org_nast!$E$4,0,1,1)</f>
        <v>0.26595326860841428</v>
      </c>
      <c r="O36" s="138">
        <f ca="1">OFFSET(Org_nast!R33,Org_nast!$E$4,0,1,1)</f>
        <v>0.88651089536138084</v>
      </c>
      <c r="P36" s="141"/>
      <c r="Q36" s="332">
        <f ca="1">OFFSET(Org_nast!S33,Org_nast!$E$4,0,1,1)</f>
        <v>250329.66</v>
      </c>
      <c r="R36" s="138">
        <f ca="1">OFFSET(Org_nast!T33,Org_nast!$E$4,0,1,1)</f>
        <v>0.30321430370149666</v>
      </c>
      <c r="S36" s="155"/>
      <c r="T36" s="310"/>
    </row>
    <row r="37" spans="1:22" s="475" customFormat="1" ht="15.75" x14ac:dyDescent="0.2">
      <c r="D37" s="519" t="str">
        <f>IF(Org_nast!$E$4&lt;Org_nast!$E$5,"▼","")</f>
        <v>▼</v>
      </c>
      <c r="E37" s="477"/>
      <c r="F37" s="477"/>
      <c r="G37" s="477"/>
      <c r="K37" s="478" t="s">
        <v>458</v>
      </c>
      <c r="L37" s="479"/>
      <c r="M37" s="480" t="s">
        <v>457</v>
      </c>
      <c r="N37" s="481"/>
      <c r="O37" s="482"/>
      <c r="P37" s="483"/>
    </row>
    <row r="38" spans="1:22" s="475" customFormat="1" ht="12" x14ac:dyDescent="0.2">
      <c r="A38" s="476"/>
      <c r="B38" s="486" t="str">
        <f ca="1">IF(COUNTIF(C12:C36,"►")&gt;0,"Zvýrazněné organizace mají nastaven plán r.2012","")</f>
        <v/>
      </c>
      <c r="C38" s="484" t="str">
        <f ca="1">IF(ISERROR(SEARCH("►",CONCATENATE(C12,C13,C14,C15,C16,C17,C18,C19,C20,C21,C22,C23,C24,C25,C26,C27,C28,C29,C30,C31,C32,C33,C34,C35,C36))),"","Zvýrazněné organizace mají v plánu nastaven ►plán roku 2015 ")</f>
        <v/>
      </c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5"/>
      <c r="O38" s="484"/>
      <c r="P38" s="484"/>
      <c r="Q38" s="484"/>
      <c r="R38" s="484"/>
      <c r="S38" s="484"/>
      <c r="T38" s="484"/>
      <c r="U38" s="484"/>
      <c r="V38" s="484"/>
    </row>
  </sheetData>
  <sheetProtection sheet="1" objects="1" scenarios="1" selectLockedCells="1"/>
  <mergeCells count="25">
    <mergeCell ref="F5:G5"/>
    <mergeCell ref="I7:K7"/>
    <mergeCell ref="R10:S10"/>
    <mergeCell ref="Q8:T8"/>
    <mergeCell ref="R9:S9"/>
    <mergeCell ref="H5:J5"/>
    <mergeCell ref="Q5:S5"/>
    <mergeCell ref="J9:K9"/>
    <mergeCell ref="Q7:T7"/>
    <mergeCell ref="C4:H4"/>
    <mergeCell ref="B2:S2"/>
    <mergeCell ref="B3:S3"/>
    <mergeCell ref="L8:P8"/>
    <mergeCell ref="C5:D5"/>
    <mergeCell ref="H8:H9"/>
    <mergeCell ref="O9:P9"/>
    <mergeCell ref="B8:D10"/>
    <mergeCell ref="B7:D7"/>
    <mergeCell ref="E10:G10"/>
    <mergeCell ref="L5:O5"/>
    <mergeCell ref="E8:G9"/>
    <mergeCell ref="I8:K8"/>
    <mergeCell ref="O10:P10"/>
    <mergeCell ref="J10:K10"/>
    <mergeCell ref="L7:P7"/>
  </mergeCells>
  <phoneticPr fontId="4" type="noConversion"/>
  <conditionalFormatting sqref="H10:H36">
    <cfRule type="expression" dxfId="55" priority="5" stopIfTrue="1">
      <formula>OrgSortCriteria=2</formula>
    </cfRule>
  </conditionalFormatting>
  <conditionalFormatting sqref="O9:P36">
    <cfRule type="expression" dxfId="54" priority="17" stopIfTrue="1">
      <formula>OrgSortCriteria=8</formula>
    </cfRule>
  </conditionalFormatting>
  <conditionalFormatting sqref="Q9:Q36">
    <cfRule type="expression" dxfId="53" priority="20" stopIfTrue="1">
      <formula>OrgSortCriteria=9</formula>
    </cfRule>
  </conditionalFormatting>
  <conditionalFormatting sqref="L9:L36">
    <cfRule type="expression" dxfId="52" priority="8" stopIfTrue="1">
      <formula>OrgSortCriteria=5</formula>
    </cfRule>
  </conditionalFormatting>
  <conditionalFormatting sqref="E10:G36">
    <cfRule type="expression" dxfId="51" priority="4" stopIfTrue="1">
      <formula>OrgSortCriteria=1</formula>
    </cfRule>
  </conditionalFormatting>
  <conditionalFormatting sqref="E11:E36">
    <cfRule type="iconSet" priority="3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B12:C36">
    <cfRule type="containsText" dxfId="50" priority="2" operator="containsText" text="►">
      <formula>NOT(ISERROR(SEARCH("►",B12)))</formula>
    </cfRule>
  </conditionalFormatting>
  <conditionalFormatting sqref="N9:N36">
    <cfRule type="expression" dxfId="49" priority="12" stopIfTrue="1">
      <formula>OrgSortCriteria=7</formula>
    </cfRule>
  </conditionalFormatting>
  <dataValidations count="3">
    <dataValidation type="list" allowBlank="1" showInputMessage="1" showErrorMessage="1" sqref="H5">
      <formula1>vyber1</formula1>
    </dataValidation>
    <dataValidation type="list" allowBlank="1" showInputMessage="1" showErrorMessage="1" sqref="C5:D5">
      <formula1>vyber2</formula1>
    </dataValidation>
    <dataValidation type="list" allowBlank="1" showInputMessage="1" showErrorMessage="1" sqref="L5">
      <formula1>INDIRECT(H5)</formula1>
    </dataValidation>
  </dataValidations>
  <printOptions horizontalCentered="1"/>
  <pageMargins left="0.23622047244094491" right="0" top="0.55118110236220474" bottom="0.35433070866141736" header="0" footer="0"/>
  <pageSetup paperSize="9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Bar Liste">
              <controlPr defaultSize="0" print="0" autoPict="0">
                <anchor>
                  <from>
                    <xdr:col>2</xdr:col>
                    <xdr:colOff>1876425</xdr:colOff>
                    <xdr:row>10</xdr:row>
                    <xdr:rowOff>133350</xdr:rowOff>
                  </from>
                  <to>
                    <xdr:col>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01">
              <controlPr defaultSize="0" print="0" autoFill="0" autoLine="0" autoPict="0">
                <anchor moveWithCells="1">
                  <from>
                    <xdr:col>5</xdr:col>
                    <xdr:colOff>38100</xdr:colOff>
                    <xdr:row>10</xdr:row>
                    <xdr:rowOff>9525</xdr:rowOff>
                  </from>
                  <to>
                    <xdr:col>5</xdr:col>
                    <xdr:colOff>257175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print="0" autoFill="0" autoLine="0" autoPict="0">
                <anchor mov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533400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print="0" autoFill="0" autoLine="0" autoPict="0">
                <anchor moveWithCells="1">
                  <from>
                    <xdr:col>8</xdr:col>
                    <xdr:colOff>295275</xdr:colOff>
                    <xdr:row>10</xdr:row>
                    <xdr:rowOff>9525</xdr:rowOff>
                  </from>
                  <to>
                    <xdr:col>8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Option Button 6">
              <controlPr defaultSize="0" print="0" autoFill="0" autoLine="0" autoPict="0">
                <anchor moveWithCells="1">
                  <from>
                    <xdr:col>10</xdr:col>
                    <xdr:colOff>76200</xdr:colOff>
                    <xdr:row>10</xdr:row>
                    <xdr:rowOff>9525</xdr:rowOff>
                  </from>
                  <to>
                    <xdr:col>10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Option Button 7">
              <controlPr defaultSize="0" print="0" autoFill="0" autoLine="0" autoPict="0">
                <anchor moveWithCells="1">
                  <from>
                    <xdr:col>11</xdr:col>
                    <xdr:colOff>180975</xdr:colOff>
                    <xdr:row>10</xdr:row>
                    <xdr:rowOff>9525</xdr:rowOff>
                  </from>
                  <to>
                    <xdr:col>11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" name="Option Button 24">
              <controlPr defaultSize="0" print="0" autoFill="0" autoLine="0" autoPict="0">
                <anchor moveWithCells="1">
                  <from>
                    <xdr:col>12</xdr:col>
                    <xdr:colOff>295275</xdr:colOff>
                    <xdr:row>10</xdr:row>
                    <xdr:rowOff>9525</xdr:rowOff>
                  </from>
                  <to>
                    <xdr:col>12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1" name="Option Button 26">
              <controlPr defaultSize="0" print="0" autoFill="0" autoLine="0" autoPict="0">
                <anchor moveWithCells="1">
                  <from>
                    <xdr:col>13</xdr:col>
                    <xdr:colOff>171450</xdr:colOff>
                    <xdr:row>10</xdr:row>
                    <xdr:rowOff>9525</xdr:rowOff>
                  </from>
                  <to>
                    <xdr:col>13</xdr:col>
                    <xdr:colOff>390525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2" name="Option Button 100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10</xdr:row>
                    <xdr:rowOff>9525</xdr:rowOff>
                  </from>
                  <to>
                    <xdr:col>15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344" r:id="rId13" name="Option Button 1160">
              <controlPr defaultSize="0" print="0" autoFill="0" autoLine="0" autoPict="0">
                <anchor moveWithCells="1">
                  <from>
                    <xdr:col>16</xdr:col>
                    <xdr:colOff>285750</xdr:colOff>
                    <xdr:row>10</xdr:row>
                    <xdr:rowOff>9525</xdr:rowOff>
                  </from>
                  <to>
                    <xdr:col>16</xdr:col>
                    <xdr:colOff>504825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856" r:id="rId14" name="Option Button 1672">
              <controlPr defaultSize="0" print="0" autoFill="0" autoLine="0" autoPict="0">
                <anchor moveWithCells="1">
                  <from>
                    <xdr:col>18</xdr:col>
                    <xdr:colOff>76200</xdr:colOff>
                    <xdr:row>10</xdr:row>
                    <xdr:rowOff>9525</xdr:rowOff>
                  </from>
                  <to>
                    <xdr:col>18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7"/>
  <sheetViews>
    <sheetView showGridLines="0" showRowColHeaders="0" zoomScale="90" zoomScaleNormal="90" workbookViewId="0">
      <selection activeCell="B4" sqref="B4:B5"/>
    </sheetView>
  </sheetViews>
  <sheetFormatPr defaultColWidth="0" defaultRowHeight="0" customHeight="1" zeroHeight="1" x14ac:dyDescent="0.2"/>
  <cols>
    <col min="1" max="1" width="2.83203125" style="388" customWidth="1"/>
    <col min="2" max="2" width="32.33203125" style="388" customWidth="1"/>
    <col min="3" max="3" width="1" style="388" customWidth="1"/>
    <col min="4" max="5" width="24.83203125" style="388" customWidth="1"/>
    <col min="6" max="6" width="1" style="388" customWidth="1"/>
    <col min="7" max="8" width="25.83203125" style="388" customWidth="1"/>
    <col min="9" max="9" width="1" style="388" customWidth="1"/>
    <col min="10" max="11" width="24.83203125" style="388" customWidth="1"/>
    <col min="12" max="12" width="2.83203125" style="388" customWidth="1"/>
    <col min="13" max="16384" width="9.33203125" hidden="1"/>
  </cols>
  <sheetData>
    <row r="1" spans="1:12" s="14" customFormat="1" ht="36.75" customHeight="1" x14ac:dyDescent="0.35">
      <c r="A1" s="463" t="s">
        <v>328</v>
      </c>
      <c r="B1" s="759" t="s">
        <v>56</v>
      </c>
      <c r="C1" s="759"/>
      <c r="D1" s="760"/>
      <c r="E1" s="760"/>
      <c r="F1" s="760"/>
      <c r="G1" s="760"/>
      <c r="H1" s="760"/>
      <c r="I1" s="760"/>
      <c r="J1" s="760"/>
      <c r="K1" s="760"/>
      <c r="L1" s="468"/>
    </row>
    <row r="2" spans="1:12" s="14" customFormat="1" ht="13.5" customHeight="1" x14ac:dyDescent="0.2">
      <c r="A2" s="388"/>
      <c r="B2" s="761" t="str">
        <f>" Průběžné vyhodnocení stavu projektu"</f>
        <v xml:space="preserve"> 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388"/>
    </row>
    <row r="3" spans="1:12" s="14" customFormat="1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762" t="s">
        <v>264</v>
      </c>
      <c r="K3" s="762"/>
      <c r="L3" s="388"/>
    </row>
    <row r="4" spans="1:12" s="289" customFormat="1" ht="24.95" customHeight="1" x14ac:dyDescent="0.2">
      <c r="A4" s="387"/>
      <c r="B4" s="763" t="s">
        <v>265</v>
      </c>
      <c r="C4" s="496"/>
      <c r="D4" s="751" t="s">
        <v>452</v>
      </c>
      <c r="E4" s="752"/>
      <c r="F4" s="497"/>
      <c r="G4" s="755" t="s">
        <v>453</v>
      </c>
      <c r="H4" s="756"/>
      <c r="I4" s="498"/>
      <c r="J4" s="751" t="s">
        <v>454</v>
      </c>
      <c r="K4" s="752"/>
      <c r="L4" s="495"/>
    </row>
    <row r="5" spans="1:12" s="289" customFormat="1" ht="24.95" customHeight="1" x14ac:dyDescent="0.2">
      <c r="A5" s="387"/>
      <c r="B5" s="764"/>
      <c r="C5" s="496"/>
      <c r="D5" s="753"/>
      <c r="E5" s="754"/>
      <c r="F5" s="497"/>
      <c r="G5" s="757"/>
      <c r="H5" s="758"/>
      <c r="I5" s="498"/>
      <c r="J5" s="753"/>
      <c r="K5" s="754"/>
      <c r="L5" s="495"/>
    </row>
    <row r="6" spans="1:12" s="290" customFormat="1" ht="14.25" customHeight="1" x14ac:dyDescent="0.25">
      <c r="A6" s="464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</row>
    <row r="7" spans="1:12" ht="11.25" x14ac:dyDescent="0.2"/>
    <row r="8" spans="1:12" ht="50.1" customHeight="1" x14ac:dyDescent="0.2"/>
    <row r="9" spans="1:12" ht="50.1" customHeight="1" x14ac:dyDescent="0.2"/>
    <row r="10" spans="1:12" ht="11.25" x14ac:dyDescent="0.2"/>
    <row r="11" spans="1:12" ht="11.25" x14ac:dyDescent="0.2"/>
    <row r="12" spans="1:12" ht="11.25" x14ac:dyDescent="0.2"/>
    <row r="13" spans="1:12" ht="11.25" x14ac:dyDescent="0.2"/>
    <row r="14" spans="1:12" ht="11.25" x14ac:dyDescent="0.2"/>
    <row r="15" spans="1:12" ht="11.25" x14ac:dyDescent="0.2"/>
    <row r="16" spans="1:12" ht="11.25" x14ac:dyDescent="0.2"/>
    <row r="17" ht="11.25" x14ac:dyDescent="0.2"/>
    <row r="18" ht="11.25" x14ac:dyDescent="0.2"/>
    <row r="19" ht="11.25" x14ac:dyDescent="0.2"/>
    <row r="20" ht="11.25" x14ac:dyDescent="0.2"/>
    <row r="21" ht="11.25" x14ac:dyDescent="0.2"/>
    <row r="22" ht="11.25" x14ac:dyDescent="0.2"/>
    <row r="23" ht="11.25" x14ac:dyDescent="0.2"/>
    <row r="24" ht="11.25" x14ac:dyDescent="0.2"/>
    <row r="25" ht="11.25" x14ac:dyDescent="0.2"/>
    <row r="26" ht="11.25" x14ac:dyDescent="0.2"/>
    <row r="27" ht="11.25" x14ac:dyDescent="0.2"/>
    <row r="28" ht="11.25" x14ac:dyDescent="0.2"/>
    <row r="29" ht="11.25" x14ac:dyDescent="0.2"/>
    <row r="30" ht="11.25" x14ac:dyDescent="0.2"/>
    <row r="31" ht="11.25" x14ac:dyDescent="0.2"/>
    <row r="32" ht="11.25" x14ac:dyDescent="0.2"/>
    <row r="33" ht="11.25" x14ac:dyDescent="0.2"/>
    <row r="34" ht="11.25" x14ac:dyDescent="0.2"/>
    <row r="35" ht="11.25" x14ac:dyDescent="0.2"/>
    <row r="36" ht="11.25" x14ac:dyDescent="0.2"/>
    <row r="37" ht="11.25" x14ac:dyDescent="0.2"/>
  </sheetData>
  <sheetProtection sheet="1" objects="1" scenarios="1" selectLockedCells="1" selectUnlockedCells="1"/>
  <mergeCells count="7">
    <mergeCell ref="D4:E5"/>
    <mergeCell ref="G4:H5"/>
    <mergeCell ref="B1:K1"/>
    <mergeCell ref="B2:K2"/>
    <mergeCell ref="J3:K3"/>
    <mergeCell ref="B4:B5"/>
    <mergeCell ref="J4:K5"/>
  </mergeCells>
  <phoneticPr fontId="4" type="noConversion"/>
  <hyperlinks>
    <hyperlink ref="A1" location="'I. Souhrn SMO'!A1" display="ç"/>
  </hyperlinks>
  <printOptions horizontalCentered="1" verticalCentered="1"/>
  <pageMargins left="0.70866141732283472" right="0.70866141732283472" top="0.19685039370078741" bottom="0" header="0.31496062992125984" footer="0.31496062992125984"/>
  <pageSetup paperSize="9" scale="94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showRowColHeaders="0" workbookViewId="0">
      <selection activeCell="D23" sqref="A23:XFD1048576"/>
    </sheetView>
  </sheetViews>
  <sheetFormatPr defaultColWidth="0" defaultRowHeight="11.25" zeroHeight="1" x14ac:dyDescent="0.2"/>
  <cols>
    <col min="1" max="1" width="2.83203125" customWidth="1"/>
    <col min="2" max="2" width="2.6640625" customWidth="1"/>
    <col min="3" max="3" width="15.83203125" customWidth="1"/>
    <col min="4" max="4" width="24.83203125" customWidth="1"/>
    <col min="5" max="5" width="13.6640625" customWidth="1"/>
    <col min="6" max="6" width="9.33203125" customWidth="1"/>
    <col min="7" max="7" width="4" customWidth="1"/>
    <col min="8" max="17" width="9.33203125" customWidth="1"/>
    <col min="18" max="18" width="2.5" customWidth="1"/>
    <col min="19" max="16384" width="9.33203125" hidden="1"/>
  </cols>
  <sheetData>
    <row r="1" spans="1:17" x14ac:dyDescent="0.2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spans="1:17" x14ac:dyDescent="0.2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ht="15.75" x14ac:dyDescent="0.2">
      <c r="A3" s="274"/>
      <c r="B3" s="274"/>
      <c r="C3" s="768" t="s">
        <v>362</v>
      </c>
      <c r="D3" s="769"/>
      <c r="E3" s="501" t="s">
        <v>361</v>
      </c>
      <c r="F3" s="274"/>
      <c r="G3" s="499"/>
      <c r="H3" s="770" t="s">
        <v>360</v>
      </c>
      <c r="I3" s="770"/>
      <c r="J3" s="770"/>
      <c r="K3" s="770"/>
      <c r="L3" s="770"/>
      <c r="M3" s="770"/>
      <c r="N3" s="770"/>
      <c r="O3" s="770"/>
      <c r="P3" s="770"/>
      <c r="Q3" s="771"/>
    </row>
    <row r="4" spans="1:17" ht="14.25" customHeight="1" x14ac:dyDescent="0.2">
      <c r="A4" s="274"/>
      <c r="B4" s="274"/>
      <c r="C4" s="772" t="s">
        <v>82</v>
      </c>
      <c r="D4" s="773"/>
      <c r="E4" s="277">
        <v>40</v>
      </c>
      <c r="F4" s="274"/>
      <c r="G4" s="774" t="s">
        <v>424</v>
      </c>
      <c r="H4" s="775"/>
      <c r="I4" s="775"/>
      <c r="J4" s="775"/>
      <c r="K4" s="775"/>
      <c r="L4" s="775"/>
      <c r="M4" s="775"/>
      <c r="N4" s="775"/>
      <c r="O4" s="775"/>
      <c r="P4" s="775"/>
      <c r="Q4" s="776"/>
    </row>
    <row r="5" spans="1:17" ht="26.25" customHeight="1" x14ac:dyDescent="0.2">
      <c r="A5" s="274"/>
      <c r="B5" s="274"/>
      <c r="C5" s="780" t="s">
        <v>359</v>
      </c>
      <c r="D5" s="781"/>
      <c r="E5" s="276">
        <v>60</v>
      </c>
      <c r="F5" s="274"/>
      <c r="G5" s="774"/>
      <c r="H5" s="775"/>
      <c r="I5" s="775"/>
      <c r="J5" s="775"/>
      <c r="K5" s="775"/>
      <c r="L5" s="775"/>
      <c r="M5" s="775"/>
      <c r="N5" s="775"/>
      <c r="O5" s="775"/>
      <c r="P5" s="775"/>
      <c r="Q5" s="776"/>
    </row>
    <row r="6" spans="1:17" x14ac:dyDescent="0.2">
      <c r="A6" s="274"/>
      <c r="B6" s="274"/>
      <c r="C6" s="292"/>
      <c r="D6" s="292"/>
      <c r="E6" s="293"/>
      <c r="F6" s="274"/>
      <c r="G6" s="777"/>
      <c r="H6" s="778"/>
      <c r="I6" s="778"/>
      <c r="J6" s="778"/>
      <c r="K6" s="778"/>
      <c r="L6" s="778"/>
      <c r="M6" s="778"/>
      <c r="N6" s="778"/>
      <c r="O6" s="778"/>
      <c r="P6" s="778"/>
      <c r="Q6" s="779"/>
    </row>
    <row r="7" spans="1:17" ht="15" x14ac:dyDescent="0.2">
      <c r="A7" s="274"/>
      <c r="B7" s="274"/>
      <c r="C7" s="500" t="s">
        <v>358</v>
      </c>
      <c r="D7" s="782" t="s">
        <v>357</v>
      </c>
      <c r="E7" s="783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</row>
    <row r="8" spans="1:17" ht="14.25" x14ac:dyDescent="0.2">
      <c r="A8" s="274"/>
      <c r="B8" s="274"/>
      <c r="C8" s="505">
        <v>93</v>
      </c>
      <c r="D8" s="509" t="s">
        <v>262</v>
      </c>
      <c r="E8" s="765">
        <v>100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17" ht="14.25" x14ac:dyDescent="0.2">
      <c r="A9" s="274"/>
      <c r="B9" s="274"/>
      <c r="C9" s="506">
        <v>85</v>
      </c>
      <c r="D9" s="510" t="s">
        <v>261</v>
      </c>
      <c r="E9" s="766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</row>
    <row r="10" spans="1:17" ht="14.25" x14ac:dyDescent="0.2">
      <c r="A10" s="274"/>
      <c r="B10" s="274"/>
      <c r="C10" s="507">
        <v>77</v>
      </c>
      <c r="D10" s="511" t="s">
        <v>14</v>
      </c>
      <c r="E10" s="767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</row>
    <row r="11" spans="1:17" ht="14.25" x14ac:dyDescent="0.2">
      <c r="A11" s="274"/>
      <c r="B11" s="274"/>
      <c r="C11" s="502">
        <v>69</v>
      </c>
      <c r="D11" s="509" t="s">
        <v>260</v>
      </c>
      <c r="E11" s="765">
        <v>76.989999999999995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</row>
    <row r="12" spans="1:17" ht="14.25" x14ac:dyDescent="0.2">
      <c r="A12" s="274"/>
      <c r="B12" s="274"/>
      <c r="C12" s="503">
        <v>61</v>
      </c>
      <c r="D12" s="510" t="s">
        <v>259</v>
      </c>
      <c r="E12" s="766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</row>
    <row r="13" spans="1:17" ht="14.25" x14ac:dyDescent="0.2">
      <c r="A13" s="274"/>
      <c r="B13" s="274"/>
      <c r="C13" s="504">
        <v>53</v>
      </c>
      <c r="D13" s="511" t="s">
        <v>258</v>
      </c>
      <c r="E13" s="767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</row>
    <row r="14" spans="1:17" ht="14.25" x14ac:dyDescent="0.2">
      <c r="A14" s="274"/>
      <c r="B14" s="274"/>
      <c r="C14" s="515">
        <v>45</v>
      </c>
      <c r="D14" s="509" t="s">
        <v>257</v>
      </c>
      <c r="E14" s="765">
        <v>52.99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</row>
    <row r="15" spans="1:17" ht="14.25" x14ac:dyDescent="0.2">
      <c r="A15" s="274"/>
      <c r="B15" s="274"/>
      <c r="C15" s="516">
        <v>37</v>
      </c>
      <c r="D15" s="510" t="s">
        <v>256</v>
      </c>
      <c r="E15" s="766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</row>
    <row r="16" spans="1:17" ht="14.25" x14ac:dyDescent="0.2">
      <c r="A16" s="274"/>
      <c r="B16" s="274"/>
      <c r="C16" s="517">
        <v>29</v>
      </c>
      <c r="D16" s="511" t="s">
        <v>255</v>
      </c>
      <c r="E16" s="767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</row>
    <row r="17" spans="1:17" ht="14.25" x14ac:dyDescent="0.2">
      <c r="A17" s="274"/>
      <c r="B17" s="274"/>
      <c r="C17" s="508">
        <v>0</v>
      </c>
      <c r="D17" s="512" t="s">
        <v>254</v>
      </c>
      <c r="E17" s="275">
        <v>28.99</v>
      </c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4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</row>
    <row r="19" spans="1:17" x14ac:dyDescent="0.2">
      <c r="A19" s="274"/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</row>
    <row r="20" spans="1:17" x14ac:dyDescent="0.2">
      <c r="A20" s="274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</row>
    <row r="21" spans="1:17" x14ac:dyDescent="0.2">
      <c r="A21" s="27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</row>
    <row r="22" spans="1:17" x14ac:dyDescent="0.2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</row>
    <row r="23" spans="1:17" hidden="1" x14ac:dyDescent="0.2">
      <c r="A23" s="274"/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</row>
    <row r="24" spans="1:17" hidden="1" x14ac:dyDescent="0.2">
      <c r="A24" s="274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</row>
    <row r="25" spans="1:17" hidden="1" x14ac:dyDescent="0.2">
      <c r="A25" s="274"/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</row>
    <row r="26" spans="1:17" hidden="1" x14ac:dyDescent="0.2">
      <c r="A26" s="274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</row>
    <row r="27" spans="1:17" hidden="1" x14ac:dyDescent="0.2">
      <c r="A27" s="274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</row>
    <row r="28" spans="1:17" hidden="1" x14ac:dyDescent="0.2">
      <c r="A28" s="274"/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</row>
    <row r="29" spans="1:17" hidden="1" x14ac:dyDescent="0.2">
      <c r="A29" s="274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</row>
    <row r="30" spans="1:17" hidden="1" x14ac:dyDescent="0.2">
      <c r="A30" s="274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</row>
    <row r="31" spans="1:17" hidden="1" x14ac:dyDescent="0.2">
      <c r="A31" s="274"/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</row>
    <row r="32" spans="1:17" hidden="1" x14ac:dyDescent="0.2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</row>
    <row r="33" spans="1:17" hidden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</row>
    <row r="34" spans="1:17" hidden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</row>
    <row r="35" spans="1:17" hidden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</row>
    <row r="36" spans="1:17" hidden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</row>
    <row r="37" spans="1:17" hidden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</row>
  </sheetData>
  <sheetProtection sheet="1" objects="1" scenarios="1" selectLockedCells="1" selectUnlockedCells="1"/>
  <mergeCells count="9">
    <mergeCell ref="E8:E10"/>
    <mergeCell ref="E11:E13"/>
    <mergeCell ref="E14:E16"/>
    <mergeCell ref="C3:D3"/>
    <mergeCell ref="H3:Q3"/>
    <mergeCell ref="C4:D4"/>
    <mergeCell ref="G4:Q6"/>
    <mergeCell ref="C5:D5"/>
    <mergeCell ref="D7:E7"/>
  </mergeCells>
  <conditionalFormatting sqref="E8:E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2:O65"/>
  <sheetViews>
    <sheetView topLeftCell="A2" zoomScale="90" zoomScaleNormal="90" workbookViewId="0">
      <selection activeCell="B5" sqref="B5:B6"/>
    </sheetView>
  </sheetViews>
  <sheetFormatPr defaultColWidth="0" defaultRowHeight="0" customHeight="1" zeroHeight="1" x14ac:dyDescent="0.2"/>
  <cols>
    <col min="1" max="1" width="2.83203125" customWidth="1"/>
    <col min="2" max="2" width="32.83203125" style="388" customWidth="1"/>
    <col min="3" max="3" width="1" style="388" customWidth="1"/>
    <col min="4" max="4" width="25.6640625" style="388" customWidth="1"/>
    <col min="5" max="5" width="1" style="388" customWidth="1"/>
    <col min="6" max="6" width="24.83203125" style="388" customWidth="1"/>
    <col min="7" max="7" width="1" style="388" customWidth="1"/>
    <col min="8" max="8" width="25.83203125" style="388" customWidth="1"/>
    <col min="9" max="9" width="1" style="388" customWidth="1"/>
    <col min="10" max="10" width="25.83203125" style="388" customWidth="1"/>
    <col min="11" max="11" width="1" style="388" customWidth="1"/>
    <col min="12" max="12" width="24.83203125" style="388" customWidth="1"/>
    <col min="13" max="13" width="1" style="388" customWidth="1"/>
    <col min="14" max="14" width="24.83203125" style="388" customWidth="1"/>
    <col min="15" max="15" width="2.83203125" customWidth="1"/>
  </cols>
  <sheetData>
    <row r="2" spans="1:15" s="164" customFormat="1" ht="32.25" customHeight="1" x14ac:dyDescent="0.35">
      <c r="A2" s="389"/>
      <c r="B2" s="759" t="s">
        <v>56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394"/>
    </row>
    <row r="3" spans="1:15" s="164" customFormat="1" ht="13.5" customHeight="1" x14ac:dyDescent="0.2">
      <c r="A3" s="388"/>
      <c r="B3" s="761" t="str">
        <f>" Průběžné vyhodnocení stavu projektu"</f>
        <v xml:space="preserve"> Průběžné vyhodnocení stavu projektu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395"/>
    </row>
    <row r="4" spans="1:15" s="164" customFormat="1" ht="26.25" customHeight="1" x14ac:dyDescent="0.2">
      <c r="A4" s="388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797" t="s">
        <v>264</v>
      </c>
      <c r="M4" s="797"/>
      <c r="N4" s="797"/>
      <c r="O4" s="395"/>
    </row>
    <row r="5" spans="1:15" s="165" customFormat="1" ht="24.95" customHeight="1" x14ac:dyDescent="0.2">
      <c r="A5" s="387"/>
      <c r="B5" s="798" t="s">
        <v>265</v>
      </c>
      <c r="C5" s="411"/>
      <c r="D5" s="751" t="s">
        <v>537</v>
      </c>
      <c r="E5" s="800"/>
      <c r="F5" s="752"/>
      <c r="G5" s="391"/>
      <c r="H5" s="755" t="s">
        <v>453</v>
      </c>
      <c r="I5" s="756"/>
      <c r="J5" s="802"/>
      <c r="K5" s="391"/>
      <c r="L5" s="751" t="s">
        <v>454</v>
      </c>
      <c r="M5" s="800"/>
      <c r="N5" s="752"/>
      <c r="O5" s="393"/>
    </row>
    <row r="6" spans="1:15" s="165" customFormat="1" ht="24.95" customHeight="1" x14ac:dyDescent="0.2">
      <c r="A6" s="387"/>
      <c r="B6" s="799"/>
      <c r="C6" s="412"/>
      <c r="D6" s="753"/>
      <c r="E6" s="801"/>
      <c r="F6" s="754"/>
      <c r="G6" s="392"/>
      <c r="H6" s="757"/>
      <c r="I6" s="758"/>
      <c r="J6" s="803"/>
      <c r="K6" s="392"/>
      <c r="L6" s="753"/>
      <c r="M6" s="801"/>
      <c r="N6" s="754"/>
      <c r="O6" s="393"/>
    </row>
    <row r="7" spans="1:15" ht="9.9499999999999993" customHeight="1" x14ac:dyDescent="0.2">
      <c r="A7" s="388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451"/>
      <c r="M7" s="451"/>
      <c r="N7" s="451"/>
      <c r="O7" s="397"/>
    </row>
    <row r="8" spans="1:15" ht="45" customHeight="1" x14ac:dyDescent="0.2">
      <c r="A8" s="388"/>
      <c r="B8" s="784" t="s">
        <v>455</v>
      </c>
      <c r="C8" s="426"/>
      <c r="D8" s="787" t="s">
        <v>82</v>
      </c>
      <c r="E8" s="788"/>
      <c r="F8" s="789"/>
      <c r="G8" s="398"/>
      <c r="H8" s="790" t="s">
        <v>266</v>
      </c>
      <c r="I8" s="791"/>
      <c r="J8" s="792"/>
      <c r="K8" s="400"/>
      <c r="L8" s="793" t="s">
        <v>30</v>
      </c>
      <c r="M8" s="794"/>
      <c r="N8" s="795"/>
      <c r="O8" s="397"/>
    </row>
    <row r="9" spans="1:15" s="388" customFormat="1" ht="3.95" customHeight="1" x14ac:dyDescent="0.2">
      <c r="B9" s="785"/>
      <c r="C9" s="416"/>
      <c r="D9" s="414"/>
      <c r="E9" s="414"/>
      <c r="F9" s="414"/>
      <c r="G9" s="398"/>
      <c r="H9" s="414"/>
      <c r="I9" s="414"/>
      <c r="J9" s="414"/>
      <c r="K9" s="400"/>
      <c r="L9" s="452"/>
      <c r="M9" s="452"/>
      <c r="N9" s="452"/>
      <c r="O9" s="397"/>
    </row>
    <row r="10" spans="1:15" ht="16.5" customHeight="1" x14ac:dyDescent="0.2">
      <c r="A10" s="388"/>
      <c r="B10" s="786"/>
      <c r="C10" s="413"/>
      <c r="D10" s="438" t="s">
        <v>268</v>
      </c>
      <c r="E10" s="430"/>
      <c r="F10" s="438" t="s">
        <v>267</v>
      </c>
      <c r="G10" s="399"/>
      <c r="H10" s="444" t="s">
        <v>268</v>
      </c>
      <c r="I10" s="439"/>
      <c r="J10" s="444" t="s">
        <v>267</v>
      </c>
      <c r="K10" s="399"/>
      <c r="L10" s="461" t="s">
        <v>268</v>
      </c>
      <c r="M10" s="453"/>
      <c r="N10" s="461" t="s">
        <v>267</v>
      </c>
      <c r="O10" s="397"/>
    </row>
    <row r="11" spans="1:15" ht="9.9499999999999993" customHeight="1" x14ac:dyDescent="0.2">
      <c r="A11" s="388"/>
      <c r="H11" s="417"/>
      <c r="I11" s="417"/>
      <c r="J11" s="417"/>
      <c r="L11" s="454"/>
      <c r="M11" s="454"/>
      <c r="N11" s="454"/>
      <c r="O11" s="397"/>
    </row>
    <row r="12" spans="1:15" s="388" customFormat="1" ht="69.95" customHeight="1" x14ac:dyDescent="0.25">
      <c r="B12" s="423" t="s">
        <v>599</v>
      </c>
      <c r="C12" s="414"/>
      <c r="D12" s="434">
        <f>SUM(data!AQ16,data!AQ17)</f>
        <v>1925684040</v>
      </c>
      <c r="E12" s="431"/>
      <c r="F12" s="427">
        <f>SUM(data!AR16:AR17)+IF(uspora="A",data!AV16:AV17,0)</f>
        <v>1064121085.0699999</v>
      </c>
      <c r="G12" s="408"/>
      <c r="H12" s="445">
        <f>D12/100*25.6</f>
        <v>492975114.24000001</v>
      </c>
      <c r="I12" s="441"/>
      <c r="J12" s="446">
        <f>SUM(data!AT16:AT17)+IF(uspora="A",data!AV16:AV17,0)</f>
        <v>246727483.47999999</v>
      </c>
      <c r="K12" s="408"/>
      <c r="L12" s="458">
        <f>H12*10%</f>
        <v>49297511.424000002</v>
      </c>
      <c r="M12" s="440"/>
      <c r="N12" s="455">
        <f>SUM(data!AV16:AV17)</f>
        <v>65441486.289999999</v>
      </c>
      <c r="O12" s="397"/>
    </row>
    <row r="13" spans="1:15" s="388" customFormat="1" ht="9.9499999999999993" customHeight="1" x14ac:dyDescent="0.2">
      <c r="H13" s="417"/>
      <c r="I13" s="417"/>
      <c r="J13" s="417"/>
      <c r="L13" s="454"/>
      <c r="M13" s="454"/>
      <c r="N13" s="454"/>
    </row>
    <row r="14" spans="1:15" s="388" customFormat="1" ht="20.100000000000001" customHeight="1" x14ac:dyDescent="0.2">
      <c r="B14" s="424" t="s">
        <v>573</v>
      </c>
      <c r="C14" s="415"/>
      <c r="D14" s="435">
        <f>SUM(data!AQ14,data!AQ15)</f>
        <v>3714254800.7399998</v>
      </c>
      <c r="E14" s="432"/>
      <c r="F14" s="428">
        <f>SUM(data!AR14:AR15)</f>
        <v>2710692564.3800001</v>
      </c>
      <c r="G14" s="409"/>
      <c r="H14" s="447">
        <f>D14*25.6%</f>
        <v>950849228.98943996</v>
      </c>
      <c r="I14" s="421"/>
      <c r="J14" s="448">
        <f>SUM(data!AT14:AT15)</f>
        <v>555247557.43000007</v>
      </c>
      <c r="K14" s="409"/>
      <c r="L14" s="459">
        <f>H14*10%</f>
        <v>95084922.898944005</v>
      </c>
      <c r="M14" s="436"/>
      <c r="N14" s="456">
        <f>SUM(data!AV14:AV15)</f>
        <v>119205897.70999999</v>
      </c>
    </row>
    <row r="15" spans="1:15" s="388" customFormat="1" ht="3.95" customHeight="1" x14ac:dyDescent="0.2">
      <c r="H15" s="417"/>
      <c r="I15" s="417"/>
      <c r="J15" s="417"/>
      <c r="L15" s="454"/>
      <c r="M15" s="454"/>
      <c r="N15" s="454"/>
    </row>
    <row r="16" spans="1:15" s="388" customFormat="1" ht="20.100000000000001" customHeight="1" x14ac:dyDescent="0.2">
      <c r="B16" s="424" t="s">
        <v>448</v>
      </c>
      <c r="C16" s="415"/>
      <c r="D16" s="435">
        <f>SUM(data!AQ12:AQ13)</f>
        <v>3831066172.5799994</v>
      </c>
      <c r="E16" s="432"/>
      <c r="F16" s="428">
        <f>SUM(data!AR12:AR13)</f>
        <v>3066658426.3400002</v>
      </c>
      <c r="G16" s="409"/>
      <c r="H16" s="447">
        <f>D16*25.6%</f>
        <v>980752940.18047988</v>
      </c>
      <c r="I16" s="421"/>
      <c r="J16" s="448">
        <f>SUM(data!AT12:AT13)</f>
        <v>571226779.69000006</v>
      </c>
      <c r="K16" s="409"/>
      <c r="L16" s="459">
        <f>H16*10%</f>
        <v>98075294.018047988</v>
      </c>
      <c r="M16" s="436"/>
      <c r="N16" s="456">
        <f>SUM(data!AV12:AV13)</f>
        <v>95771528.409999996</v>
      </c>
    </row>
    <row r="17" spans="2:15" s="388" customFormat="1" ht="3.95" customHeight="1" x14ac:dyDescent="0.2">
      <c r="B17" s="415"/>
      <c r="C17" s="415"/>
      <c r="D17" s="436"/>
      <c r="E17" s="421"/>
      <c r="F17" s="422"/>
      <c r="G17" s="409"/>
      <c r="H17" s="421"/>
      <c r="I17" s="421"/>
      <c r="J17" s="422"/>
      <c r="K17" s="409"/>
      <c r="L17" s="436"/>
      <c r="M17" s="436"/>
      <c r="N17" s="436"/>
    </row>
    <row r="18" spans="2:15" s="388" customFormat="1" ht="20.100000000000001" customHeight="1" x14ac:dyDescent="0.2">
      <c r="B18" s="424" t="s">
        <v>435</v>
      </c>
      <c r="C18" s="415"/>
      <c r="D18" s="435">
        <f>SUM(data!AQ8:AQ9)</f>
        <v>3892635000</v>
      </c>
      <c r="E18" s="432"/>
      <c r="F18" s="428">
        <f>SUM(data!AR8:AR9)</f>
        <v>2929897036.6700001</v>
      </c>
      <c r="G18" s="409"/>
      <c r="H18" s="447">
        <f>D18*25.6%</f>
        <v>996514560</v>
      </c>
      <c r="I18" s="421"/>
      <c r="J18" s="448">
        <f>SUM(data!AT8:AT9)</f>
        <v>579813784.38</v>
      </c>
      <c r="K18" s="409"/>
      <c r="L18" s="459">
        <f>H18*10%</f>
        <v>99651456</v>
      </c>
      <c r="M18" s="436"/>
      <c r="N18" s="456">
        <f>SUM(data!AV8:AV9)</f>
        <v>100164645.82000001</v>
      </c>
    </row>
    <row r="19" spans="2:15" s="388" customFormat="1" ht="3.95" customHeight="1" x14ac:dyDescent="0.2">
      <c r="B19" s="415"/>
      <c r="C19" s="415"/>
      <c r="D19" s="436"/>
      <c r="E19" s="421"/>
      <c r="F19" s="422"/>
      <c r="G19" s="409"/>
      <c r="H19" s="421"/>
      <c r="I19" s="421"/>
      <c r="J19" s="422"/>
      <c r="K19" s="409"/>
      <c r="L19" s="436"/>
      <c r="M19" s="436"/>
      <c r="N19" s="436"/>
    </row>
    <row r="20" spans="2:15" s="388" customFormat="1" ht="20.100000000000001" customHeight="1" x14ac:dyDescent="0.2">
      <c r="B20" s="424" t="s">
        <v>421</v>
      </c>
      <c r="C20" s="415"/>
      <c r="D20" s="435">
        <f>SUM(data!AQ6:AQ7)</f>
        <v>3892635000</v>
      </c>
      <c r="E20" s="432"/>
      <c r="F20" s="428">
        <f>SUM(data!AR6:AR7)</f>
        <v>2581833484.29</v>
      </c>
      <c r="G20" s="409"/>
      <c r="H20" s="447">
        <f>D20*25.6%</f>
        <v>996514560</v>
      </c>
      <c r="I20" s="421"/>
      <c r="J20" s="448">
        <f>SUM(data!AT6:AT7)</f>
        <v>551617606.97000003</v>
      </c>
      <c r="K20" s="409"/>
      <c r="L20" s="459">
        <f>H20*10%</f>
        <v>99651456</v>
      </c>
      <c r="M20" s="436"/>
      <c r="N20" s="456">
        <f>SUM(data!AV6:AV7)</f>
        <v>78483116.50999999</v>
      </c>
    </row>
    <row r="21" spans="2:15" s="417" customFormat="1" ht="3.95" customHeight="1" x14ac:dyDescent="0.2">
      <c r="B21" s="415"/>
      <c r="C21" s="415"/>
      <c r="D21" s="436"/>
      <c r="E21" s="421"/>
      <c r="F21" s="422"/>
      <c r="G21" s="409"/>
      <c r="H21" s="421"/>
      <c r="I21" s="421"/>
      <c r="J21" s="422"/>
      <c r="K21" s="409"/>
      <c r="L21" s="436"/>
      <c r="M21" s="436"/>
      <c r="N21" s="436"/>
    </row>
    <row r="22" spans="2:15" s="388" customFormat="1" ht="20.100000000000001" customHeight="1" thickBot="1" x14ac:dyDescent="0.25">
      <c r="B22" s="424" t="s">
        <v>381</v>
      </c>
      <c r="C22" s="415"/>
      <c r="D22" s="435">
        <f>SUM(data!AQ4:AQ5)</f>
        <v>3892635000</v>
      </c>
      <c r="E22" s="432"/>
      <c r="F22" s="428">
        <f>SUM(data!AR4:AR5)</f>
        <v>428643043.81999999</v>
      </c>
      <c r="G22" s="409"/>
      <c r="H22" s="447">
        <f>D22*25.6%</f>
        <v>996514560</v>
      </c>
      <c r="I22" s="421"/>
      <c r="J22" s="448">
        <f>SUM(data!AT4:AT5)</f>
        <v>260086655.88</v>
      </c>
      <c r="K22" s="409"/>
      <c r="L22" s="459">
        <f>H22*10%</f>
        <v>99651456</v>
      </c>
      <c r="M22" s="436"/>
      <c r="N22" s="456">
        <f>SUM(data!AV4:AV5)</f>
        <v>68351250.530000001</v>
      </c>
      <c r="O22" s="397"/>
    </row>
    <row r="23" spans="2:15" s="417" customFormat="1" ht="3.95" customHeight="1" thickBot="1" x14ac:dyDescent="0.25">
      <c r="B23" s="418"/>
      <c r="C23" s="415"/>
      <c r="D23" s="436"/>
      <c r="E23" s="421"/>
      <c r="F23" s="419"/>
      <c r="G23" s="409"/>
      <c r="H23" s="421"/>
      <c r="I23" s="421"/>
      <c r="J23" s="422"/>
      <c r="K23" s="409"/>
      <c r="L23" s="436"/>
      <c r="M23" s="436"/>
      <c r="N23" s="436"/>
      <c r="O23" s="420"/>
    </row>
    <row r="24" spans="2:15" s="388" customFormat="1" ht="20.100000000000001" customHeight="1" x14ac:dyDescent="0.2">
      <c r="B24" s="424" t="s">
        <v>382</v>
      </c>
      <c r="C24" s="415"/>
      <c r="D24" s="435">
        <f>SUM(data!AQ2:AQ3)</f>
        <v>3892636200</v>
      </c>
      <c r="E24" s="432"/>
      <c r="F24" s="428">
        <f>SUM(data!AR2:AR3)</f>
        <v>55379716.799999997</v>
      </c>
      <c r="G24" s="409"/>
      <c r="H24" s="447">
        <f>D24*25.6%</f>
        <v>996514867.20000005</v>
      </c>
      <c r="I24" s="421"/>
      <c r="J24" s="448">
        <f>SUM(data!AT2:AT3)</f>
        <v>51751585.380000003</v>
      </c>
      <c r="K24" s="409"/>
      <c r="L24" s="459">
        <f>H24*10%</f>
        <v>99651486.720000014</v>
      </c>
      <c r="M24" s="436"/>
      <c r="N24" s="456">
        <f>SUM(data!AV2:AV3)</f>
        <v>23616346.899999999</v>
      </c>
      <c r="O24" s="397"/>
    </row>
    <row r="25" spans="2:15" s="388" customFormat="1" ht="9.9499999999999993" customHeight="1" x14ac:dyDescent="0.2">
      <c r="H25" s="417"/>
      <c r="I25" s="417"/>
      <c r="J25" s="417"/>
      <c r="L25" s="454"/>
      <c r="M25" s="454"/>
      <c r="N25" s="454"/>
      <c r="O25" s="397"/>
    </row>
    <row r="26" spans="2:15" s="388" customFormat="1" ht="45" customHeight="1" x14ac:dyDescent="0.25">
      <c r="B26" s="425" t="s">
        <v>600</v>
      </c>
      <c r="C26" s="416"/>
      <c r="D26" s="437">
        <f>SUM(D12,D14:D24)</f>
        <v>25041546213.32</v>
      </c>
      <c r="E26" s="433"/>
      <c r="F26" s="429">
        <f>SUM(F12,F14:F24)</f>
        <v>12837225357.369999</v>
      </c>
      <c r="G26" s="410"/>
      <c r="H26" s="449">
        <f>SUM(H12,H14:H24)</f>
        <v>6410635830.6099195</v>
      </c>
      <c r="I26" s="443"/>
      <c r="J26" s="450">
        <f>SUM(J12,J14:J24)</f>
        <v>2816471453.21</v>
      </c>
      <c r="K26" s="410"/>
      <c r="L26" s="460">
        <f>SUM(L12,L14:L24)</f>
        <v>641063583.060992</v>
      </c>
      <c r="M26" s="442"/>
      <c r="N26" s="457">
        <f>SUM(N12,N14:N24)</f>
        <v>551034272.16999996</v>
      </c>
      <c r="O26" s="397"/>
    </row>
    <row r="27" spans="2:15" s="396" customFormat="1" ht="9.9499999999999993" customHeight="1" x14ac:dyDescent="0.2">
      <c r="B27" s="402"/>
      <c r="C27" s="402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1"/>
    </row>
    <row r="28" spans="2:15" s="40" customFormat="1" ht="50.1" hidden="1" customHeight="1" x14ac:dyDescent="0.25">
      <c r="B28" s="404"/>
      <c r="C28" s="404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166"/>
    </row>
    <row r="29" spans="2:15" s="40" customFormat="1" ht="50.1" hidden="1" customHeight="1" x14ac:dyDescent="0.25">
      <c r="B29" s="404"/>
      <c r="C29" s="404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166"/>
    </row>
    <row r="30" spans="2:15" s="40" customFormat="1" ht="20.100000000000001" hidden="1" customHeight="1" x14ac:dyDescent="0.25">
      <c r="B30" s="406"/>
      <c r="C30" s="406"/>
      <c r="D30" s="405"/>
      <c r="E30" s="405"/>
      <c r="F30" s="405"/>
      <c r="G30" s="407"/>
      <c r="H30" s="405"/>
      <c r="I30" s="405"/>
      <c r="J30" s="405"/>
      <c r="K30" s="407"/>
      <c r="L30" s="405"/>
      <c r="M30" s="405"/>
      <c r="N30" s="405"/>
      <c r="O30" s="166"/>
    </row>
    <row r="31" spans="2:15" ht="12" hidden="1" customHeight="1" x14ac:dyDescent="0.2"/>
    <row r="32" spans="2:15" ht="11.25" hidden="1" customHeight="1" x14ac:dyDescent="0.2"/>
    <row r="33" ht="11.25" hidden="1" customHeight="1" x14ac:dyDescent="0.2"/>
    <row r="34" ht="11.25" hidden="1" customHeight="1" x14ac:dyDescent="0.2"/>
    <row r="35" ht="11.25" hidden="1" customHeight="1" x14ac:dyDescent="0.2"/>
    <row r="36" ht="11.25" hidden="1" customHeight="1" x14ac:dyDescent="0.2"/>
    <row r="37" ht="11.25" hidden="1" customHeight="1" x14ac:dyDescent="0.2"/>
    <row r="38" ht="11.25" hidden="1" customHeight="1" x14ac:dyDescent="0.2"/>
    <row r="39" ht="15" hidden="1" customHeight="1" x14ac:dyDescent="0.2"/>
    <row r="40" ht="11.25" hidden="1" x14ac:dyDescent="0.2"/>
    <row r="41" ht="11.25" hidden="1" x14ac:dyDescent="0.2"/>
    <row r="42" ht="11.25" hidden="1" x14ac:dyDescent="0.2"/>
    <row r="43" ht="11.25" hidden="1" x14ac:dyDescent="0.2"/>
    <row r="44" ht="11.25" hidden="1" x14ac:dyDescent="0.2"/>
    <row r="45" ht="11.25" hidden="1" x14ac:dyDescent="0.2"/>
    <row r="46" ht="11.25" hidden="1" x14ac:dyDescent="0.2"/>
    <row r="47" ht="11.25" hidden="1" x14ac:dyDescent="0.2"/>
    <row r="48" ht="11.25" hidden="1" x14ac:dyDescent="0.2"/>
    <row r="49" ht="11.25" hidden="1" x14ac:dyDescent="0.2"/>
    <row r="50" ht="11.25" hidden="1" x14ac:dyDescent="0.2"/>
    <row r="51" ht="11.25" hidden="1" x14ac:dyDescent="0.2"/>
    <row r="52" ht="11.25" hidden="1" customHeight="1" x14ac:dyDescent="0.2"/>
    <row r="53" ht="11.25" hidden="1" customHeight="1" x14ac:dyDescent="0.2"/>
    <row r="54" ht="11.25" hidden="1" customHeight="1" x14ac:dyDescent="0.2"/>
    <row r="55" ht="11.25" hidden="1" customHeight="1" x14ac:dyDescent="0.2"/>
    <row r="56" ht="11.25" hidden="1" customHeight="1" x14ac:dyDescent="0.2"/>
    <row r="57" ht="11.25" hidden="1" customHeight="1" x14ac:dyDescent="0.2"/>
    <row r="58" ht="11.25" hidden="1" customHeight="1" x14ac:dyDescent="0.2"/>
    <row r="59" ht="11.25" hidden="1" customHeight="1" x14ac:dyDescent="0.2"/>
    <row r="60" ht="11.25" hidden="1" customHeight="1" x14ac:dyDescent="0.2"/>
    <row r="61" ht="11.25" hidden="1" customHeight="1" x14ac:dyDescent="0.2"/>
    <row r="62" ht="11.25" hidden="1" customHeight="1" x14ac:dyDescent="0.2"/>
    <row r="63" ht="11.25" hidden="1" customHeight="1" x14ac:dyDescent="0.2"/>
    <row r="64" ht="11.25" hidden="1" customHeight="1" x14ac:dyDescent="0.2"/>
    <row r="65" ht="0" hidden="1" customHeight="1" x14ac:dyDescent="0.2"/>
  </sheetData>
  <sheetProtection sheet="1" objects="1" scenarios="1" selectLockedCells="1" selectUnlockedCells="1"/>
  <mergeCells count="11">
    <mergeCell ref="B8:B10"/>
    <mergeCell ref="D8:F8"/>
    <mergeCell ref="H8:J8"/>
    <mergeCell ref="L8:N8"/>
    <mergeCell ref="B2:N2"/>
    <mergeCell ref="B3:N3"/>
    <mergeCell ref="L4:N4"/>
    <mergeCell ref="B5:B6"/>
    <mergeCell ref="D5:F6"/>
    <mergeCell ref="H5:J6"/>
    <mergeCell ref="L5:N6"/>
  </mergeCells>
  <printOptions horizontalCentered="1"/>
  <pageMargins left="0.43307086614173229" right="3.937007874015748E-2" top="0.59055118110236227" bottom="0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O45"/>
  <sheetViews>
    <sheetView showGridLines="0" showRowColHeaders="0" zoomScale="90" zoomScaleNormal="90" workbookViewId="0">
      <selection activeCell="B4" sqref="B4:B5"/>
    </sheetView>
  </sheetViews>
  <sheetFormatPr defaultColWidth="0" defaultRowHeight="11.25" zeroHeight="1" x14ac:dyDescent="0.2"/>
  <cols>
    <col min="1" max="1" width="2.83203125" customWidth="1"/>
    <col min="2" max="2" width="32.33203125" customWidth="1"/>
    <col min="3" max="3" width="1" customWidth="1"/>
    <col min="4" max="5" width="24.83203125" customWidth="1"/>
    <col min="6" max="6" width="1.83203125" customWidth="1"/>
    <col min="7" max="7" width="1" customWidth="1"/>
    <col min="8" max="9" width="25.83203125" customWidth="1"/>
    <col min="10" max="10" width="1.83203125" customWidth="1"/>
    <col min="11" max="11" width="1" customWidth="1"/>
    <col min="12" max="13" width="24.83203125" customWidth="1"/>
    <col min="14" max="14" width="0.1640625" customWidth="1"/>
    <col min="15" max="15" width="3.33203125" customWidth="1"/>
    <col min="16" max="16384" width="9.33203125" hidden="1"/>
  </cols>
  <sheetData>
    <row r="1" spans="1:15" ht="23.25" x14ac:dyDescent="0.35">
      <c r="A1" s="463" t="s">
        <v>328</v>
      </c>
      <c r="B1" s="759" t="s">
        <v>56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468"/>
      <c r="O1" s="14"/>
    </row>
    <row r="2" spans="1:15" ht="13.5" customHeight="1" x14ac:dyDescent="0.2">
      <c r="A2" s="388"/>
      <c r="B2" s="761" t="str">
        <f>"Průběžné vyhodnocení stavu projektu"</f>
        <v>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467"/>
      <c r="O2" s="14"/>
    </row>
    <row r="3" spans="1:15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762" t="s">
        <v>264</v>
      </c>
      <c r="M3" s="762"/>
      <c r="N3" s="388"/>
      <c r="O3" s="14"/>
    </row>
    <row r="4" spans="1:15" ht="24.95" customHeight="1" x14ac:dyDescent="0.2">
      <c r="A4" s="387"/>
      <c r="B4" s="804" t="s">
        <v>265</v>
      </c>
      <c r="C4" s="471"/>
      <c r="D4" s="751" t="s">
        <v>538</v>
      </c>
      <c r="E4" s="800"/>
      <c r="F4" s="752"/>
      <c r="G4" s="470"/>
      <c r="H4" s="755" t="s">
        <v>453</v>
      </c>
      <c r="I4" s="756"/>
      <c r="J4" s="802"/>
      <c r="K4" s="469"/>
      <c r="L4" s="751" t="s">
        <v>456</v>
      </c>
      <c r="M4" s="800"/>
      <c r="N4" s="752"/>
      <c r="O4" s="165"/>
    </row>
    <row r="5" spans="1:15" ht="24.95" customHeight="1" x14ac:dyDescent="0.2">
      <c r="A5" s="387"/>
      <c r="B5" s="805"/>
      <c r="C5" s="471"/>
      <c r="D5" s="753"/>
      <c r="E5" s="801"/>
      <c r="F5" s="754"/>
      <c r="G5" s="470"/>
      <c r="H5" s="757"/>
      <c r="I5" s="758"/>
      <c r="J5" s="803"/>
      <c r="K5" s="469"/>
      <c r="L5" s="753"/>
      <c r="M5" s="801"/>
      <c r="N5" s="754"/>
      <c r="O5" s="16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sheetProtection sheet="1" objects="1" scenarios="1" selectLockedCells="1" selectUnlockedCells="1"/>
  <mergeCells count="7">
    <mergeCell ref="B1:M1"/>
    <mergeCell ref="B2:M2"/>
    <mergeCell ref="L3:M3"/>
    <mergeCell ref="B4:B5"/>
    <mergeCell ref="D4:F5"/>
    <mergeCell ref="H4:J5"/>
    <mergeCell ref="L4:N5"/>
  </mergeCells>
  <hyperlinks>
    <hyperlink ref="A1" location="'I. Souhrn SMO'!A1" display="ç"/>
  </hyperlinks>
  <pageMargins left="0.7" right="0.7" top="0.78740157499999996" bottom="0.78740157499999996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4" tint="-0.249977111117893"/>
  </sheetPr>
  <dimension ref="A1:L64"/>
  <sheetViews>
    <sheetView showGridLines="0" showRowColHeaders="0" workbookViewId="0">
      <selection activeCell="K25" sqref="K25"/>
    </sheetView>
  </sheetViews>
  <sheetFormatPr defaultColWidth="0" defaultRowHeight="11.25" customHeight="1" zeroHeight="1" x14ac:dyDescent="0.2"/>
  <cols>
    <col min="1" max="12" width="9.33203125" style="513" customWidth="1"/>
  </cols>
  <sheetData>
    <row r="1" spans="1:12" ht="39" customHeight="1" x14ac:dyDescent="0.2">
      <c r="A1" s="807" t="s">
        <v>67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</row>
    <row r="2" spans="1:12" ht="15.75" x14ac:dyDescent="0.2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</row>
    <row r="3" spans="1:12" x14ac:dyDescent="0.2"/>
    <row r="4" spans="1:12" x14ac:dyDescent="0.2"/>
    <row r="5" spans="1:12" x14ac:dyDescent="0.2"/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518"/>
    </row>
    <row r="15" spans="1:12" x14ac:dyDescent="0.2"/>
    <row r="16" spans="1:12" x14ac:dyDescent="0.2"/>
    <row r="17" spans="1:12" x14ac:dyDescent="0.2"/>
    <row r="18" spans="1:12" x14ac:dyDescent="0.2"/>
    <row r="19" spans="1:12" x14ac:dyDescent="0.2"/>
    <row r="20" spans="1:12" ht="15.75" x14ac:dyDescent="0.2">
      <c r="A20" s="806"/>
      <c r="B20" s="806"/>
      <c r="C20" s="806"/>
      <c r="D20" s="806"/>
      <c r="E20" s="806"/>
      <c r="F20" s="806"/>
      <c r="G20" s="806"/>
      <c r="H20" s="806"/>
      <c r="I20" s="806"/>
      <c r="J20" s="806"/>
      <c r="K20" s="806"/>
      <c r="L20" s="806"/>
    </row>
    <row r="21" spans="1:12" x14ac:dyDescent="0.2"/>
    <row r="22" spans="1:12" x14ac:dyDescent="0.2"/>
    <row r="23" spans="1:12" ht="15.75" x14ac:dyDescent="0.2">
      <c r="A23" s="806"/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</row>
    <row r="24" spans="1:12" ht="15.75" x14ac:dyDescent="0.2">
      <c r="A24" s="514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4"/>
    </row>
    <row r="25" spans="1:12" ht="15.75" x14ac:dyDescent="0.2">
      <c r="A25" s="514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4"/>
    </row>
    <row r="26" spans="1:12" ht="15.75" x14ac:dyDescent="0.2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</row>
    <row r="27" spans="1:12" x14ac:dyDescent="0.2"/>
    <row r="28" spans="1:12" x14ac:dyDescent="0.2"/>
    <row r="29" spans="1:12" x14ac:dyDescent="0.2"/>
    <row r="30" spans="1:12" x14ac:dyDescent="0.2"/>
    <row r="31" spans="1:12" x14ac:dyDescent="0.2"/>
    <row r="32" spans="1:12" x14ac:dyDescent="0.2"/>
    <row r="33" spans="1:12" x14ac:dyDescent="0.2"/>
    <row r="34" spans="1:12" ht="15" x14ac:dyDescent="0.2">
      <c r="A34" s="807" t="s">
        <v>60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</row>
    <row r="35" spans="1:12" x14ac:dyDescent="0.2"/>
    <row r="36" spans="1:12" x14ac:dyDescent="0.2"/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ht="15.75" x14ac:dyDescent="0.2">
      <c r="A45" s="806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</row>
    <row r="46" spans="1:12" x14ac:dyDescent="0.2"/>
    <row r="47" spans="1:12" x14ac:dyDescent="0.2"/>
    <row r="48" spans="1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ht="9" customHeight="1" x14ac:dyDescent="0.2"/>
    <row r="62" ht="3" customHeight="1" x14ac:dyDescent="0.2"/>
    <row r="63" ht="11.25" hidden="1" customHeight="1" x14ac:dyDescent="0.2"/>
    <row r="64" ht="11.25" customHeight="1" x14ac:dyDescent="0.2"/>
  </sheetData>
  <sheetProtection sheet="1" objects="1" scenarios="1" selectLockedCells="1" selectUnlockedCells="1"/>
  <mergeCells count="6">
    <mergeCell ref="A45:L45"/>
    <mergeCell ref="A1:L1"/>
    <mergeCell ref="A2:L2"/>
    <mergeCell ref="A20:L20"/>
    <mergeCell ref="A23:L23"/>
    <mergeCell ref="A34:L34"/>
  </mergeCells>
  <phoneticPr fontId="4" type="noConversion"/>
  <printOptions horizontalCentered="1" verticalCentered="1"/>
  <pageMargins left="0.31496062992125984" right="0.31496062992125984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L253"/>
  <sheetViews>
    <sheetView topLeftCell="Z76" zoomScaleNormal="100" workbookViewId="0">
      <selection activeCell="AV94" sqref="AV94:AV103"/>
    </sheetView>
  </sheetViews>
  <sheetFormatPr defaultRowHeight="11.25" outlineLevelCol="1" x14ac:dyDescent="0.2"/>
  <cols>
    <col min="1" max="1" width="5.33203125" customWidth="1"/>
    <col min="2" max="2" width="8.1640625" customWidth="1"/>
    <col min="3" max="3" width="27.83203125" customWidth="1"/>
    <col min="4" max="6" width="4.83203125" style="168" hidden="1" customWidth="1" outlineLevel="1"/>
    <col min="7" max="9" width="15.83203125" style="176" hidden="1" customWidth="1" outlineLevel="1"/>
    <col min="10" max="10" width="7.33203125" style="176" hidden="1" customWidth="1" outlineLevel="1"/>
    <col min="11" max="11" width="9.33203125" style="176" hidden="1" customWidth="1" outlineLevel="1"/>
    <col min="12" max="12" width="12.83203125" style="183" customWidth="1" collapsed="1"/>
    <col min="13" max="13" width="12.1640625" style="183" customWidth="1"/>
    <col min="14" max="15" width="10.83203125" style="183" customWidth="1"/>
    <col min="16" max="16" width="12.83203125" style="183" customWidth="1"/>
    <col min="17" max="17" width="10.83203125" style="183" customWidth="1"/>
    <col min="18" max="18" width="12.5" style="183" customWidth="1"/>
    <col min="19" max="19" width="12.1640625" style="183" customWidth="1"/>
    <col min="20" max="20" width="11.6640625" customWidth="1"/>
    <col min="21" max="21" width="11.1640625" bestFit="1" customWidth="1"/>
    <col min="22" max="23" width="12.83203125" customWidth="1"/>
    <col min="24" max="26" width="7.83203125" customWidth="1"/>
    <col min="27" max="27" width="12.6640625" bestFit="1" customWidth="1"/>
    <col min="28" max="28" width="13.5" customWidth="1"/>
    <col min="29" max="30" width="11.1640625" customWidth="1"/>
    <col min="31" max="31" width="12.6640625" bestFit="1" customWidth="1"/>
    <col min="32" max="32" width="11" customWidth="1"/>
    <col min="33" max="33" width="14.5" bestFit="1" customWidth="1"/>
    <col min="34" max="34" width="8.1640625" customWidth="1"/>
    <col min="35" max="36" width="15.83203125" bestFit="1" customWidth="1"/>
    <col min="37" max="37" width="7.1640625" customWidth="1"/>
    <col min="38" max="39" width="9.5" bestFit="1" customWidth="1"/>
    <col min="40" max="40" width="7.83203125" bestFit="1" customWidth="1"/>
    <col min="41" max="41" width="15.6640625" bestFit="1" customWidth="1"/>
    <col min="42" max="42" width="7" bestFit="1" customWidth="1"/>
    <col min="43" max="43" width="12.1640625" bestFit="1" customWidth="1"/>
    <col min="44" max="44" width="12.33203125" bestFit="1" customWidth="1"/>
    <col min="45" max="45" width="10.83203125" bestFit="1" customWidth="1"/>
    <col min="46" max="46" width="12.33203125" bestFit="1" customWidth="1"/>
    <col min="47" max="47" width="9.83203125" customWidth="1"/>
    <col min="48" max="48" width="11.33203125" bestFit="1" customWidth="1"/>
    <col min="49" max="49" width="4.1640625" customWidth="1"/>
    <col min="51" max="51" width="10" customWidth="1"/>
    <col min="52" max="52" width="13.33203125" bestFit="1" customWidth="1"/>
    <col min="53" max="53" width="12.1640625" bestFit="1" customWidth="1"/>
    <col min="54" max="54" width="10.83203125" bestFit="1" customWidth="1"/>
    <col min="55" max="57" width="9.5" bestFit="1" customWidth="1"/>
    <col min="58" max="58" width="12.1640625" customWidth="1"/>
    <col min="59" max="59" width="12.1640625" bestFit="1" customWidth="1"/>
    <col min="60" max="60" width="10.83203125" bestFit="1" customWidth="1"/>
    <col min="61" max="61" width="9.83203125" bestFit="1" customWidth="1"/>
    <col min="62" max="62" width="12.1640625" bestFit="1" customWidth="1"/>
    <col min="63" max="63" width="10.83203125" bestFit="1" customWidth="1"/>
    <col min="64" max="64" width="9.83203125" bestFit="1" customWidth="1"/>
  </cols>
  <sheetData>
    <row r="1" spans="1:64" ht="11.25" customHeight="1" x14ac:dyDescent="0.2">
      <c r="A1" s="301"/>
      <c r="L1" s="817" t="s">
        <v>57</v>
      </c>
      <c r="M1" s="817"/>
      <c r="N1" s="216"/>
      <c r="O1" s="184"/>
      <c r="P1" s="185"/>
      <c r="Q1" s="259" t="s">
        <v>595</v>
      </c>
      <c r="R1" s="185"/>
      <c r="S1" s="185"/>
      <c r="T1" s="117"/>
      <c r="U1" s="7"/>
      <c r="V1" s="7"/>
      <c r="W1" s="116"/>
      <c r="X1" s="116"/>
      <c r="Y1" s="117"/>
      <c r="Z1" s="117"/>
      <c r="AA1" s="117"/>
      <c r="AB1" s="117"/>
      <c r="AC1" s="117"/>
      <c r="AD1" s="117"/>
      <c r="AE1" s="117"/>
      <c r="AF1" s="7"/>
      <c r="AG1" s="116"/>
      <c r="AH1" s="116"/>
      <c r="AI1" s="117"/>
      <c r="AM1" s="243" t="s">
        <v>329</v>
      </c>
      <c r="AQ1" s="365" t="s">
        <v>117</v>
      </c>
      <c r="AR1" s="365" t="s">
        <v>118</v>
      </c>
      <c r="AS1" s="365" t="s">
        <v>119</v>
      </c>
      <c r="AT1" s="365" t="s">
        <v>120</v>
      </c>
      <c r="AU1" s="365" t="s">
        <v>121</v>
      </c>
      <c r="AV1" s="365" t="s">
        <v>122</v>
      </c>
      <c r="AY1" s="19"/>
      <c r="AZ1" s="248" t="s">
        <v>345</v>
      </c>
      <c r="BA1" s="248" t="s">
        <v>426</v>
      </c>
      <c r="BB1" s="248" t="s">
        <v>427</v>
      </c>
      <c r="BC1" s="19"/>
      <c r="BD1" s="19"/>
      <c r="BE1" s="19"/>
      <c r="BF1" s="49">
        <v>600170160</v>
      </c>
      <c r="BG1" s="49">
        <v>60016320</v>
      </c>
      <c r="BH1" s="19"/>
      <c r="BI1" s="19"/>
      <c r="BJ1" s="19"/>
      <c r="BK1" s="19"/>
      <c r="BL1" s="19"/>
    </row>
    <row r="2" spans="1:64" x14ac:dyDescent="0.2">
      <c r="E2" s="169"/>
      <c r="F2" s="169"/>
      <c r="G2" s="177"/>
      <c r="H2" s="177"/>
      <c r="I2" s="177"/>
      <c r="L2" s="817" t="s">
        <v>58</v>
      </c>
      <c r="M2" s="817"/>
      <c r="N2" s="216"/>
      <c r="O2" s="186"/>
      <c r="P2" s="186"/>
      <c r="Q2" s="260" t="s">
        <v>572</v>
      </c>
      <c r="R2" s="186"/>
      <c r="S2" s="186"/>
      <c r="T2" s="118"/>
      <c r="U2" s="7"/>
      <c r="V2" s="7"/>
      <c r="W2" s="119"/>
      <c r="X2" s="120"/>
      <c r="Y2" s="120"/>
      <c r="Z2" s="120"/>
      <c r="AA2" s="120"/>
      <c r="AB2" s="120"/>
      <c r="AC2" s="120"/>
      <c r="AD2" s="120"/>
      <c r="AE2" s="120"/>
      <c r="AF2" s="7"/>
      <c r="AG2" s="119"/>
      <c r="AH2" s="120"/>
      <c r="AI2" s="120"/>
      <c r="AM2" s="244"/>
      <c r="AO2" s="818">
        <v>2010</v>
      </c>
      <c r="AP2" s="363" t="s">
        <v>239</v>
      </c>
      <c r="AQ2" s="114">
        <f t="shared" ref="AQ2:AV2" si="0">SUM(AQ22:AQ26,AQ32)</f>
        <v>2386969200</v>
      </c>
      <c r="AR2" s="101">
        <f t="shared" si="0"/>
        <v>40115120.359999999</v>
      </c>
      <c r="AS2" s="101">
        <f t="shared" si="0"/>
        <v>266407200</v>
      </c>
      <c r="AT2" s="101">
        <f t="shared" si="0"/>
        <v>40040292</v>
      </c>
      <c r="AU2" s="101">
        <f t="shared" si="0"/>
        <v>26640000</v>
      </c>
      <c r="AV2" s="102">
        <f t="shared" si="0"/>
        <v>18306312</v>
      </c>
      <c r="AY2" s="19"/>
      <c r="AZ2" s="19">
        <f>SUM(AZ6:AZ9)/4/4</f>
        <v>973159050</v>
      </c>
      <c r="BA2" s="19">
        <f>SUM(BA6:BA9)/4/4</f>
        <v>257887148.25</v>
      </c>
      <c r="BB2" s="19">
        <f>SUM(BB6:BB9)/4/4</f>
        <v>25788714.825000003</v>
      </c>
      <c r="BC2" s="19"/>
      <c r="BD2" s="19"/>
      <c r="BE2" s="19"/>
      <c r="BF2" s="49">
        <v>1018839600</v>
      </c>
      <c r="BG2" s="49">
        <v>101883600</v>
      </c>
      <c r="BH2" s="19"/>
      <c r="BI2" s="19"/>
      <c r="BJ2" s="19"/>
      <c r="BK2" s="19"/>
      <c r="BL2" s="19"/>
    </row>
    <row r="3" spans="1:64" x14ac:dyDescent="0.2">
      <c r="E3" s="169"/>
      <c r="F3" s="169"/>
      <c r="G3" s="177"/>
      <c r="H3" s="177"/>
      <c r="I3" s="177"/>
      <c r="L3" s="817" t="s">
        <v>302</v>
      </c>
      <c r="M3" s="817"/>
      <c r="N3" s="175">
        <f>VLOOKUP('II. Sledování projektu'!$C$5,vyber21,4,0)</f>
        <v>1</v>
      </c>
      <c r="O3" s="186"/>
      <c r="P3" s="186"/>
      <c r="Q3" s="259" t="s">
        <v>356</v>
      </c>
      <c r="R3" s="186"/>
      <c r="S3" s="186"/>
      <c r="T3" s="118"/>
      <c r="U3" s="7"/>
      <c r="V3" s="7"/>
      <c r="W3" s="119"/>
      <c r="X3" s="120"/>
      <c r="Y3" s="120"/>
      <c r="Z3" s="120"/>
      <c r="AA3" s="120"/>
      <c r="AB3" s="120"/>
      <c r="AC3" s="120"/>
      <c r="AD3" s="120"/>
      <c r="AE3" s="120"/>
      <c r="AF3" s="7"/>
      <c r="AG3" s="119"/>
      <c r="AH3" s="120"/>
      <c r="AI3" s="120"/>
      <c r="AM3" s="244"/>
      <c r="AO3" s="819"/>
      <c r="AP3" s="364" t="s">
        <v>238</v>
      </c>
      <c r="AQ3" s="115">
        <f t="shared" ref="AQ3:AV3" si="1">SUM(AQ27:AQ31,AQ33)</f>
        <v>1505667000</v>
      </c>
      <c r="AR3" s="106">
        <f t="shared" si="1"/>
        <v>15264596.440000001</v>
      </c>
      <c r="AS3" s="106">
        <f t="shared" si="1"/>
        <v>333947640</v>
      </c>
      <c r="AT3" s="106">
        <f t="shared" si="1"/>
        <v>11711293.380000001</v>
      </c>
      <c r="AU3" s="106">
        <f t="shared" si="1"/>
        <v>33394920</v>
      </c>
      <c r="AV3" s="107">
        <f t="shared" si="1"/>
        <v>5310034.8999999994</v>
      </c>
      <c r="AY3" s="19"/>
      <c r="AZ3" s="49">
        <f>SUM(AZ6:AZ9)</f>
        <v>15570544800</v>
      </c>
      <c r="BA3" s="49">
        <f>AZ3*26.5%/4</f>
        <v>1031548593</v>
      </c>
      <c r="BB3" s="49">
        <f>BA3*10%</f>
        <v>103154859.30000001</v>
      </c>
      <c r="BC3" s="19"/>
      <c r="BD3" s="19"/>
      <c r="BE3" s="19"/>
      <c r="BF3" s="49">
        <v>1145382000</v>
      </c>
      <c r="BG3" s="49">
        <v>114538800</v>
      </c>
      <c r="BH3" s="19"/>
      <c r="BI3" s="19"/>
      <c r="BJ3" s="19"/>
      <c r="BK3" s="19"/>
      <c r="BL3" s="19"/>
    </row>
    <row r="4" spans="1:64" x14ac:dyDescent="0.2">
      <c r="C4" s="19"/>
      <c r="D4" s="169"/>
      <c r="E4" s="169"/>
      <c r="F4" s="169"/>
      <c r="G4" s="177"/>
      <c r="H4" s="177"/>
      <c r="I4" s="177"/>
      <c r="L4" s="817" t="s">
        <v>301</v>
      </c>
      <c r="M4" s="817"/>
      <c r="N4" s="175" t="s">
        <v>113</v>
      </c>
      <c r="O4" s="186"/>
      <c r="P4" s="186"/>
      <c r="Q4" s="266" t="s">
        <v>354</v>
      </c>
      <c r="R4" s="186"/>
      <c r="S4" s="186"/>
      <c r="T4" s="118"/>
      <c r="U4" s="7"/>
      <c r="V4" s="7"/>
      <c r="W4" s="121"/>
      <c r="X4" s="40"/>
      <c r="Y4" s="40"/>
      <c r="Z4" s="40"/>
      <c r="AA4" s="40"/>
      <c r="AB4" s="40"/>
      <c r="AC4" s="40"/>
      <c r="AD4" s="40"/>
      <c r="AE4" s="40"/>
      <c r="AF4" s="7"/>
      <c r="AG4" s="40"/>
      <c r="AH4" s="40"/>
      <c r="AI4" s="40"/>
      <c r="AM4" s="244"/>
      <c r="AO4" s="818">
        <v>2011</v>
      </c>
      <c r="AP4" s="363" t="s">
        <v>239</v>
      </c>
      <c r="AQ4" s="114">
        <f t="shared" ref="AQ4:AV4" si="2">SUM(AQ34:AQ38,AQ44)</f>
        <v>2386969200</v>
      </c>
      <c r="AR4" s="101">
        <f t="shared" si="2"/>
        <v>154937118.31</v>
      </c>
      <c r="AS4" s="101">
        <f t="shared" si="2"/>
        <v>417445200</v>
      </c>
      <c r="AT4" s="101">
        <f t="shared" si="2"/>
        <v>114748937.33</v>
      </c>
      <c r="AU4" s="101">
        <f t="shared" si="2"/>
        <v>41744400</v>
      </c>
      <c r="AV4" s="102">
        <f t="shared" si="2"/>
        <v>52996500.979999997</v>
      </c>
      <c r="AY4" s="381" t="s">
        <v>451</v>
      </c>
      <c r="AZ4" s="382">
        <v>3731347633.4000001</v>
      </c>
      <c r="BA4" s="385">
        <v>1084436558.7878211</v>
      </c>
      <c r="BB4" s="385">
        <v>108443673.41745138</v>
      </c>
      <c r="BC4" s="19"/>
      <c r="BD4" s="19"/>
      <c r="BE4" s="19"/>
      <c r="BF4" s="49">
        <v>1229860800</v>
      </c>
      <c r="BG4" s="49">
        <v>122986080</v>
      </c>
      <c r="BH4" s="19"/>
      <c r="BI4" s="19"/>
      <c r="BJ4" s="19"/>
      <c r="BK4" s="19"/>
      <c r="BL4" s="19"/>
    </row>
    <row r="5" spans="1:64" x14ac:dyDescent="0.2">
      <c r="C5" s="19"/>
      <c r="D5" s="169"/>
      <c r="E5" s="169"/>
      <c r="F5" s="169"/>
      <c r="G5" s="177"/>
      <c r="H5" s="177"/>
      <c r="I5" s="177"/>
      <c r="L5" s="817" t="s">
        <v>355</v>
      </c>
      <c r="M5" s="817"/>
      <c r="N5" s="217">
        <v>0.1</v>
      </c>
      <c r="O5" s="340" t="s">
        <v>396</v>
      </c>
      <c r="P5" s="186"/>
      <c r="Q5" s="282" t="s">
        <v>571</v>
      </c>
      <c r="R5" s="283"/>
      <c r="S5" s="260"/>
      <c r="T5" s="118"/>
      <c r="U5" s="7"/>
      <c r="V5" s="7"/>
      <c r="W5" s="119"/>
      <c r="X5" s="120"/>
      <c r="Y5" s="120"/>
      <c r="Z5" s="120"/>
      <c r="AA5" s="120"/>
      <c r="AB5" s="120"/>
      <c r="AC5" s="120"/>
      <c r="AD5" s="120"/>
      <c r="AE5" s="120"/>
      <c r="AF5" s="7"/>
      <c r="AG5" s="119"/>
      <c r="AH5" s="120"/>
      <c r="AI5" s="120"/>
      <c r="AM5" s="244"/>
      <c r="AO5" s="819"/>
      <c r="AP5" s="364" t="s">
        <v>238</v>
      </c>
      <c r="AQ5" s="115">
        <f t="shared" ref="AQ5:AV5" si="3">SUM(AQ39:AQ43,AQ45)</f>
        <v>1505665800</v>
      </c>
      <c r="AR5" s="106">
        <f t="shared" si="3"/>
        <v>273705925.50999999</v>
      </c>
      <c r="AS5" s="106">
        <f t="shared" si="3"/>
        <v>601719888</v>
      </c>
      <c r="AT5" s="106">
        <f t="shared" si="3"/>
        <v>145337718.55000001</v>
      </c>
      <c r="AU5" s="106">
        <f t="shared" si="3"/>
        <v>60172800</v>
      </c>
      <c r="AV5" s="107">
        <f t="shared" si="3"/>
        <v>15354749.550000001</v>
      </c>
      <c r="AY5" s="379" t="s">
        <v>450</v>
      </c>
      <c r="AZ5" s="380">
        <v>3831066173</v>
      </c>
      <c r="BA5" s="380">
        <v>1124935428</v>
      </c>
      <c r="BB5" s="380">
        <v>95771528</v>
      </c>
      <c r="BC5" s="19"/>
      <c r="BD5" s="19"/>
      <c r="BE5" s="19"/>
      <c r="BF5" s="19"/>
      <c r="BG5" s="19"/>
      <c r="BH5" s="19"/>
      <c r="BI5" s="19"/>
      <c r="BJ5" s="19"/>
      <c r="BK5" s="19"/>
      <c r="BL5" s="19"/>
    </row>
    <row r="6" spans="1:64" x14ac:dyDescent="0.2">
      <c r="C6" s="19"/>
      <c r="D6" s="170"/>
      <c r="F6" s="169"/>
      <c r="G6" s="233"/>
      <c r="H6" s="177"/>
      <c r="I6" s="177"/>
      <c r="L6" s="817" t="s">
        <v>307</v>
      </c>
      <c r="M6" s="817"/>
      <c r="N6" s="217">
        <v>0.25600000000000001</v>
      </c>
      <c r="O6" s="341">
        <v>0.8</v>
      </c>
      <c r="Q6" s="358" t="s">
        <v>439</v>
      </c>
      <c r="R6" s="187"/>
      <c r="S6" s="260"/>
      <c r="T6" s="40"/>
      <c r="U6" s="7"/>
      <c r="V6" s="221"/>
      <c r="W6" s="119"/>
      <c r="X6" s="361" t="s">
        <v>433</v>
      </c>
      <c r="Y6" s="360"/>
      <c r="Z6" s="360"/>
      <c r="AA6" s="120"/>
      <c r="AB6" s="120"/>
      <c r="AC6" s="120"/>
      <c r="AD6" s="120"/>
      <c r="AE6" s="120"/>
      <c r="AF6" s="7"/>
      <c r="AG6" s="119"/>
      <c r="AH6" s="120"/>
      <c r="AI6" s="120"/>
      <c r="AM6" s="244"/>
      <c r="AO6" s="818">
        <v>2012</v>
      </c>
      <c r="AP6" s="363" t="s">
        <v>239</v>
      </c>
      <c r="AQ6" s="114">
        <f t="shared" ref="AQ6:AV6" si="4">SUM(AQ46:AQ50,AQ56)</f>
        <v>2386969200</v>
      </c>
      <c r="AR6" s="101">
        <f t="shared" si="4"/>
        <v>1763497635.7200003</v>
      </c>
      <c r="AS6" s="101">
        <f t="shared" si="4"/>
        <v>484452000</v>
      </c>
      <c r="AT6" s="101">
        <f t="shared" si="4"/>
        <v>176881244.72</v>
      </c>
      <c r="AU6" s="101">
        <f t="shared" si="4"/>
        <v>48444720</v>
      </c>
      <c r="AV6" s="102">
        <f t="shared" si="4"/>
        <v>50104879.099999994</v>
      </c>
      <c r="AY6" s="19" t="s">
        <v>335</v>
      </c>
      <c r="AZ6" s="49">
        <v>3892636200</v>
      </c>
      <c r="BA6" s="49">
        <v>1031548593</v>
      </c>
      <c r="BB6" s="49">
        <v>103154859.30000001</v>
      </c>
      <c r="BC6" s="19"/>
      <c r="BD6" s="19"/>
      <c r="BE6" s="19"/>
      <c r="BF6" s="19"/>
      <c r="BG6" s="19"/>
      <c r="BH6" s="19"/>
      <c r="BI6" s="19"/>
      <c r="BJ6" s="19"/>
      <c r="BK6" s="19"/>
      <c r="BL6" s="19"/>
    </row>
    <row r="7" spans="1:64" x14ac:dyDescent="0.2">
      <c r="C7" s="19"/>
      <c r="D7" s="169"/>
      <c r="E7" s="169"/>
      <c r="F7" s="169"/>
      <c r="G7" s="177"/>
      <c r="H7" s="177"/>
      <c r="I7" s="177"/>
      <c r="L7" s="817" t="s">
        <v>326</v>
      </c>
      <c r="M7" s="817"/>
      <c r="N7" s="171">
        <v>6</v>
      </c>
      <c r="Q7" s="666" t="s">
        <v>602</v>
      </c>
      <c r="R7" s="220"/>
      <c r="S7" s="220"/>
      <c r="T7" s="14"/>
      <c r="U7" s="14"/>
      <c r="V7" s="14"/>
      <c r="AM7" s="244"/>
      <c r="AO7" s="819"/>
      <c r="AP7" s="364" t="s">
        <v>238</v>
      </c>
      <c r="AQ7" s="115">
        <f t="shared" ref="AQ7:AV7" si="5">SUM(AQ51:AQ55,AQ57)</f>
        <v>1505665800</v>
      </c>
      <c r="AR7" s="106">
        <f t="shared" si="5"/>
        <v>818335848.56999993</v>
      </c>
      <c r="AS7" s="106">
        <f t="shared" si="5"/>
        <v>661069800</v>
      </c>
      <c r="AT7" s="106">
        <f t="shared" si="5"/>
        <v>374736362.25</v>
      </c>
      <c r="AU7" s="106">
        <f t="shared" si="5"/>
        <v>66107280</v>
      </c>
      <c r="AV7" s="107">
        <f t="shared" si="5"/>
        <v>28378237.41</v>
      </c>
      <c r="AY7" s="19" t="s">
        <v>336</v>
      </c>
      <c r="AZ7" s="49">
        <v>3892636200</v>
      </c>
      <c r="BA7" s="49">
        <v>1031548593</v>
      </c>
      <c r="BB7" s="49">
        <v>103154859.30000001</v>
      </c>
      <c r="BC7" s="19"/>
      <c r="BD7" s="19"/>
      <c r="BE7" s="19"/>
      <c r="BF7" s="19"/>
      <c r="BG7" s="19"/>
      <c r="BH7" s="19"/>
      <c r="BI7" s="19"/>
      <c r="BJ7" s="19"/>
      <c r="BK7" s="19"/>
      <c r="BL7" s="19"/>
    </row>
    <row r="8" spans="1:64" ht="12.75" x14ac:dyDescent="0.2">
      <c r="A8" s="48"/>
      <c r="B8" s="46" t="s">
        <v>69</v>
      </c>
      <c r="C8" s="208"/>
      <c r="D8" s="209"/>
      <c r="E8" s="209"/>
      <c r="F8" s="210"/>
      <c r="G8" s="211"/>
      <c r="H8" s="211"/>
      <c r="I8" s="212"/>
      <c r="L8" s="817" t="s">
        <v>327</v>
      </c>
      <c r="M8" s="817"/>
      <c r="N8" s="20" t="s">
        <v>601</v>
      </c>
      <c r="R8" s="222"/>
      <c r="S8" s="221"/>
      <c r="T8" s="222"/>
      <c r="U8" s="221"/>
      <c r="V8" s="14"/>
      <c r="W8" s="213" t="s">
        <v>68</v>
      </c>
      <c r="AA8" s="223" t="s">
        <v>62</v>
      </c>
      <c r="AB8" s="223" t="s">
        <v>63</v>
      </c>
      <c r="AC8" s="223" t="s">
        <v>65</v>
      </c>
      <c r="AE8" s="223" t="s">
        <v>66</v>
      </c>
      <c r="AF8" s="223" t="s">
        <v>77</v>
      </c>
      <c r="AH8" s="123"/>
      <c r="AI8" s="223" t="s">
        <v>61</v>
      </c>
      <c r="AM8" s="244"/>
      <c r="AO8" s="818">
        <v>2013</v>
      </c>
      <c r="AP8" s="363" t="s">
        <v>239</v>
      </c>
      <c r="AQ8" s="114">
        <f t="shared" ref="AQ8:AV8" si="6">SUM(AQ58:AQ62,AQ68)</f>
        <v>2386969200</v>
      </c>
      <c r="AR8" s="101">
        <f t="shared" si="6"/>
        <v>1993748290.8399999</v>
      </c>
      <c r="AS8" s="101">
        <f t="shared" si="6"/>
        <v>530836800</v>
      </c>
      <c r="AT8" s="101">
        <f t="shared" si="6"/>
        <v>184289993.37</v>
      </c>
      <c r="AU8" s="101">
        <f t="shared" si="6"/>
        <v>53083200</v>
      </c>
      <c r="AV8" s="102">
        <f t="shared" si="6"/>
        <v>73659882.290000007</v>
      </c>
      <c r="AY8" s="19" t="s">
        <v>334</v>
      </c>
      <c r="AZ8" s="49">
        <v>3892636200</v>
      </c>
      <c r="BA8" s="49">
        <v>1031548593</v>
      </c>
      <c r="BB8" s="49">
        <v>103154859.30000001</v>
      </c>
      <c r="BC8" s="19"/>
      <c r="BD8" s="19"/>
      <c r="BE8" s="19"/>
      <c r="BF8" s="19"/>
      <c r="BG8" s="19"/>
      <c r="BH8" s="19"/>
      <c r="BI8" s="19"/>
      <c r="BJ8" s="19" t="str">
        <f ca="1">BJ11&amp;TEXT(OFFSET(BJ11,COUNT(BJ12:BJ100),0)/1000000,"# ##0,00")&amp;" mil.Kč"</f>
        <v>Evidence : 0,00 mil.Kč</v>
      </c>
      <c r="BK8" s="19" t="str">
        <f ca="1">BK11&amp;TEXT(OFFSET(BK11,COUNT(BK12:BK100),0)/1000000,"# ##0,00")&amp;" mil.Kč"</f>
        <v>Dodržena cena : 0,00 mil.Kč</v>
      </c>
      <c r="BL8" s="19" t="str">
        <f ca="1">BL11&amp;TEXT(OFFSET(BL11,COUNT(BL12:BL100),0)/1000000,"# ##0,00")&amp;" mil.Kč"</f>
        <v>Úspora : 0,00 mil.Kč</v>
      </c>
    </row>
    <row r="9" spans="1:64" x14ac:dyDescent="0.2">
      <c r="A9" s="48">
        <v>1</v>
      </c>
      <c r="B9" s="47">
        <v>2</v>
      </c>
      <c r="C9" s="41">
        <v>3</v>
      </c>
      <c r="D9" s="172">
        <v>4</v>
      </c>
      <c r="E9" s="172">
        <v>5</v>
      </c>
      <c r="F9" s="172">
        <v>6</v>
      </c>
      <c r="G9" s="178">
        <v>7</v>
      </c>
      <c r="H9" s="178">
        <v>8</v>
      </c>
      <c r="I9" s="178">
        <v>9</v>
      </c>
      <c r="J9" s="178">
        <v>10</v>
      </c>
      <c r="K9" s="178">
        <v>11</v>
      </c>
      <c r="L9" s="94">
        <v>12</v>
      </c>
      <c r="M9" s="94">
        <v>13</v>
      </c>
      <c r="N9" s="94">
        <v>14</v>
      </c>
      <c r="O9" s="94">
        <v>15</v>
      </c>
      <c r="P9" s="94">
        <v>16</v>
      </c>
      <c r="Q9" s="94">
        <v>17</v>
      </c>
      <c r="R9" s="94">
        <v>18</v>
      </c>
      <c r="S9" s="219">
        <v>19</v>
      </c>
      <c r="T9" s="41">
        <v>20</v>
      </c>
      <c r="U9" s="41">
        <v>21</v>
      </c>
      <c r="V9" s="41">
        <v>22</v>
      </c>
      <c r="W9" s="218">
        <v>23</v>
      </c>
      <c r="X9" s="41">
        <v>24</v>
      </c>
      <c r="Y9" s="41">
        <v>25</v>
      </c>
      <c r="Z9" s="41">
        <v>26</v>
      </c>
      <c r="AA9" s="41">
        <v>27</v>
      </c>
      <c r="AB9" s="41">
        <v>28</v>
      </c>
      <c r="AC9" s="41">
        <v>29</v>
      </c>
      <c r="AD9" s="41">
        <v>30</v>
      </c>
      <c r="AE9" s="41">
        <v>31</v>
      </c>
      <c r="AF9" s="41">
        <v>32</v>
      </c>
      <c r="AG9" s="41">
        <v>33</v>
      </c>
      <c r="AH9" s="41">
        <v>34</v>
      </c>
      <c r="AI9" s="41">
        <v>35</v>
      </c>
      <c r="AJ9" s="41">
        <v>36</v>
      </c>
      <c r="AK9" s="41">
        <v>37</v>
      </c>
      <c r="AM9" s="244"/>
      <c r="AO9" s="819"/>
      <c r="AP9" s="364" t="s">
        <v>238</v>
      </c>
      <c r="AQ9" s="115">
        <f t="shared" ref="AQ9:AV9" si="7">SUM(AQ63:AQ67,AQ69)</f>
        <v>1505665800</v>
      </c>
      <c r="AR9" s="106">
        <f t="shared" si="7"/>
        <v>936148745.83000004</v>
      </c>
      <c r="AS9" s="106">
        <f t="shared" si="7"/>
        <v>699066624</v>
      </c>
      <c r="AT9" s="106">
        <f t="shared" si="7"/>
        <v>395523791.00999999</v>
      </c>
      <c r="AU9" s="106">
        <f t="shared" si="7"/>
        <v>69906600</v>
      </c>
      <c r="AV9" s="107">
        <f t="shared" si="7"/>
        <v>26504763.530000001</v>
      </c>
      <c r="AY9" s="19" t="s">
        <v>337</v>
      </c>
      <c r="AZ9" s="49">
        <v>3892636200</v>
      </c>
      <c r="BA9" s="49">
        <v>1031548593</v>
      </c>
      <c r="BB9" s="49">
        <v>103154859.30000001</v>
      </c>
      <c r="BC9" s="19"/>
      <c r="BD9" s="19"/>
      <c r="BE9" s="19"/>
      <c r="BF9" s="19"/>
      <c r="BG9" s="250">
        <f>SUBTOTAL(9,data!BG12:BG23)</f>
        <v>0</v>
      </c>
      <c r="BH9" s="250">
        <f>SUBTOTAL(9,data!BH12:BH23)</f>
        <v>0</v>
      </c>
      <c r="BI9" s="250">
        <f>SUBTOTAL(9,data!BI12:BI23)</f>
        <v>0</v>
      </c>
      <c r="BJ9" s="823" t="s">
        <v>248</v>
      </c>
      <c r="BK9" s="823"/>
      <c r="BL9" s="823"/>
    </row>
    <row r="10" spans="1:64" x14ac:dyDescent="0.2">
      <c r="A10" s="81"/>
      <c r="B10" s="82"/>
      <c r="C10" s="80" t="s">
        <v>16</v>
      </c>
      <c r="D10" s="677"/>
      <c r="E10" s="202"/>
      <c r="F10" s="203"/>
      <c r="G10" s="204"/>
      <c r="H10" s="204"/>
      <c r="I10" s="205"/>
      <c r="J10" s="206"/>
      <c r="K10" s="207"/>
      <c r="L10" s="83">
        <f t="shared" ref="L10:W10" si="8">SUBTOTAL(109,L12:L189)</f>
        <v>1261547577.3394341</v>
      </c>
      <c r="M10" s="83">
        <f t="shared" si="8"/>
        <v>603882896.17999971</v>
      </c>
      <c r="N10" s="83">
        <f t="shared" si="8"/>
        <v>155954212.41862631</v>
      </c>
      <c r="O10" s="83">
        <f t="shared" si="8"/>
        <v>123341972.84999992</v>
      </c>
      <c r="P10" s="83">
        <f t="shared" si="8"/>
        <v>15595421.241862617</v>
      </c>
      <c r="Q10" s="83">
        <f t="shared" si="8"/>
        <v>48212106.140000023</v>
      </c>
      <c r="R10" s="83">
        <f t="shared" si="8"/>
        <v>647637579.1311934</v>
      </c>
      <c r="S10" s="83">
        <f t="shared" si="8"/>
        <v>460238188.8900001</v>
      </c>
      <c r="T10" s="83">
        <f t="shared" si="8"/>
        <v>189084890.40520626</v>
      </c>
      <c r="U10" s="83">
        <f t="shared" si="8"/>
        <v>123385510.63000003</v>
      </c>
      <c r="V10" s="83">
        <f t="shared" si="8"/>
        <v>18908489.040520642</v>
      </c>
      <c r="W10" s="264">
        <f t="shared" si="8"/>
        <v>17229380.150000002</v>
      </c>
      <c r="X10" s="262">
        <v>0.17895013724199199</v>
      </c>
      <c r="Y10" s="258">
        <v>0.38077863764275788</v>
      </c>
      <c r="Z10" s="258">
        <v>0.25707838260649069</v>
      </c>
      <c r="AA10" s="83">
        <f>SUBTOTAL(109,AA12:AA189)</f>
        <v>1909185156.4706273</v>
      </c>
      <c r="AB10" s="83">
        <f>SUBTOTAL(109,AB12:AB189)</f>
        <v>1064121085.0700001</v>
      </c>
      <c r="AC10" s="83"/>
      <c r="AD10" s="83">
        <f>SUBTOTAL(109,AD12:AD189)</f>
        <v>354645095.2069211</v>
      </c>
      <c r="AE10" s="83">
        <f>SUBTOTAL(109,AE12:AE189)</f>
        <v>246727483.48000002</v>
      </c>
      <c r="AF10" s="267">
        <f>SUBTOTAL(109,AF12:AF189)</f>
        <v>65441486.290000029</v>
      </c>
      <c r="AG10" s="226">
        <f>IF((AB10/(AA10*$O$6)*vahaE)&gt;vahaE,vahaE,AB10/(AA10*$O$6)*vahaE)</f>
        <v>27.868462141125271</v>
      </c>
      <c r="AH10" s="226">
        <f>IF((AE10/AD10*vahaD)&gt;vahaD,vahaD,AE10/AD10*vahaD)</f>
        <v>41.742150699032422</v>
      </c>
      <c r="AI10" s="226">
        <f>IF((AB10/(AA10*$O$6)*vahaE)&gt;vahaE,vahaE,AB10/(AA10*$O$6)*vahaE)+IF((AE10/AD10*vahaD)&gt;vahaD,vahaD,AE10/AD10*vahaD)</f>
        <v>69.6106128401577</v>
      </c>
      <c r="AJ10" s="314">
        <v>52.454083062655684</v>
      </c>
      <c r="AM10" s="244"/>
      <c r="AY10" s="808" t="s">
        <v>330</v>
      </c>
      <c r="AZ10" s="809"/>
      <c r="BA10" s="809"/>
      <c r="BB10" s="809"/>
      <c r="BC10" s="809"/>
      <c r="BD10" s="809"/>
      <c r="BE10" s="809"/>
      <c r="BF10" s="808" t="s">
        <v>333</v>
      </c>
      <c r="BG10" s="809"/>
      <c r="BH10" s="809"/>
      <c r="BI10" s="809"/>
      <c r="BJ10" s="809"/>
      <c r="BK10" s="809"/>
      <c r="BL10" s="810"/>
    </row>
    <row r="11" spans="1:64" s="17" customFormat="1" ht="33.75" x14ac:dyDescent="0.2">
      <c r="A11" s="663" t="s">
        <v>15</v>
      </c>
      <c r="B11" s="664" t="s">
        <v>281</v>
      </c>
      <c r="C11" s="679" t="s">
        <v>282</v>
      </c>
      <c r="D11" s="678" t="s">
        <v>298</v>
      </c>
      <c r="E11" s="197" t="s">
        <v>297</v>
      </c>
      <c r="F11" s="197" t="s">
        <v>296</v>
      </c>
      <c r="G11" s="197" t="s">
        <v>283</v>
      </c>
      <c r="H11" s="197" t="s">
        <v>284</v>
      </c>
      <c r="I11" s="197" t="s">
        <v>285</v>
      </c>
      <c r="J11" s="197" t="s">
        <v>286</v>
      </c>
      <c r="K11" s="198" t="s">
        <v>287</v>
      </c>
      <c r="L11" s="188" t="s">
        <v>311</v>
      </c>
      <c r="M11" s="189" t="s">
        <v>312</v>
      </c>
      <c r="N11" s="320" t="s">
        <v>315</v>
      </c>
      <c r="O11" s="189" t="s">
        <v>316</v>
      </c>
      <c r="P11" s="320" t="s">
        <v>314</v>
      </c>
      <c r="Q11" s="190" t="s">
        <v>313</v>
      </c>
      <c r="R11" s="191" t="s">
        <v>317</v>
      </c>
      <c r="S11" s="191" t="s">
        <v>318</v>
      </c>
      <c r="T11" s="320" t="s">
        <v>319</v>
      </c>
      <c r="U11" s="191" t="s">
        <v>320</v>
      </c>
      <c r="V11" s="320" t="s">
        <v>321</v>
      </c>
      <c r="W11" s="265" t="s">
        <v>322</v>
      </c>
      <c r="X11" s="263" t="s">
        <v>299</v>
      </c>
      <c r="Y11" s="255" t="s">
        <v>300</v>
      </c>
      <c r="Z11" s="198" t="s">
        <v>349</v>
      </c>
      <c r="AA11" s="16" t="s">
        <v>303</v>
      </c>
      <c r="AB11" s="16" t="s">
        <v>304</v>
      </c>
      <c r="AC11" s="16" t="s">
        <v>353</v>
      </c>
      <c r="AD11" s="16" t="s">
        <v>323</v>
      </c>
      <c r="AE11" s="16" t="s">
        <v>305</v>
      </c>
      <c r="AF11" s="16" t="s">
        <v>306</v>
      </c>
      <c r="AG11" s="268" t="s">
        <v>308</v>
      </c>
      <c r="AH11" s="269" t="s">
        <v>309</v>
      </c>
      <c r="AI11" s="239" t="s">
        <v>310</v>
      </c>
      <c r="AJ11" s="315" t="s">
        <v>389</v>
      </c>
      <c r="AK11" s="321" t="s">
        <v>392</v>
      </c>
      <c r="AL11" s="18"/>
      <c r="AY11" s="246" t="s">
        <v>247</v>
      </c>
      <c r="AZ11" s="247" t="s">
        <v>118</v>
      </c>
      <c r="BA11" s="247" t="s">
        <v>120</v>
      </c>
      <c r="BB11" s="247" t="s">
        <v>331</v>
      </c>
      <c r="BC11" s="247" t="s">
        <v>332</v>
      </c>
      <c r="BD11" s="247" t="s">
        <v>120</v>
      </c>
      <c r="BE11" s="247" t="s">
        <v>331</v>
      </c>
      <c r="BF11" s="251" t="s">
        <v>247</v>
      </c>
      <c r="BG11" s="251" t="s">
        <v>118</v>
      </c>
      <c r="BH11" s="251" t="s">
        <v>120</v>
      </c>
      <c r="BI11" s="251" t="s">
        <v>246</v>
      </c>
      <c r="BJ11" s="251" t="s">
        <v>379</v>
      </c>
      <c r="BK11" s="251" t="s">
        <v>380</v>
      </c>
      <c r="BL11" s="251" t="s">
        <v>423</v>
      </c>
    </row>
    <row r="12" spans="1:64" ht="11.25" customHeight="1" x14ac:dyDescent="0.2">
      <c r="A12" s="6">
        <v>1</v>
      </c>
      <c r="B12" s="199">
        <v>60351</v>
      </c>
      <c r="C12" s="680" t="s">
        <v>543</v>
      </c>
      <c r="D12" s="173" t="s">
        <v>14</v>
      </c>
      <c r="E12" s="173" t="s">
        <v>14</v>
      </c>
      <c r="F12" s="174" t="s">
        <v>113</v>
      </c>
      <c r="G12" s="179" t="s">
        <v>2</v>
      </c>
      <c r="H12" s="179" t="s">
        <v>575</v>
      </c>
      <c r="I12" s="180" t="s">
        <v>0</v>
      </c>
      <c r="J12" s="181" t="s">
        <v>288</v>
      </c>
      <c r="K12" s="200" t="b">
        <v>0</v>
      </c>
      <c r="L12" s="650">
        <v>12311000</v>
      </c>
      <c r="M12" s="89">
        <v>10496617.880000001</v>
      </c>
      <c r="N12" s="89">
        <f>L12*X12</f>
        <v>5539950</v>
      </c>
      <c r="O12" s="89">
        <v>675741.24</v>
      </c>
      <c r="P12" s="89">
        <f t="shared" ref="P12:P75" si="9">N12*planUspor</f>
        <v>553995</v>
      </c>
      <c r="Q12" s="651">
        <v>331465.56</v>
      </c>
      <c r="R12" s="650">
        <v>6600000</v>
      </c>
      <c r="S12" s="89">
        <v>5081481.08</v>
      </c>
      <c r="T12" s="89">
        <f>R12*Y12</f>
        <v>4686000</v>
      </c>
      <c r="U12" s="89">
        <v>4279237.8899999997</v>
      </c>
      <c r="V12" s="89">
        <f t="shared" ref="V12:V75" si="10">T12*planUspor</f>
        <v>468600</v>
      </c>
      <c r="W12" s="347">
        <v>975674.56</v>
      </c>
      <c r="X12" s="256">
        <v>0.45</v>
      </c>
      <c r="Y12" s="256">
        <v>0.71</v>
      </c>
      <c r="Z12" s="648">
        <v>0.54</v>
      </c>
      <c r="AA12" s="89">
        <f t="shared" ref="AA12:AA42" si="11">IF(jakaKS=1,L12+R12,IF(jakaKS=2,L12,IF(jakaKS=3,R12,0)))</f>
        <v>18911000</v>
      </c>
      <c r="AB12" s="89">
        <f t="shared" ref="AB12:AB42" si="12">IF(jakaKS=1,M12+S12,IF(jakaKS=2,M12,IF(jakaKS=3,S12,0)))+IF(uspora="A",IF(jakaKS=1,Q12+W12,IF(jakaKS=2,Q12,IF(jakaKS=3,W12,0))),0)</f>
        <v>15578098.960000001</v>
      </c>
      <c r="AC12" s="257">
        <f t="shared" ref="AC12:AC42" si="13">IF(jakaKS=1,Z12,IF(jakaKS=2,X12,IF(jakaKS=3,Y12,0)))</f>
        <v>0.54</v>
      </c>
      <c r="AD12" s="90">
        <f t="shared" ref="AD12:AD42" si="14">IF(jakaKS=1,AA12*Z12,IF(jakaKS=2,N12,IF(jakaKS=3,T12,0)))</f>
        <v>10211940</v>
      </c>
      <c r="AE12" s="89">
        <f t="shared" ref="AE12:AE42" si="15">IF(jakaKS=1,O12+U12,IF(jakaKS=2,O12,IF(jakaKS=3,U12,0)))+IF(uspora="A",IF(jakaKS=1,Q12+W12,IF(jakaKS=2,Q12,IF(jakaKS=3,W12,0))),0)</f>
        <v>4954979.13</v>
      </c>
      <c r="AF12" s="89">
        <f t="shared" ref="AF12:AF42" si="16">IF(jakaKS=1,Q12+W12,IF(jakaKS=2,Q12,IF(jakaKS=3,W12,0)))</f>
        <v>1307140.1200000001</v>
      </c>
      <c r="AG12" s="270">
        <f t="shared" ref="AG12:AG74" si="17">IF((AB12/(AA12*$O$6)*vahaE)&gt;vahaE,vahaE,AB12/(AA12*$O$6)*vahaE)</f>
        <v>40</v>
      </c>
      <c r="AH12" s="271">
        <f t="shared" ref="AH12:AH74" si="18">IF((AE12/AD12*vahaD)&gt;vahaD,vahaD,AE12/AD12*vahaD)</f>
        <v>29.112856891051063</v>
      </c>
      <c r="AI12" s="240">
        <f t="shared" ref="AI12:AI74" si="19">IF((AB12/(AA12*$O$6)*vahaE)&gt;vahaE,vahaE,AB12/(AA12*$O$6)*vahaE)+IF((AE12/AD12*vahaD)&gt;vahaD,vahaD,AE12/AD12*vahaD)</f>
        <v>69.112856891051067</v>
      </c>
      <c r="AJ12" s="316">
        <v>73.339230611255218</v>
      </c>
      <c r="AK12" s="672">
        <f>AI12-AJ12</f>
        <v>-4.2263737202041511</v>
      </c>
      <c r="AL12" t="str">
        <f t="shared" ref="AL12:AL35" si="20">IF($M12=AL$11,$A12,"")</f>
        <v/>
      </c>
      <c r="AO12" s="818">
        <v>2014</v>
      </c>
      <c r="AP12" s="363" t="s">
        <v>239</v>
      </c>
      <c r="AQ12" s="114">
        <f t="shared" ref="AQ12:AV12" si="21">SUM(AQ70:AQ74,AQ80)</f>
        <v>2402847577.3099995</v>
      </c>
      <c r="AR12" s="101">
        <f t="shared" si="21"/>
        <v>2024203274.6800001</v>
      </c>
      <c r="AS12" s="101">
        <f t="shared" si="21"/>
        <v>501149820</v>
      </c>
      <c r="AT12" s="101">
        <f t="shared" si="21"/>
        <v>192585199.56999999</v>
      </c>
      <c r="AU12" s="101">
        <f t="shared" si="21"/>
        <v>50115000</v>
      </c>
      <c r="AV12" s="102">
        <f t="shared" si="21"/>
        <v>57083599.790000007</v>
      </c>
      <c r="AY12" s="19" t="s">
        <v>338</v>
      </c>
      <c r="AZ12" s="49">
        <v>51870411.880000003</v>
      </c>
      <c r="BA12" s="49">
        <v>46546653.359999999</v>
      </c>
      <c r="BB12" s="49">
        <v>15845751.140000001</v>
      </c>
      <c r="BC12" s="53">
        <f>(AZ12)/($AZ$7/4)</f>
        <v>5.330106304822424E-2</v>
      </c>
      <c r="BD12" s="53">
        <f>BA12/($BA$7/4)</f>
        <v>0.18049233424721467</v>
      </c>
      <c r="BE12" s="53">
        <f>BB12/($BB$7/4)</f>
        <v>0.61444516516344083</v>
      </c>
      <c r="BF12" s="285" t="s">
        <v>365</v>
      </c>
      <c r="BG12" s="27"/>
      <c r="BH12" s="27"/>
      <c r="BI12" s="27"/>
      <c r="BJ12" s="27">
        <f>SUM($BG$12:BG12)</f>
        <v>0</v>
      </c>
      <c r="BK12" s="27">
        <f>SUM($BH$12:BH12)</f>
        <v>0</v>
      </c>
      <c r="BL12" s="27">
        <f>SUM($BI$12:BI12)</f>
        <v>0</v>
      </c>
    </row>
    <row r="13" spans="1:64" ht="11.25" customHeight="1" x14ac:dyDescent="0.2">
      <c r="A13" s="6">
        <v>2</v>
      </c>
      <c r="B13" s="199">
        <v>60344</v>
      </c>
      <c r="C13" s="680" t="s">
        <v>576</v>
      </c>
      <c r="D13" s="173" t="s">
        <v>14</v>
      </c>
      <c r="E13" s="173" t="s">
        <v>14</v>
      </c>
      <c r="F13" s="174" t="s">
        <v>14</v>
      </c>
      <c r="G13" s="179" t="s">
        <v>1</v>
      </c>
      <c r="H13" s="179" t="s">
        <v>289</v>
      </c>
      <c r="I13" s="180" t="s">
        <v>0</v>
      </c>
      <c r="J13" s="181" t="s">
        <v>135</v>
      </c>
      <c r="K13" s="200" t="b">
        <v>0</v>
      </c>
      <c r="L13" s="650">
        <v>103067606.8494342</v>
      </c>
      <c r="M13" s="89">
        <v>110643090.95999999</v>
      </c>
      <c r="N13" s="89">
        <f t="shared" ref="N13:N76" si="22">L13*X13</f>
        <v>6184056.4109660517</v>
      </c>
      <c r="O13" s="89">
        <v>17894966.34</v>
      </c>
      <c r="P13" s="89">
        <f t="shared" si="9"/>
        <v>618405.64109660522</v>
      </c>
      <c r="Q13" s="651">
        <v>4765725.54</v>
      </c>
      <c r="R13" s="650">
        <v>104683816.99119329</v>
      </c>
      <c r="S13" s="89">
        <v>78864387.560000002</v>
      </c>
      <c r="T13" s="89">
        <f t="shared" ref="T13:T76" si="23">R13*Y13</f>
        <v>61763452.024804041</v>
      </c>
      <c r="U13" s="89">
        <v>36115382.390000001</v>
      </c>
      <c r="V13" s="89">
        <f t="shared" si="10"/>
        <v>6176345.2024804046</v>
      </c>
      <c r="W13" s="347">
        <v>1349858.31</v>
      </c>
      <c r="X13" s="256">
        <v>0.06</v>
      </c>
      <c r="Y13" s="256">
        <v>0.59</v>
      </c>
      <c r="Z13" s="648">
        <v>0.38</v>
      </c>
      <c r="AA13" s="89">
        <f t="shared" si="11"/>
        <v>207751423.84062749</v>
      </c>
      <c r="AB13" s="89">
        <f t="shared" si="12"/>
        <v>189507478.51999998</v>
      </c>
      <c r="AC13" s="257">
        <f t="shared" si="13"/>
        <v>0.38</v>
      </c>
      <c r="AD13" s="90">
        <f t="shared" si="14"/>
        <v>78945541.059438452</v>
      </c>
      <c r="AE13" s="89">
        <f t="shared" si="15"/>
        <v>54010348.730000004</v>
      </c>
      <c r="AF13" s="89">
        <f t="shared" si="16"/>
        <v>6115583.8499999996</v>
      </c>
      <c r="AG13" s="270">
        <f t="shared" si="17"/>
        <v>40</v>
      </c>
      <c r="AH13" s="271">
        <f t="shared" si="18"/>
        <v>41.048815174502664</v>
      </c>
      <c r="AI13" s="240">
        <f t="shared" si="19"/>
        <v>81.048815174502664</v>
      </c>
      <c r="AJ13" s="316">
        <v>87.307406261470447</v>
      </c>
      <c r="AK13" s="672">
        <f t="shared" ref="AK13:AK75" si="24">AI13-AJ13</f>
        <v>-6.2585910869677832</v>
      </c>
      <c r="AL13" t="str">
        <f t="shared" si="20"/>
        <v/>
      </c>
      <c r="AO13" s="819"/>
      <c r="AP13" s="364" t="s">
        <v>238</v>
      </c>
      <c r="AQ13" s="115">
        <f t="shared" ref="AQ13:AV13" si="25">SUM(AQ75:AQ79,AQ81)</f>
        <v>1428218595.27</v>
      </c>
      <c r="AR13" s="106">
        <f t="shared" si="25"/>
        <v>1042455151.66</v>
      </c>
      <c r="AS13" s="106">
        <f t="shared" si="25"/>
        <v>623785608</v>
      </c>
      <c r="AT13" s="106">
        <f t="shared" si="25"/>
        <v>378641580.12</v>
      </c>
      <c r="AU13" s="106">
        <f t="shared" si="25"/>
        <v>62378568</v>
      </c>
      <c r="AV13" s="107">
        <f t="shared" si="25"/>
        <v>38687928.619999997</v>
      </c>
      <c r="AY13" s="19" t="s">
        <v>339</v>
      </c>
      <c r="AZ13" s="49">
        <v>62751340.210000001</v>
      </c>
      <c r="BA13" s="49">
        <v>53460675.329999998</v>
      </c>
      <c r="BB13" s="49">
        <v>16684996.08</v>
      </c>
      <c r="BC13" s="53">
        <f t="shared" ref="BC13:BC18" si="26">(AZ13)/($AZ$7/4)</f>
        <v>6.4482101060458721E-2</v>
      </c>
      <c r="BD13" s="53">
        <f>BA13/($BA$7/4)</f>
        <v>0.20730259608817089</v>
      </c>
      <c r="BE13" s="53">
        <f>BB13/($BB$7/4)</f>
        <v>0.64698827348407806</v>
      </c>
      <c r="BF13" s="288" t="s">
        <v>366</v>
      </c>
      <c r="BG13" s="33"/>
      <c r="BH13" s="33"/>
      <c r="BI13" s="33"/>
      <c r="BJ13" s="33">
        <f>SUM($BG$12:BG13)</f>
        <v>0</v>
      </c>
      <c r="BK13" s="33">
        <f>SUM($BH$12:BH13)</f>
        <v>0</v>
      </c>
      <c r="BL13" s="33">
        <f>SUM($BI$12:BI13)</f>
        <v>0</v>
      </c>
    </row>
    <row r="14" spans="1:64" ht="11.25" customHeight="1" x14ac:dyDescent="0.2">
      <c r="A14" s="6">
        <v>3</v>
      </c>
      <c r="B14" s="199">
        <v>60302</v>
      </c>
      <c r="C14" s="680" t="s">
        <v>0</v>
      </c>
      <c r="D14" s="173" t="s">
        <v>14</v>
      </c>
      <c r="E14" s="173" t="s">
        <v>14</v>
      </c>
      <c r="F14" s="174" t="s">
        <v>113</v>
      </c>
      <c r="G14" s="179" t="s">
        <v>3</v>
      </c>
      <c r="H14" s="179" t="s">
        <v>290</v>
      </c>
      <c r="I14" s="180" t="s">
        <v>0</v>
      </c>
      <c r="J14" s="181" t="s">
        <v>291</v>
      </c>
      <c r="K14" s="200" t="b">
        <v>0</v>
      </c>
      <c r="L14" s="650">
        <v>331053500</v>
      </c>
      <c r="M14" s="89">
        <v>194808849.06999999</v>
      </c>
      <c r="N14" s="89">
        <f t="shared" si="22"/>
        <v>19863210</v>
      </c>
      <c r="O14" s="89">
        <v>2543252.7000000002</v>
      </c>
      <c r="P14" s="89">
        <f t="shared" si="9"/>
        <v>1986321</v>
      </c>
      <c r="Q14" s="651">
        <v>2970275.4</v>
      </c>
      <c r="R14" s="650">
        <v>16653500</v>
      </c>
      <c r="S14" s="89">
        <v>8166873.3899999997</v>
      </c>
      <c r="T14" s="89">
        <f t="shared" si="23"/>
        <v>3164165</v>
      </c>
      <c r="U14" s="89">
        <v>2992677.26</v>
      </c>
      <c r="V14" s="89">
        <f t="shared" si="10"/>
        <v>316416.5</v>
      </c>
      <c r="W14" s="347">
        <v>664691.28</v>
      </c>
      <c r="X14" s="256">
        <v>0.06</v>
      </c>
      <c r="Y14" s="256">
        <v>0.19</v>
      </c>
      <c r="Z14" s="648">
        <v>7.0000000000000007E-2</v>
      </c>
      <c r="AA14" s="89">
        <f t="shared" si="11"/>
        <v>347707000</v>
      </c>
      <c r="AB14" s="89">
        <f t="shared" si="12"/>
        <v>202975722.45999998</v>
      </c>
      <c r="AC14" s="257">
        <f t="shared" si="13"/>
        <v>7.0000000000000007E-2</v>
      </c>
      <c r="AD14" s="90">
        <f t="shared" si="14"/>
        <v>24339490.000000004</v>
      </c>
      <c r="AE14" s="89">
        <f t="shared" si="15"/>
        <v>5535929.96</v>
      </c>
      <c r="AF14" s="89">
        <f t="shared" si="16"/>
        <v>3634966.6799999997</v>
      </c>
      <c r="AG14" s="270">
        <f t="shared" si="17"/>
        <v>29.187753260647611</v>
      </c>
      <c r="AH14" s="271">
        <f t="shared" si="18"/>
        <v>13.646785433877206</v>
      </c>
      <c r="AI14" s="240">
        <f t="shared" si="19"/>
        <v>42.834538694524817</v>
      </c>
      <c r="AJ14" s="316">
        <v>72.910730181767917</v>
      </c>
      <c r="AK14" s="672">
        <f t="shared" si="24"/>
        <v>-30.076191487243101</v>
      </c>
      <c r="AL14" t="str">
        <f t="shared" si="20"/>
        <v/>
      </c>
      <c r="AO14" s="818">
        <v>2015</v>
      </c>
      <c r="AP14" s="370" t="s">
        <v>239</v>
      </c>
      <c r="AQ14" s="114">
        <f>SUM(AQ82:AQ86,AQ92)</f>
        <v>2270940797.3499985</v>
      </c>
      <c r="AR14" s="101">
        <f t="shared" ref="AR14:AV14" si="27">SUM(AR82:AR86,AR92)</f>
        <v>1870324639.1399999</v>
      </c>
      <c r="AS14" s="101">
        <f t="shared" si="27"/>
        <v>507023892</v>
      </c>
      <c r="AT14" s="101">
        <f t="shared" si="27"/>
        <v>231934644.66000003</v>
      </c>
      <c r="AU14" s="101">
        <f t="shared" si="27"/>
        <v>50702388</v>
      </c>
      <c r="AV14" s="102">
        <f t="shared" si="27"/>
        <v>79166997.319999993</v>
      </c>
      <c r="AY14" s="19" t="s">
        <v>340</v>
      </c>
      <c r="AZ14" s="49">
        <v>110363616.52</v>
      </c>
      <c r="BA14" s="49">
        <v>63008609.990000002</v>
      </c>
      <c r="BB14" s="49">
        <v>16556777.029999999</v>
      </c>
      <c r="BC14" s="53">
        <f t="shared" si="26"/>
        <v>0.11340758380657304</v>
      </c>
      <c r="BD14" s="53">
        <f>BA14/($BA$7/4)</f>
        <v>0.24432628929968403</v>
      </c>
      <c r="BE14" s="53">
        <f>BB14/($BB$7/4)</f>
        <v>0.6420163681033686</v>
      </c>
      <c r="BF14" s="286" t="s">
        <v>367</v>
      </c>
      <c r="BG14" s="33"/>
      <c r="BH14" s="33"/>
      <c r="BI14" s="33"/>
      <c r="BJ14" s="33">
        <f>SUM($BG$12:BG14)</f>
        <v>0</v>
      </c>
      <c r="BK14" s="33">
        <f>SUM($BH$12:BH14)</f>
        <v>0</v>
      </c>
      <c r="BL14" s="33">
        <f>SUM($BI$12:BI14)</f>
        <v>0</v>
      </c>
    </row>
    <row r="15" spans="1:64" ht="11.25" customHeight="1" x14ac:dyDescent="0.2">
      <c r="A15" s="6">
        <v>4</v>
      </c>
      <c r="B15" s="199">
        <v>60350</v>
      </c>
      <c r="C15" s="680" t="s">
        <v>544</v>
      </c>
      <c r="D15" s="173" t="s">
        <v>14</v>
      </c>
      <c r="E15" s="173" t="s">
        <v>14</v>
      </c>
      <c r="F15" s="174" t="s">
        <v>113</v>
      </c>
      <c r="G15" s="179" t="s">
        <v>2</v>
      </c>
      <c r="H15" s="179" t="s">
        <v>575</v>
      </c>
      <c r="I15" s="180" t="s">
        <v>0</v>
      </c>
      <c r="J15" s="181" t="s">
        <v>292</v>
      </c>
      <c r="K15" s="200" t="b">
        <v>0</v>
      </c>
      <c r="L15" s="650">
        <v>54984500</v>
      </c>
      <c r="M15" s="89">
        <v>0</v>
      </c>
      <c r="N15" s="89">
        <f t="shared" si="22"/>
        <v>4915614.3</v>
      </c>
      <c r="O15" s="89">
        <v>4015585.62</v>
      </c>
      <c r="P15" s="89">
        <f t="shared" si="9"/>
        <v>491561.43</v>
      </c>
      <c r="Q15" s="651">
        <v>1805331</v>
      </c>
      <c r="R15" s="650">
        <v>216204500</v>
      </c>
      <c r="S15" s="89">
        <v>97641648.510000005</v>
      </c>
      <c r="T15" s="89">
        <f t="shared" si="23"/>
        <v>13015510.899999999</v>
      </c>
      <c r="U15" s="89">
        <v>9869140.7799999993</v>
      </c>
      <c r="V15" s="89">
        <f t="shared" si="10"/>
        <v>1301551.0899999999</v>
      </c>
      <c r="W15" s="347">
        <v>2519685.75</v>
      </c>
      <c r="X15" s="256">
        <v>8.9399999999999993E-2</v>
      </c>
      <c r="Y15" s="256">
        <v>6.0199999999999997E-2</v>
      </c>
      <c r="Z15" s="648">
        <v>6.6600000000000006E-2</v>
      </c>
      <c r="AA15" s="89">
        <f t="shared" si="11"/>
        <v>271189000</v>
      </c>
      <c r="AB15" s="89">
        <f t="shared" si="12"/>
        <v>97641648.510000005</v>
      </c>
      <c r="AC15" s="257">
        <f t="shared" si="13"/>
        <v>6.6600000000000006E-2</v>
      </c>
      <c r="AD15" s="90">
        <f t="shared" si="14"/>
        <v>18061187.400000002</v>
      </c>
      <c r="AE15" s="89">
        <f t="shared" si="15"/>
        <v>13884726.399999999</v>
      </c>
      <c r="AF15" s="89">
        <f t="shared" si="16"/>
        <v>4325016.75</v>
      </c>
      <c r="AG15" s="270">
        <f t="shared" si="17"/>
        <v>18.002509045352134</v>
      </c>
      <c r="AH15" s="271">
        <f t="shared" si="18"/>
        <v>46.125626491201778</v>
      </c>
      <c r="AI15" s="240">
        <f t="shared" si="19"/>
        <v>64.128135536553913</v>
      </c>
      <c r="AJ15" s="316">
        <v>87.835987624929601</v>
      </c>
      <c r="AK15" s="672">
        <f t="shared" si="24"/>
        <v>-23.707852088375688</v>
      </c>
      <c r="AL15">
        <f t="shared" si="20"/>
        <v>4</v>
      </c>
      <c r="AO15" s="819"/>
      <c r="AP15" s="371" t="s">
        <v>238</v>
      </c>
      <c r="AQ15" s="115">
        <f>SUM(AQ87:AQ91,AQ93)</f>
        <v>1443314003.3900011</v>
      </c>
      <c r="AR15" s="106">
        <f t="shared" ref="AR15:AV15" si="28">SUM(AR87:AR91,AR93)</f>
        <v>840367925.24000001</v>
      </c>
      <c r="AS15" s="106">
        <f t="shared" si="28"/>
        <v>609744768</v>
      </c>
      <c r="AT15" s="106">
        <f t="shared" si="28"/>
        <v>323312912.76999998</v>
      </c>
      <c r="AU15" s="106">
        <f t="shared" si="28"/>
        <v>60974484</v>
      </c>
      <c r="AV15" s="107">
        <f t="shared" si="28"/>
        <v>40038900.390000001</v>
      </c>
      <c r="AY15" s="19" t="s">
        <v>341</v>
      </c>
      <c r="AZ15" s="49">
        <v>199153726.84</v>
      </c>
      <c r="BA15" s="49">
        <v>94572810.780000001</v>
      </c>
      <c r="BB15" s="49">
        <v>17951337.539999999</v>
      </c>
      <c r="BC15" s="53">
        <f t="shared" si="26"/>
        <v>0.20464663699114755</v>
      </c>
      <c r="BD15" s="53">
        <f>BA15/($BA$7/4)</f>
        <v>0.36672168978470993</v>
      </c>
      <c r="BE15" s="53">
        <f>BB15/($BB$7/4)</f>
        <v>0.69609275459503228</v>
      </c>
      <c r="BF15" s="286" t="s">
        <v>368</v>
      </c>
      <c r="BG15" s="33"/>
      <c r="BH15" s="33"/>
      <c r="BI15" s="33"/>
      <c r="BJ15" s="33">
        <f>SUM($BG$12:BG15)</f>
        <v>0</v>
      </c>
      <c r="BK15" s="33">
        <f>SUM($BH$12:BH15)</f>
        <v>0</v>
      </c>
      <c r="BL15" s="33">
        <f>SUM($BI$12:BI15)</f>
        <v>0</v>
      </c>
    </row>
    <row r="16" spans="1:64" ht="11.25" customHeight="1" x14ac:dyDescent="0.2">
      <c r="A16" s="6">
        <v>5</v>
      </c>
      <c r="B16" s="199">
        <v>60438</v>
      </c>
      <c r="C16" s="680" t="s">
        <v>545</v>
      </c>
      <c r="D16" s="173" t="s">
        <v>14</v>
      </c>
      <c r="E16" s="173" t="s">
        <v>14</v>
      </c>
      <c r="F16" s="174" t="s">
        <v>113</v>
      </c>
      <c r="G16" s="179" t="s">
        <v>2</v>
      </c>
      <c r="H16" s="179" t="s">
        <v>577</v>
      </c>
      <c r="I16" s="180" t="s">
        <v>0</v>
      </c>
      <c r="J16" s="181" t="s">
        <v>291</v>
      </c>
      <c r="K16" s="200" t="b">
        <v>0</v>
      </c>
      <c r="L16" s="650">
        <v>26317315</v>
      </c>
      <c r="M16" s="89">
        <v>23467452.719999999</v>
      </c>
      <c r="N16" s="89">
        <f t="shared" si="22"/>
        <v>877653.5708855706</v>
      </c>
      <c r="O16" s="89">
        <v>649546.98</v>
      </c>
      <c r="P16" s="89">
        <f t="shared" si="9"/>
        <v>87765.357088557066</v>
      </c>
      <c r="Q16" s="651">
        <v>526399.68000000005</v>
      </c>
      <c r="R16" s="650">
        <v>7980685</v>
      </c>
      <c r="S16" s="89">
        <v>3406367.95</v>
      </c>
      <c r="T16" s="89">
        <f t="shared" si="23"/>
        <v>2463141.8615599633</v>
      </c>
      <c r="U16" s="89">
        <v>1812555.32</v>
      </c>
      <c r="V16" s="89">
        <f t="shared" si="10"/>
        <v>246314.18615599634</v>
      </c>
      <c r="W16" s="347">
        <v>633510.56000000006</v>
      </c>
      <c r="X16" s="256">
        <v>3.3348902457776206E-2</v>
      </c>
      <c r="Y16" s="256">
        <v>0.30863790032559402</v>
      </c>
      <c r="Z16" s="648">
        <v>9.8124220413000354E-2</v>
      </c>
      <c r="AA16" s="89">
        <f t="shared" si="11"/>
        <v>34298000</v>
      </c>
      <c r="AB16" s="89">
        <f t="shared" si="12"/>
        <v>26873820.669999998</v>
      </c>
      <c r="AC16" s="257">
        <f t="shared" si="13"/>
        <v>9.8124220413000354E-2</v>
      </c>
      <c r="AD16" s="90">
        <f t="shared" si="14"/>
        <v>3365464.5117250863</v>
      </c>
      <c r="AE16" s="89">
        <f t="shared" si="15"/>
        <v>2462102.2999999998</v>
      </c>
      <c r="AF16" s="89">
        <f t="shared" si="16"/>
        <v>1159910.2400000002</v>
      </c>
      <c r="AG16" s="270">
        <f t="shared" si="17"/>
        <v>39.176950069974922</v>
      </c>
      <c r="AH16" s="271">
        <f t="shared" si="18"/>
        <v>43.894724631720393</v>
      </c>
      <c r="AI16" s="240">
        <f t="shared" si="19"/>
        <v>83.071674701695315</v>
      </c>
      <c r="AJ16" s="316">
        <v>89.830288654570907</v>
      </c>
      <c r="AK16" s="672">
        <f t="shared" si="24"/>
        <v>-6.7586139528755922</v>
      </c>
      <c r="AL16" t="str">
        <f t="shared" si="20"/>
        <v/>
      </c>
      <c r="AO16" s="818">
        <v>2016</v>
      </c>
      <c r="AP16" s="667" t="s">
        <v>239</v>
      </c>
      <c r="AQ16" s="114">
        <f>SUM(AQ94:AQ98,AQ104)</f>
        <v>1277880942</v>
      </c>
      <c r="AR16" s="101">
        <f t="shared" ref="AR16:AV16" si="29">SUM(AR94:AR98,AR104)</f>
        <v>603882896.17999995</v>
      </c>
      <c r="AS16" s="101">
        <f t="shared" si="29"/>
        <v>0</v>
      </c>
      <c r="AT16" s="101">
        <f t="shared" si="29"/>
        <v>123341972.84999999</v>
      </c>
      <c r="AU16" s="101">
        <f t="shared" si="29"/>
        <v>0</v>
      </c>
      <c r="AV16" s="102">
        <f t="shared" si="29"/>
        <v>48212106.140000001</v>
      </c>
      <c r="AY16" s="19" t="s">
        <v>342</v>
      </c>
      <c r="AZ16" s="49">
        <v>653670898.28999996</v>
      </c>
      <c r="BA16" s="49">
        <v>124443973.3</v>
      </c>
      <c r="BB16" s="49">
        <v>19234197.670000002</v>
      </c>
      <c r="BC16" s="53">
        <f t="shared" si="26"/>
        <v>0.67169996342324512</v>
      </c>
      <c r="BD16" s="53">
        <f>BA16/($BA$8/4)</f>
        <v>0.48255205482113434</v>
      </c>
      <c r="BE16" s="53">
        <f>BB16/($BB$8/4)</f>
        <v>0.74583777441107901</v>
      </c>
      <c r="BF16" s="286" t="s">
        <v>369</v>
      </c>
      <c r="BG16" s="33"/>
      <c r="BH16" s="33"/>
      <c r="BI16" s="33"/>
      <c r="BJ16" s="33">
        <f>SUM($BG$12:BG16)</f>
        <v>0</v>
      </c>
      <c r="BK16" s="33">
        <f>SUM($BH$12:BH16)</f>
        <v>0</v>
      </c>
      <c r="BL16" s="33">
        <f>SUM($BI$12:BI16)</f>
        <v>0</v>
      </c>
    </row>
    <row r="17" spans="1:64" ht="11.25" customHeight="1" x14ac:dyDescent="0.2">
      <c r="A17" s="6">
        <v>6</v>
      </c>
      <c r="B17" s="199">
        <v>60699</v>
      </c>
      <c r="C17" s="680" t="s">
        <v>578</v>
      </c>
      <c r="D17" s="173" t="s">
        <v>14</v>
      </c>
      <c r="E17" s="173" t="s">
        <v>14</v>
      </c>
      <c r="F17" s="174" t="s">
        <v>14</v>
      </c>
      <c r="G17" s="179" t="s">
        <v>1</v>
      </c>
      <c r="H17" s="179" t="s">
        <v>444</v>
      </c>
      <c r="I17" s="180" t="s">
        <v>0</v>
      </c>
      <c r="J17" s="181" t="s">
        <v>135</v>
      </c>
      <c r="K17" s="200" t="b">
        <v>0</v>
      </c>
      <c r="L17" s="650">
        <v>41637500</v>
      </c>
      <c r="M17" s="89">
        <v>37206046.359999999</v>
      </c>
      <c r="N17" s="89">
        <f t="shared" si="22"/>
        <v>1249125</v>
      </c>
      <c r="O17" s="89">
        <v>818812.2</v>
      </c>
      <c r="P17" s="89">
        <f t="shared" si="9"/>
        <v>124912.5</v>
      </c>
      <c r="Q17" s="651">
        <v>727429.62</v>
      </c>
      <c r="R17" s="650">
        <v>33117500</v>
      </c>
      <c r="S17" s="89">
        <v>17432797.489999998</v>
      </c>
      <c r="T17" s="89">
        <f t="shared" si="23"/>
        <v>16889925</v>
      </c>
      <c r="U17" s="89">
        <v>9654256.3200000003</v>
      </c>
      <c r="V17" s="89">
        <f t="shared" si="10"/>
        <v>1688992.5</v>
      </c>
      <c r="W17" s="347">
        <v>347811.37</v>
      </c>
      <c r="X17" s="256">
        <v>0.03</v>
      </c>
      <c r="Y17" s="256">
        <v>0.51</v>
      </c>
      <c r="Z17" s="648">
        <v>0.23</v>
      </c>
      <c r="AA17" s="89">
        <f t="shared" si="11"/>
        <v>74755000</v>
      </c>
      <c r="AB17" s="89">
        <f t="shared" si="12"/>
        <v>54638843.849999994</v>
      </c>
      <c r="AC17" s="257">
        <f t="shared" si="13"/>
        <v>0.23</v>
      </c>
      <c r="AD17" s="90">
        <f t="shared" si="14"/>
        <v>17193650</v>
      </c>
      <c r="AE17" s="89">
        <f t="shared" si="15"/>
        <v>10473068.52</v>
      </c>
      <c r="AF17" s="89">
        <f t="shared" si="16"/>
        <v>1075240.99</v>
      </c>
      <c r="AG17" s="270">
        <f t="shared" si="17"/>
        <v>36.545277138652928</v>
      </c>
      <c r="AH17" s="271">
        <f t="shared" si="18"/>
        <v>36.547452763084046</v>
      </c>
      <c r="AI17" s="240">
        <f t="shared" si="19"/>
        <v>73.092729901736973</v>
      </c>
      <c r="AJ17" s="316">
        <v>92.574797996288041</v>
      </c>
      <c r="AK17" s="672">
        <f t="shared" si="24"/>
        <v>-19.482068094551067</v>
      </c>
      <c r="AL17" t="str">
        <f t="shared" si="20"/>
        <v/>
      </c>
      <c r="AO17" s="819"/>
      <c r="AP17" s="668" t="s">
        <v>238</v>
      </c>
      <c r="AQ17" s="669">
        <f>SUM(AQ99:AQ103,AQ105)</f>
        <v>647803098</v>
      </c>
      <c r="AR17" s="670">
        <f t="shared" ref="AR17:AV17" si="30">SUM(AR99:AR103,AR105)</f>
        <v>460238188.88999993</v>
      </c>
      <c r="AS17" s="670">
        <f t="shared" si="30"/>
        <v>0</v>
      </c>
      <c r="AT17" s="670">
        <f t="shared" si="30"/>
        <v>123385510.63</v>
      </c>
      <c r="AU17" s="670">
        <f t="shared" si="30"/>
        <v>0</v>
      </c>
      <c r="AV17" s="671">
        <f t="shared" si="30"/>
        <v>17229380.149999999</v>
      </c>
      <c r="AY17" s="19" t="s">
        <v>343</v>
      </c>
      <c r="AZ17" s="49">
        <v>664181379.42999995</v>
      </c>
      <c r="BA17" s="49">
        <v>139217529.84</v>
      </c>
      <c r="BB17" s="49">
        <v>18899105.640000001</v>
      </c>
      <c r="BC17" s="53">
        <f t="shared" si="26"/>
        <v>0.68250033684627398</v>
      </c>
      <c r="BD17" s="53">
        <f>BA17/($BA$8/4)</f>
        <v>0.53983895973381446</v>
      </c>
      <c r="BE17" s="53">
        <f>BB17/($BB$8/4)</f>
        <v>0.73284402763951995</v>
      </c>
      <c r="BF17" s="286" t="s">
        <v>370</v>
      </c>
      <c r="BG17" s="33"/>
      <c r="BH17" s="33"/>
      <c r="BI17" s="33"/>
      <c r="BJ17" s="33">
        <f>SUM($BG$12:BG17)</f>
        <v>0</v>
      </c>
      <c r="BK17" s="33">
        <f>SUM($BH$12:BH17)</f>
        <v>0</v>
      </c>
      <c r="BL17" s="33">
        <f>SUM($BI$12:BI17)</f>
        <v>0</v>
      </c>
    </row>
    <row r="18" spans="1:64" ht="11.25" customHeight="1" x14ac:dyDescent="0.2">
      <c r="A18" s="6">
        <v>7</v>
      </c>
      <c r="B18" s="199">
        <v>60360</v>
      </c>
      <c r="C18" s="680" t="s">
        <v>546</v>
      </c>
      <c r="D18" s="173" t="s">
        <v>136</v>
      </c>
      <c r="E18" s="173" t="s">
        <v>14</v>
      </c>
      <c r="F18" s="174" t="s">
        <v>113</v>
      </c>
      <c r="G18" s="179" t="s">
        <v>4</v>
      </c>
      <c r="H18" s="179" t="s">
        <v>293</v>
      </c>
      <c r="I18" s="182" t="s">
        <v>8</v>
      </c>
      <c r="J18" s="181" t="s">
        <v>136</v>
      </c>
      <c r="K18" s="200" t="b">
        <v>0</v>
      </c>
      <c r="L18" s="650">
        <v>4879500</v>
      </c>
      <c r="M18" s="89">
        <v>0</v>
      </c>
      <c r="N18" s="89">
        <f t="shared" si="22"/>
        <v>344389.07381234295</v>
      </c>
      <c r="O18" s="89">
        <v>77458.320000000007</v>
      </c>
      <c r="P18" s="89">
        <f t="shared" si="9"/>
        <v>34438.907381234298</v>
      </c>
      <c r="Q18" s="651">
        <v>74112.179999999993</v>
      </c>
      <c r="R18" s="650">
        <v>218000</v>
      </c>
      <c r="S18" s="89">
        <v>13668.88</v>
      </c>
      <c r="T18" s="89">
        <f t="shared" si="23"/>
        <v>32740.561327896805</v>
      </c>
      <c r="U18" s="89">
        <v>13668.88</v>
      </c>
      <c r="V18" s="89">
        <f t="shared" si="10"/>
        <v>3274.0561327896808</v>
      </c>
      <c r="W18" s="347">
        <v>2269.7800000000002</v>
      </c>
      <c r="X18" s="256">
        <v>7.0578762949552815E-2</v>
      </c>
      <c r="Y18" s="256">
        <v>0.15018606113714131</v>
      </c>
      <c r="Z18" s="648">
        <v>7.3318441064654863E-2</v>
      </c>
      <c r="AA18" s="89">
        <f t="shared" si="11"/>
        <v>5097500</v>
      </c>
      <c r="AB18" s="89">
        <f t="shared" si="12"/>
        <v>13668.88</v>
      </c>
      <c r="AC18" s="257">
        <f t="shared" si="13"/>
        <v>7.3318441064654863E-2</v>
      </c>
      <c r="AD18" s="90">
        <f t="shared" si="14"/>
        <v>373740.75332707819</v>
      </c>
      <c r="AE18" s="89">
        <f t="shared" si="15"/>
        <v>91127.200000000012</v>
      </c>
      <c r="AF18" s="89">
        <f t="shared" si="16"/>
        <v>76381.959999999992</v>
      </c>
      <c r="AG18" s="270">
        <f t="shared" si="17"/>
        <v>0.13407435017165276</v>
      </c>
      <c r="AH18" s="271">
        <f t="shared" si="18"/>
        <v>14.629477656173657</v>
      </c>
      <c r="AI18" s="240">
        <f t="shared" si="19"/>
        <v>14.763552006345311</v>
      </c>
      <c r="AJ18" s="316">
        <v>23.493397161413611</v>
      </c>
      <c r="AK18" s="672">
        <f t="shared" si="24"/>
        <v>-8.7298451550683005</v>
      </c>
      <c r="AL18">
        <f t="shared" si="20"/>
        <v>7</v>
      </c>
      <c r="AY18" s="19" t="s">
        <v>344</v>
      </c>
      <c r="AZ18" s="49">
        <v>654998860.82000005</v>
      </c>
      <c r="BA18" s="49">
        <v>134789844.06</v>
      </c>
      <c r="BB18" s="49">
        <v>19892983.010000002</v>
      </c>
      <c r="BC18" s="53">
        <f t="shared" si="26"/>
        <v>0.6730645528292627</v>
      </c>
      <c r="BD18" s="53">
        <f>BA18/($BA$8/4)</f>
        <v>0.52266987701664192</v>
      </c>
      <c r="BE18" s="53">
        <f>BB18/($BB$8/4)</f>
        <v>0.77138326376448263</v>
      </c>
      <c r="BF18" s="286" t="s">
        <v>371</v>
      </c>
      <c r="BG18" s="33"/>
      <c r="BH18" s="33"/>
      <c r="BI18" s="33"/>
      <c r="BJ18" s="33">
        <f>SUM($BG$12:BG18)</f>
        <v>0</v>
      </c>
      <c r="BK18" s="33">
        <f>SUM($BH$12:BH18)</f>
        <v>0</v>
      </c>
      <c r="BL18" s="33">
        <f>SUM($BI$12:BI18)</f>
        <v>0</v>
      </c>
    </row>
    <row r="19" spans="1:64" ht="11.25" customHeight="1" x14ac:dyDescent="0.2">
      <c r="A19" s="6">
        <v>8</v>
      </c>
      <c r="B19" s="199">
        <v>60363</v>
      </c>
      <c r="C19" s="680" t="s">
        <v>547</v>
      </c>
      <c r="D19" s="173" t="s">
        <v>136</v>
      </c>
      <c r="E19" s="173" t="s">
        <v>14</v>
      </c>
      <c r="F19" s="174" t="s">
        <v>113</v>
      </c>
      <c r="G19" s="179" t="s">
        <v>2</v>
      </c>
      <c r="H19" s="179" t="s">
        <v>575</v>
      </c>
      <c r="I19" s="180" t="s">
        <v>0</v>
      </c>
      <c r="J19" s="181" t="s">
        <v>136</v>
      </c>
      <c r="K19" s="200" t="b">
        <v>0</v>
      </c>
      <c r="L19" s="650">
        <v>11836500</v>
      </c>
      <c r="M19" s="89">
        <v>8430084.3399999999</v>
      </c>
      <c r="N19" s="89">
        <f>L19*X19</f>
        <v>4616235</v>
      </c>
      <c r="O19" s="89">
        <v>4158410.16</v>
      </c>
      <c r="P19" s="89">
        <f t="shared" si="9"/>
        <v>461623.5</v>
      </c>
      <c r="Q19" s="651">
        <v>2048274.78</v>
      </c>
      <c r="R19" s="650">
        <v>6605500</v>
      </c>
      <c r="S19" s="89">
        <v>5681644.71</v>
      </c>
      <c r="T19" s="89">
        <f>R19*Y19</f>
        <v>2840365</v>
      </c>
      <c r="U19" s="89">
        <v>3213255.83</v>
      </c>
      <c r="V19" s="89">
        <f t="shared" si="10"/>
        <v>284036.5</v>
      </c>
      <c r="W19" s="347">
        <v>732748.63</v>
      </c>
      <c r="X19" s="256">
        <v>0.39</v>
      </c>
      <c r="Y19" s="256">
        <v>0.43</v>
      </c>
      <c r="Z19" s="648">
        <v>0.4</v>
      </c>
      <c r="AA19" s="89">
        <f t="shared" si="11"/>
        <v>18442000</v>
      </c>
      <c r="AB19" s="89">
        <f t="shared" si="12"/>
        <v>14111729.050000001</v>
      </c>
      <c r="AC19" s="257">
        <f t="shared" si="13"/>
        <v>0.4</v>
      </c>
      <c r="AD19" s="90">
        <f t="shared" si="14"/>
        <v>7376800</v>
      </c>
      <c r="AE19" s="89">
        <f t="shared" si="15"/>
        <v>7371665.9900000002</v>
      </c>
      <c r="AF19" s="89">
        <f t="shared" si="16"/>
        <v>2781023.41</v>
      </c>
      <c r="AG19" s="270">
        <f t="shared" si="17"/>
        <v>38.259757754039697</v>
      </c>
      <c r="AH19" s="271">
        <f t="shared" si="18"/>
        <v>59.958241974840043</v>
      </c>
      <c r="AI19" s="240">
        <f t="shared" si="19"/>
        <v>98.217999728879732</v>
      </c>
      <c r="AJ19" s="316">
        <v>94.268278810325285</v>
      </c>
      <c r="AK19" s="672">
        <f t="shared" si="24"/>
        <v>3.9497209185544477</v>
      </c>
      <c r="AL19" t="str">
        <f t="shared" si="20"/>
        <v/>
      </c>
      <c r="AY19" s="19" t="s">
        <v>394</v>
      </c>
      <c r="AZ19" s="49">
        <v>779127051.28999996</v>
      </c>
      <c r="BA19" s="49">
        <v>151473394.62</v>
      </c>
      <c r="BB19" s="49">
        <v>20201799.760000002</v>
      </c>
      <c r="BC19" s="53">
        <f t="shared" ref="BC19:BC23" si="31">(AZ19)/($AZ$7/4)</f>
        <v>0.80061635483942728</v>
      </c>
      <c r="BD19" s="53">
        <f>BA19/($BA$8/4)</f>
        <v>0.58736309912256357</v>
      </c>
      <c r="BE19" s="53">
        <f>BB19/($BB$8/4)</f>
        <v>0.78335814316795838</v>
      </c>
      <c r="BF19" s="286" t="s">
        <v>372</v>
      </c>
      <c r="BG19" s="33"/>
      <c r="BH19" s="33"/>
      <c r="BI19" s="33"/>
      <c r="BJ19" s="33">
        <f>SUM($BG$12:BG19)</f>
        <v>0</v>
      </c>
      <c r="BK19" s="33">
        <f>SUM($BH$12:BH19)</f>
        <v>0</v>
      </c>
      <c r="BL19" s="33">
        <f>SUM($BI$12:BI19)</f>
        <v>0</v>
      </c>
    </row>
    <row r="20" spans="1:64" ht="11.25" customHeight="1" x14ac:dyDescent="0.2">
      <c r="A20" s="6">
        <v>9</v>
      </c>
      <c r="B20" s="199">
        <v>60364</v>
      </c>
      <c r="C20" s="680" t="s">
        <v>548</v>
      </c>
      <c r="D20" s="173" t="s">
        <v>136</v>
      </c>
      <c r="E20" s="173" t="s">
        <v>14</v>
      </c>
      <c r="F20" s="174" t="s">
        <v>113</v>
      </c>
      <c r="G20" s="179" t="s">
        <v>2</v>
      </c>
      <c r="H20" s="179" t="s">
        <v>575</v>
      </c>
      <c r="I20" s="180" t="s">
        <v>0</v>
      </c>
      <c r="J20" s="181" t="s">
        <v>136</v>
      </c>
      <c r="K20" s="200" t="b">
        <v>0</v>
      </c>
      <c r="L20" s="650">
        <v>1987500</v>
      </c>
      <c r="M20" s="89">
        <v>1630779.28</v>
      </c>
      <c r="N20" s="89">
        <f t="shared" si="22"/>
        <v>547951.54172275751</v>
      </c>
      <c r="O20" s="89">
        <v>552108.18000000005</v>
      </c>
      <c r="P20" s="89">
        <f t="shared" si="9"/>
        <v>54795.154172275754</v>
      </c>
      <c r="Q20" s="651">
        <v>298035.36</v>
      </c>
      <c r="R20" s="650">
        <v>3106000</v>
      </c>
      <c r="S20" s="89">
        <v>1881518.2</v>
      </c>
      <c r="T20" s="89">
        <f t="shared" si="23"/>
        <v>1082252.5877914678</v>
      </c>
      <c r="U20" s="89">
        <v>731962.47</v>
      </c>
      <c r="V20" s="89">
        <f t="shared" si="10"/>
        <v>108225.25877914678</v>
      </c>
      <c r="W20" s="347">
        <v>82228.899999999994</v>
      </c>
      <c r="X20" s="256">
        <v>0.2756988889171107</v>
      </c>
      <c r="Y20" s="256">
        <v>0.34843933927606818</v>
      </c>
      <c r="Z20" s="648">
        <v>0.31910743587956197</v>
      </c>
      <c r="AA20" s="89">
        <f t="shared" si="11"/>
        <v>5093500</v>
      </c>
      <c r="AB20" s="89">
        <f t="shared" si="12"/>
        <v>3512297.48</v>
      </c>
      <c r="AC20" s="257">
        <f t="shared" si="13"/>
        <v>0.31910743587956197</v>
      </c>
      <c r="AD20" s="90">
        <f t="shared" si="14"/>
        <v>1625373.724652549</v>
      </c>
      <c r="AE20" s="89">
        <f t="shared" si="15"/>
        <v>1284070.6499999999</v>
      </c>
      <c r="AF20" s="89">
        <f t="shared" si="16"/>
        <v>380264.26</v>
      </c>
      <c r="AG20" s="270">
        <f t="shared" si="17"/>
        <v>34.478231864140568</v>
      </c>
      <c r="AH20" s="271">
        <f t="shared" si="18"/>
        <v>47.400937908276752</v>
      </c>
      <c r="AI20" s="240">
        <f t="shared" si="19"/>
        <v>81.879169772417328</v>
      </c>
      <c r="AJ20" s="316">
        <v>99.550277288905022</v>
      </c>
      <c r="AK20" s="672">
        <f t="shared" si="24"/>
        <v>-17.671107516487695</v>
      </c>
      <c r="AL20" t="str">
        <f t="shared" si="20"/>
        <v/>
      </c>
      <c r="AY20" s="19" t="s">
        <v>425</v>
      </c>
      <c r="AZ20" s="49">
        <v>738674343.14999998</v>
      </c>
      <c r="BA20" s="49">
        <v>140423134.97</v>
      </c>
      <c r="BB20" s="49">
        <v>23805614.699999999</v>
      </c>
      <c r="BC20" s="53">
        <f t="shared" si="31"/>
        <v>0.75904791015404927</v>
      </c>
      <c r="BD20" s="53">
        <f t="shared" ref="BD20:BD23" si="32">BA20/($BA$9/4)</f>
        <v>0.54451389269647332</v>
      </c>
      <c r="BE20" s="53">
        <f t="shared" ref="BE20:BE23" si="33">BB20/($BB$9/4)</f>
        <v>0.92310201813246029</v>
      </c>
      <c r="BF20" s="286" t="s">
        <v>373</v>
      </c>
      <c r="BG20" s="33"/>
      <c r="BH20" s="33"/>
      <c r="BI20" s="33"/>
      <c r="BJ20" s="33">
        <f>SUM($BG$12:BG20)</f>
        <v>0</v>
      </c>
      <c r="BK20" s="33">
        <f>SUM($BH$12:BH20)</f>
        <v>0</v>
      </c>
      <c r="BL20" s="33">
        <f>SUM($BI$12:BI20)</f>
        <v>0</v>
      </c>
    </row>
    <row r="21" spans="1:64" ht="11.25" customHeight="1" x14ac:dyDescent="0.2">
      <c r="A21" s="6">
        <v>10</v>
      </c>
      <c r="B21" s="199">
        <v>60365</v>
      </c>
      <c r="C21" s="680" t="s">
        <v>549</v>
      </c>
      <c r="D21" s="173" t="s">
        <v>136</v>
      </c>
      <c r="E21" s="173" t="s">
        <v>14</v>
      </c>
      <c r="F21" s="174" t="s">
        <v>113</v>
      </c>
      <c r="G21" s="179" t="s">
        <v>2</v>
      </c>
      <c r="H21" s="179" t="s">
        <v>577</v>
      </c>
      <c r="I21" s="180" t="s">
        <v>0</v>
      </c>
      <c r="J21" s="181" t="s">
        <v>136</v>
      </c>
      <c r="K21" s="200" t="b">
        <v>0</v>
      </c>
      <c r="L21" s="650">
        <v>3142200</v>
      </c>
      <c r="M21" s="89">
        <v>2106243.7200000002</v>
      </c>
      <c r="N21" s="89">
        <f t="shared" si="22"/>
        <v>724452.54518849903</v>
      </c>
      <c r="O21" s="89">
        <v>589217.52</v>
      </c>
      <c r="P21" s="89">
        <f t="shared" si="9"/>
        <v>72445.254518849906</v>
      </c>
      <c r="Q21" s="651">
        <v>436925.22</v>
      </c>
      <c r="R21" s="650">
        <v>630270</v>
      </c>
      <c r="S21" s="89">
        <v>859551.6</v>
      </c>
      <c r="T21" s="89">
        <f t="shared" si="23"/>
        <v>169931.02140855332</v>
      </c>
      <c r="U21" s="89">
        <v>185998.38</v>
      </c>
      <c r="V21" s="89">
        <f t="shared" si="10"/>
        <v>16993.102140855332</v>
      </c>
      <c r="W21" s="347">
        <v>4054.55</v>
      </c>
      <c r="X21" s="256">
        <v>0.23055583514368883</v>
      </c>
      <c r="Y21" s="256">
        <v>0.26961623020063358</v>
      </c>
      <c r="Z21" s="648">
        <v>0.23641056672313276</v>
      </c>
      <c r="AA21" s="89">
        <f t="shared" si="11"/>
        <v>3772470</v>
      </c>
      <c r="AB21" s="89">
        <f t="shared" si="12"/>
        <v>2965795.3200000003</v>
      </c>
      <c r="AC21" s="257">
        <f t="shared" si="13"/>
        <v>0.23641056672313276</v>
      </c>
      <c r="AD21" s="90">
        <f t="shared" si="14"/>
        <v>891851.7706460167</v>
      </c>
      <c r="AE21" s="89">
        <f t="shared" si="15"/>
        <v>775215.9</v>
      </c>
      <c r="AF21" s="89">
        <f t="shared" si="16"/>
        <v>440979.76999999996</v>
      </c>
      <c r="AG21" s="270">
        <f t="shared" si="17"/>
        <v>39.308401657269641</v>
      </c>
      <c r="AH21" s="271">
        <f t="shared" si="18"/>
        <v>52.153233901535167</v>
      </c>
      <c r="AI21" s="240">
        <f t="shared" si="19"/>
        <v>91.461635558804801</v>
      </c>
      <c r="AJ21" s="316">
        <v>100</v>
      </c>
      <c r="AK21" s="672">
        <f t="shared" si="24"/>
        <v>-8.5383644411951991</v>
      </c>
      <c r="AL21" t="str">
        <f t="shared" si="20"/>
        <v/>
      </c>
      <c r="AM21" s="245"/>
      <c r="AN21" s="19" t="s">
        <v>114</v>
      </c>
      <c r="AO21" s="19" t="s">
        <v>115</v>
      </c>
      <c r="AP21" s="19" t="s">
        <v>116</v>
      </c>
      <c r="AQ21" s="365" t="s">
        <v>117</v>
      </c>
      <c r="AR21" s="365" t="s">
        <v>118</v>
      </c>
      <c r="AS21" s="365" t="s">
        <v>119</v>
      </c>
      <c r="AT21" s="365" t="s">
        <v>120</v>
      </c>
      <c r="AU21" s="365" t="s">
        <v>121</v>
      </c>
      <c r="AV21" s="365" t="s">
        <v>122</v>
      </c>
      <c r="AY21" s="19" t="s">
        <v>428</v>
      </c>
      <c r="AZ21" s="49">
        <v>748931339.27999997</v>
      </c>
      <c r="BA21" s="49">
        <v>137001022.65000001</v>
      </c>
      <c r="BB21" s="49">
        <v>22657140.149999999</v>
      </c>
      <c r="BC21" s="53">
        <f t="shared" si="31"/>
        <v>0.76958780713183517</v>
      </c>
      <c r="BD21" s="53">
        <f t="shared" si="32"/>
        <v>0.53124408711204552</v>
      </c>
      <c r="BE21" s="53">
        <f t="shared" si="33"/>
        <v>0.87856802108012744</v>
      </c>
      <c r="BF21" s="286" t="s">
        <v>374</v>
      </c>
      <c r="BG21" s="33"/>
      <c r="BH21" s="33"/>
      <c r="BI21" s="33"/>
      <c r="BJ21" s="33">
        <f>SUM($BG$12:BG21)</f>
        <v>0</v>
      </c>
      <c r="BK21" s="33">
        <f>SUM($BH$12:BH21)</f>
        <v>0</v>
      </c>
      <c r="BL21" s="33">
        <f>SUM($BI$12:BI21)</f>
        <v>0</v>
      </c>
    </row>
    <row r="22" spans="1:64" ht="11.25" customHeight="1" x14ac:dyDescent="0.2">
      <c r="A22" s="6">
        <v>11</v>
      </c>
      <c r="B22" s="199">
        <v>60367</v>
      </c>
      <c r="C22" s="680" t="s">
        <v>550</v>
      </c>
      <c r="D22" s="173" t="s">
        <v>136</v>
      </c>
      <c r="E22" s="173" t="s">
        <v>14</v>
      </c>
      <c r="F22" s="174" t="s">
        <v>113</v>
      </c>
      <c r="G22" s="179" t="s">
        <v>2</v>
      </c>
      <c r="H22" s="179" t="s">
        <v>575</v>
      </c>
      <c r="I22" s="180" t="s">
        <v>0</v>
      </c>
      <c r="J22" s="181" t="s">
        <v>136</v>
      </c>
      <c r="K22" s="200" t="b">
        <v>0</v>
      </c>
      <c r="L22" s="650">
        <v>3551000</v>
      </c>
      <c r="M22" s="89">
        <v>586237</v>
      </c>
      <c r="N22" s="89">
        <f t="shared" si="22"/>
        <v>461630</v>
      </c>
      <c r="O22" s="89">
        <v>423196.5</v>
      </c>
      <c r="P22" s="89">
        <f t="shared" si="9"/>
        <v>46163</v>
      </c>
      <c r="Q22" s="651">
        <v>297808.98</v>
      </c>
      <c r="R22" s="650">
        <v>6430000</v>
      </c>
      <c r="S22" s="89">
        <v>5570102.4500000002</v>
      </c>
      <c r="T22" s="89">
        <f t="shared" si="23"/>
        <v>3665099.9999999995</v>
      </c>
      <c r="U22" s="89">
        <v>4239185.2300000004</v>
      </c>
      <c r="V22" s="89">
        <f t="shared" si="10"/>
        <v>366510</v>
      </c>
      <c r="W22" s="347">
        <v>1094837.1499999999</v>
      </c>
      <c r="X22" s="256">
        <v>0.13</v>
      </c>
      <c r="Y22" s="256">
        <v>0.56999999999999995</v>
      </c>
      <c r="Z22" s="648">
        <v>0.39</v>
      </c>
      <c r="AA22" s="89">
        <f t="shared" si="11"/>
        <v>9981000</v>
      </c>
      <c r="AB22" s="89">
        <f t="shared" si="12"/>
        <v>6156339.4500000002</v>
      </c>
      <c r="AC22" s="257">
        <f t="shared" si="13"/>
        <v>0.39</v>
      </c>
      <c r="AD22" s="90">
        <f t="shared" si="14"/>
        <v>3892590</v>
      </c>
      <c r="AE22" s="89">
        <f t="shared" si="15"/>
        <v>4662381.7300000004</v>
      </c>
      <c r="AF22" s="89">
        <f t="shared" si="16"/>
        <v>1392646.13</v>
      </c>
      <c r="AG22" s="270">
        <f t="shared" si="17"/>
        <v>30.84029380823565</v>
      </c>
      <c r="AH22" s="271">
        <f t="shared" si="18"/>
        <v>60</v>
      </c>
      <c r="AI22" s="240">
        <f t="shared" si="19"/>
        <v>90.840293808235657</v>
      </c>
      <c r="AJ22" s="316">
        <v>95.467173423489044</v>
      </c>
      <c r="AK22" s="672">
        <f t="shared" si="24"/>
        <v>-4.6268796152533866</v>
      </c>
      <c r="AL22" t="str">
        <f t="shared" si="20"/>
        <v/>
      </c>
      <c r="AM22" s="820">
        <v>2010</v>
      </c>
      <c r="AN22" s="99">
        <v>1</v>
      </c>
      <c r="AO22" s="99" t="s">
        <v>123</v>
      </c>
      <c r="AP22" s="99" t="s">
        <v>269</v>
      </c>
      <c r="AQ22" s="101">
        <v>384177600</v>
      </c>
      <c r="AR22" s="101">
        <v>40040292</v>
      </c>
      <c r="AS22" s="101">
        <v>192088800</v>
      </c>
      <c r="AT22" s="101">
        <v>40040292</v>
      </c>
      <c r="AU22" s="101">
        <v>19212000</v>
      </c>
      <c r="AV22" s="102">
        <v>18306312</v>
      </c>
      <c r="AY22" s="19" t="s">
        <v>431</v>
      </c>
      <c r="AZ22" s="49">
        <v>772737331.25999999</v>
      </c>
      <c r="BA22" s="49">
        <v>137449507.97</v>
      </c>
      <c r="BB22" s="49">
        <v>23966996.379999999</v>
      </c>
      <c r="BC22" s="53">
        <f t="shared" si="31"/>
        <v>0.79405039829820212</v>
      </c>
      <c r="BD22" s="53">
        <f t="shared" si="32"/>
        <v>0.53298316299482362</v>
      </c>
      <c r="BE22" s="53">
        <f t="shared" si="33"/>
        <v>0.92935985924998477</v>
      </c>
      <c r="BF22" s="286" t="s">
        <v>393</v>
      </c>
      <c r="BG22" s="33"/>
      <c r="BH22" s="33"/>
      <c r="BI22" s="33"/>
      <c r="BJ22" s="33">
        <f>SUM($BG$12:BG22)</f>
        <v>0</v>
      </c>
      <c r="BK22" s="33">
        <f>SUM($BH$12:BH22)</f>
        <v>0</v>
      </c>
      <c r="BL22" s="33">
        <f>SUM($BI$12:BI22)</f>
        <v>0</v>
      </c>
    </row>
    <row r="23" spans="1:64" ht="11.25" customHeight="1" x14ac:dyDescent="0.2">
      <c r="A23" s="6">
        <v>12</v>
      </c>
      <c r="B23" s="199">
        <v>60922</v>
      </c>
      <c r="C23" s="680" t="s">
        <v>551</v>
      </c>
      <c r="D23" s="173" t="s">
        <v>136</v>
      </c>
      <c r="E23" s="173" t="s">
        <v>14</v>
      </c>
      <c r="F23" s="174" t="s">
        <v>113</v>
      </c>
      <c r="G23" s="179" t="s">
        <v>2</v>
      </c>
      <c r="H23" s="179" t="s">
        <v>575</v>
      </c>
      <c r="I23" s="180" t="s">
        <v>0</v>
      </c>
      <c r="J23" s="181" t="s">
        <v>136</v>
      </c>
      <c r="K23" s="200" t="b">
        <v>0</v>
      </c>
      <c r="L23" s="650">
        <v>5915110.5</v>
      </c>
      <c r="M23" s="89">
        <v>0</v>
      </c>
      <c r="N23" s="89">
        <f t="shared" si="22"/>
        <v>1123870.9950000001</v>
      </c>
      <c r="O23" s="89">
        <v>982062.96</v>
      </c>
      <c r="P23" s="89">
        <f t="shared" si="9"/>
        <v>112387.09950000001</v>
      </c>
      <c r="Q23" s="651">
        <v>410115.18</v>
      </c>
      <c r="R23" s="650">
        <v>6402000</v>
      </c>
      <c r="S23" s="89">
        <v>5202999.5199999996</v>
      </c>
      <c r="T23" s="89">
        <f t="shared" si="23"/>
        <v>3329040</v>
      </c>
      <c r="U23" s="89">
        <v>3588860.4</v>
      </c>
      <c r="V23" s="89">
        <f t="shared" si="10"/>
        <v>332904</v>
      </c>
      <c r="W23" s="347">
        <v>694219.96</v>
      </c>
      <c r="X23" s="256">
        <v>0.19</v>
      </c>
      <c r="Y23" s="256">
        <v>0.52</v>
      </c>
      <c r="Z23" s="648">
        <v>0.38</v>
      </c>
      <c r="AA23" s="89">
        <f t="shared" si="11"/>
        <v>12317110.5</v>
      </c>
      <c r="AB23" s="89">
        <f t="shared" si="12"/>
        <v>5202999.5199999996</v>
      </c>
      <c r="AC23" s="257">
        <f t="shared" si="13"/>
        <v>0.38</v>
      </c>
      <c r="AD23" s="90">
        <f t="shared" si="14"/>
        <v>4680501.99</v>
      </c>
      <c r="AE23" s="89">
        <f t="shared" si="15"/>
        <v>4570923.3599999994</v>
      </c>
      <c r="AF23" s="89">
        <f t="shared" si="16"/>
        <v>1104335.1399999999</v>
      </c>
      <c r="AG23" s="270">
        <f t="shared" si="17"/>
        <v>21.121023149057564</v>
      </c>
      <c r="AH23" s="271">
        <f t="shared" si="18"/>
        <v>58.595296441696405</v>
      </c>
      <c r="AI23" s="240">
        <f t="shared" si="19"/>
        <v>79.716319590753969</v>
      </c>
      <c r="AJ23" s="316">
        <v>93.879655097401383</v>
      </c>
      <c r="AK23" s="672">
        <f t="shared" si="24"/>
        <v>-14.163335506647414</v>
      </c>
      <c r="AL23">
        <f t="shared" si="20"/>
        <v>12</v>
      </c>
      <c r="AM23" s="821"/>
      <c r="AN23" s="103">
        <v>2</v>
      </c>
      <c r="AO23" s="103" t="s">
        <v>124</v>
      </c>
      <c r="AP23" s="103" t="s">
        <v>270</v>
      </c>
      <c r="AQ23" s="104">
        <v>73844400</v>
      </c>
      <c r="AR23" s="104">
        <v>0</v>
      </c>
      <c r="AS23" s="104">
        <v>59074800</v>
      </c>
      <c r="AT23" s="104">
        <v>0</v>
      </c>
      <c r="AU23" s="104">
        <v>5904000</v>
      </c>
      <c r="AV23" s="105">
        <v>0</v>
      </c>
      <c r="AY23" s="19" t="s">
        <v>434</v>
      </c>
      <c r="AZ23" s="49">
        <v>845864165.87</v>
      </c>
      <c r="BA23" s="49">
        <v>163808390.37</v>
      </c>
      <c r="BB23" s="49">
        <v>29343642.91</v>
      </c>
      <c r="BC23" s="53">
        <f t="shared" si="31"/>
        <v>0.86919416293770269</v>
      </c>
      <c r="BD23" s="53">
        <f t="shared" si="32"/>
        <v>0.6351940819136962</v>
      </c>
      <c r="BE23" s="53">
        <f t="shared" si="33"/>
        <v>1.1378482064392674</v>
      </c>
      <c r="BF23" s="287" t="s">
        <v>395</v>
      </c>
      <c r="BG23" s="249"/>
      <c r="BH23" s="249"/>
      <c r="BI23" s="249"/>
      <c r="BJ23" s="249">
        <f>SUM($BG$12:BG23)</f>
        <v>0</v>
      </c>
      <c r="BK23" s="249">
        <f>SUM($BH$12:BH23)</f>
        <v>0</v>
      </c>
      <c r="BL23" s="249">
        <f>SUM($BI$12:BI23)</f>
        <v>0</v>
      </c>
    </row>
    <row r="24" spans="1:64" ht="11.25" customHeight="1" x14ac:dyDescent="0.2">
      <c r="A24" s="6">
        <v>13</v>
      </c>
      <c r="B24" s="199">
        <v>60371</v>
      </c>
      <c r="C24" s="680" t="s">
        <v>552</v>
      </c>
      <c r="D24" s="173" t="s">
        <v>136</v>
      </c>
      <c r="E24" s="173" t="s">
        <v>14</v>
      </c>
      <c r="F24" s="174" t="s">
        <v>113</v>
      </c>
      <c r="G24" s="179" t="s">
        <v>2</v>
      </c>
      <c r="H24" s="179" t="s">
        <v>575</v>
      </c>
      <c r="I24" s="180" t="s">
        <v>0</v>
      </c>
      <c r="J24" s="181" t="s">
        <v>136</v>
      </c>
      <c r="K24" s="200" t="b">
        <v>0</v>
      </c>
      <c r="L24" s="650">
        <v>1879500</v>
      </c>
      <c r="M24" s="89">
        <v>22682.31</v>
      </c>
      <c r="N24" s="89">
        <f t="shared" si="22"/>
        <v>826980</v>
      </c>
      <c r="O24" s="89">
        <v>928067.13</v>
      </c>
      <c r="P24" s="89">
        <f t="shared" si="9"/>
        <v>82698</v>
      </c>
      <c r="Q24" s="651">
        <v>670941.63</v>
      </c>
      <c r="R24" s="650">
        <v>1737000</v>
      </c>
      <c r="S24" s="89">
        <v>1529671.39</v>
      </c>
      <c r="T24" s="89">
        <f t="shared" si="23"/>
        <v>1059570</v>
      </c>
      <c r="U24" s="89">
        <v>558947.26</v>
      </c>
      <c r="V24" s="89">
        <f t="shared" si="10"/>
        <v>105957</v>
      </c>
      <c r="W24" s="347">
        <v>194228.02</v>
      </c>
      <c r="X24" s="256">
        <v>0.44</v>
      </c>
      <c r="Y24" s="256">
        <v>0.61</v>
      </c>
      <c r="Z24" s="648">
        <v>0.51</v>
      </c>
      <c r="AA24" s="89">
        <f t="shared" si="11"/>
        <v>3616500</v>
      </c>
      <c r="AB24" s="89">
        <f t="shared" si="12"/>
        <v>1552353.7</v>
      </c>
      <c r="AC24" s="257">
        <f t="shared" si="13"/>
        <v>0.51</v>
      </c>
      <c r="AD24" s="90">
        <f t="shared" si="14"/>
        <v>1844415</v>
      </c>
      <c r="AE24" s="89">
        <f t="shared" si="15"/>
        <v>1487014.3900000001</v>
      </c>
      <c r="AF24" s="89">
        <f t="shared" si="16"/>
        <v>865169.65</v>
      </c>
      <c r="AG24" s="270">
        <f t="shared" si="17"/>
        <v>21.462100096778652</v>
      </c>
      <c r="AH24" s="271">
        <f t="shared" si="18"/>
        <v>48.373529493091304</v>
      </c>
      <c r="AI24" s="240">
        <f t="shared" si="19"/>
        <v>69.835629589869953</v>
      </c>
      <c r="AJ24" s="316">
        <v>70.825655658874041</v>
      </c>
      <c r="AK24" s="672">
        <f t="shared" si="24"/>
        <v>-0.99002606900408807</v>
      </c>
      <c r="AL24" t="str">
        <f t="shared" si="20"/>
        <v/>
      </c>
      <c r="AM24" s="821"/>
      <c r="AN24" s="103">
        <v>3</v>
      </c>
      <c r="AO24" s="103" t="s">
        <v>125</v>
      </c>
      <c r="AP24" s="103" t="s">
        <v>271</v>
      </c>
      <c r="AQ24" s="104">
        <v>67322400</v>
      </c>
      <c r="AR24" s="104">
        <v>0</v>
      </c>
      <c r="AS24" s="104">
        <v>13465200</v>
      </c>
      <c r="AT24" s="104">
        <v>0</v>
      </c>
      <c r="AU24" s="104">
        <v>1346400</v>
      </c>
      <c r="AV24" s="105">
        <v>0</v>
      </c>
      <c r="AY24" s="19" t="s">
        <v>437</v>
      </c>
      <c r="AZ24" s="49">
        <v>702868285.49000001</v>
      </c>
      <c r="BA24" s="49">
        <v>143948890.43000001</v>
      </c>
      <c r="BB24" s="49">
        <v>23868234.59</v>
      </c>
      <c r="BC24" s="378">
        <f>(AZ24)/($AZ$5/4)</f>
        <v>0.73386180634891374</v>
      </c>
      <c r="BD24" s="378">
        <f>BA24/($BA$5/4)</f>
        <v>0.51184765577495883</v>
      </c>
      <c r="BE24" s="378">
        <f>BB24/($BB$5/4)</f>
        <v>0.99688227131554175</v>
      </c>
    </row>
    <row r="25" spans="1:64" ht="11.25" customHeight="1" x14ac:dyDescent="0.2">
      <c r="A25" s="6">
        <v>14</v>
      </c>
      <c r="B25" s="199">
        <v>60375</v>
      </c>
      <c r="C25" s="680" t="s">
        <v>579</v>
      </c>
      <c r="D25" s="173" t="s">
        <v>136</v>
      </c>
      <c r="E25" s="173" t="s">
        <v>14</v>
      </c>
      <c r="F25" s="174" t="s">
        <v>14</v>
      </c>
      <c r="G25" s="179" t="s">
        <v>1</v>
      </c>
      <c r="H25" s="179" t="s">
        <v>577</v>
      </c>
      <c r="I25" s="180" t="s">
        <v>0</v>
      </c>
      <c r="J25" s="181" t="s">
        <v>136</v>
      </c>
      <c r="K25" s="200" t="b">
        <v>0</v>
      </c>
      <c r="L25" s="650">
        <v>4640000</v>
      </c>
      <c r="M25" s="89">
        <v>0</v>
      </c>
      <c r="N25" s="89">
        <f t="shared" si="22"/>
        <v>324800.00000000006</v>
      </c>
      <c r="O25" s="89">
        <v>238633.44</v>
      </c>
      <c r="P25" s="89">
        <f t="shared" si="9"/>
        <v>32480.000000000007</v>
      </c>
      <c r="Q25" s="651">
        <v>143956.38</v>
      </c>
      <c r="R25" s="650">
        <v>2600000</v>
      </c>
      <c r="S25" s="89">
        <v>2071393.94</v>
      </c>
      <c r="T25" s="89">
        <f t="shared" si="23"/>
        <v>806000</v>
      </c>
      <c r="U25" s="89">
        <v>136560.41</v>
      </c>
      <c r="V25" s="89">
        <f t="shared" si="10"/>
        <v>80600</v>
      </c>
      <c r="W25" s="347">
        <v>44760.46</v>
      </c>
      <c r="X25" s="256">
        <v>7.0000000000000007E-2</v>
      </c>
      <c r="Y25" s="256">
        <v>0.31</v>
      </c>
      <c r="Z25" s="648">
        <v>0.15</v>
      </c>
      <c r="AA25" s="89">
        <f t="shared" si="11"/>
        <v>7240000</v>
      </c>
      <c r="AB25" s="89">
        <f t="shared" si="12"/>
        <v>2071393.94</v>
      </c>
      <c r="AC25" s="257">
        <f t="shared" si="13"/>
        <v>0.15</v>
      </c>
      <c r="AD25" s="90">
        <f t="shared" si="14"/>
        <v>1086000</v>
      </c>
      <c r="AE25" s="89">
        <f t="shared" si="15"/>
        <v>375193.85</v>
      </c>
      <c r="AF25" s="89">
        <f t="shared" si="16"/>
        <v>188716.84</v>
      </c>
      <c r="AG25" s="270">
        <f t="shared" si="17"/>
        <v>14.3052067679558</v>
      </c>
      <c r="AH25" s="271">
        <f t="shared" si="18"/>
        <v>20.728941988950275</v>
      </c>
      <c r="AI25" s="240">
        <f t="shared" si="19"/>
        <v>35.034148756906077</v>
      </c>
      <c r="AJ25" s="316">
        <v>59.844236397033811</v>
      </c>
      <c r="AK25" s="672">
        <f t="shared" si="24"/>
        <v>-24.810087640127733</v>
      </c>
      <c r="AL25">
        <f t="shared" si="20"/>
        <v>14</v>
      </c>
      <c r="AM25" s="821"/>
      <c r="AN25" s="103">
        <v>4</v>
      </c>
      <c r="AO25" s="103" t="s">
        <v>132</v>
      </c>
      <c r="AP25" s="103" t="s">
        <v>272</v>
      </c>
      <c r="AQ25" s="104">
        <v>582636000</v>
      </c>
      <c r="AR25" s="104">
        <v>1737.96</v>
      </c>
      <c r="AS25" s="104">
        <v>0</v>
      </c>
      <c r="AT25" s="104">
        <v>0</v>
      </c>
      <c r="AU25" s="104">
        <v>0</v>
      </c>
      <c r="AV25" s="105">
        <v>0</v>
      </c>
      <c r="AY25" s="19" t="s">
        <v>440</v>
      </c>
      <c r="AZ25" s="49">
        <v>760805453.25999999</v>
      </c>
      <c r="BA25" s="49">
        <v>138851925.16999999</v>
      </c>
      <c r="BB25" s="49">
        <v>23863494.949999999</v>
      </c>
      <c r="BC25" s="378">
        <f t="shared" ref="BC25:BC26" si="34">(AZ25)/($AZ$5/4)</f>
        <v>0.79435375835780431</v>
      </c>
      <c r="BD25" s="378">
        <f t="shared" ref="BD25:BD27" si="35">BA25/($BA$5/4)</f>
        <v>0.49372407238293498</v>
      </c>
      <c r="BE25" s="378">
        <f t="shared" ref="BE25:BE27" si="36">BB25/($BB$5/4)</f>
        <v>0.9966843151964746</v>
      </c>
      <c r="BG25" s="168">
        <f>COUNTIF($AI$12:$AI$189,"&gt;=77")</f>
        <v>38</v>
      </c>
      <c r="BH25" s="168">
        <f>COUNTIFS($AI$12:$AI$189,"&gt;=53",$AI$12:$AI$189,"&lt;77")</f>
        <v>40</v>
      </c>
      <c r="BI25" s="168">
        <f>COUNTIFS($AI$12:$AI$189,"&gt;=29",$AI$12:$AI$189,"&lt;53")</f>
        <v>40</v>
      </c>
      <c r="BJ25" s="168">
        <f>COUNTIF($AI$12:$AI$189,"&lt;29")</f>
        <v>55</v>
      </c>
    </row>
    <row r="26" spans="1:64" ht="11.25" customHeight="1" x14ac:dyDescent="0.2">
      <c r="A26" s="6">
        <v>15</v>
      </c>
      <c r="B26" s="199">
        <v>60923</v>
      </c>
      <c r="C26" s="680" t="s">
        <v>553</v>
      </c>
      <c r="D26" s="173" t="s">
        <v>136</v>
      </c>
      <c r="E26" s="173" t="s">
        <v>14</v>
      </c>
      <c r="F26" s="174" t="s">
        <v>113</v>
      </c>
      <c r="G26" s="179" t="s">
        <v>2</v>
      </c>
      <c r="H26" s="179" t="s">
        <v>577</v>
      </c>
      <c r="I26" s="180" t="s">
        <v>0</v>
      </c>
      <c r="J26" s="181" t="s">
        <v>136</v>
      </c>
      <c r="K26" s="200" t="b">
        <v>0</v>
      </c>
      <c r="L26" s="650">
        <v>1845500</v>
      </c>
      <c r="M26" s="89">
        <v>1121292.55</v>
      </c>
      <c r="N26" s="89">
        <f t="shared" si="22"/>
        <v>159621.74480958236</v>
      </c>
      <c r="O26" s="89">
        <v>29174.58</v>
      </c>
      <c r="P26" s="89">
        <f t="shared" si="9"/>
        <v>15962.174480958238</v>
      </c>
      <c r="Q26" s="651">
        <v>48174.239999999998</v>
      </c>
      <c r="R26" s="650">
        <v>712500</v>
      </c>
      <c r="S26" s="89">
        <v>926316.71</v>
      </c>
      <c r="T26" s="89">
        <f t="shared" si="23"/>
        <v>71614.823977685825</v>
      </c>
      <c r="U26" s="89">
        <v>16082.72</v>
      </c>
      <c r="V26" s="89">
        <f t="shared" si="10"/>
        <v>7161.4823977685828</v>
      </c>
      <c r="W26" s="347">
        <v>1847.11</v>
      </c>
      <c r="X26" s="256">
        <v>8.6492411167478925E-2</v>
      </c>
      <c r="Y26" s="256">
        <v>0.10051203365289239</v>
      </c>
      <c r="Z26" s="648">
        <v>8.9867162672331385E-2</v>
      </c>
      <c r="AA26" s="89">
        <f t="shared" si="11"/>
        <v>2558000</v>
      </c>
      <c r="AB26" s="89">
        <f t="shared" si="12"/>
        <v>2047609.26</v>
      </c>
      <c r="AC26" s="257">
        <f t="shared" si="13"/>
        <v>8.9867162672331385E-2</v>
      </c>
      <c r="AD26" s="90">
        <f t="shared" si="14"/>
        <v>229880.20211582369</v>
      </c>
      <c r="AE26" s="89">
        <f t="shared" si="15"/>
        <v>45257.3</v>
      </c>
      <c r="AF26" s="89">
        <f t="shared" si="16"/>
        <v>50021.35</v>
      </c>
      <c r="AG26" s="270">
        <f t="shared" si="17"/>
        <v>40</v>
      </c>
      <c r="AH26" s="271">
        <f t="shared" si="18"/>
        <v>11.812404787393756</v>
      </c>
      <c r="AI26" s="240">
        <f t="shared" si="19"/>
        <v>51.81240478739376</v>
      </c>
      <c r="AJ26" s="316">
        <v>86.611571582029626</v>
      </c>
      <c r="AK26" s="672">
        <f t="shared" si="24"/>
        <v>-34.799166794635866</v>
      </c>
      <c r="AL26" t="str">
        <f t="shared" si="20"/>
        <v/>
      </c>
      <c r="AM26" s="821"/>
      <c r="AN26" s="40">
        <v>5</v>
      </c>
      <c r="AO26" s="40" t="s">
        <v>126</v>
      </c>
      <c r="AP26" s="40" t="s">
        <v>273</v>
      </c>
      <c r="AQ26" s="122">
        <v>17791200</v>
      </c>
      <c r="AR26" s="122">
        <v>0</v>
      </c>
      <c r="AS26" s="122">
        <v>1778400</v>
      </c>
      <c r="AT26" s="122">
        <v>0</v>
      </c>
      <c r="AU26" s="122">
        <v>177600</v>
      </c>
      <c r="AV26" s="167">
        <v>0</v>
      </c>
      <c r="AY26" s="19" t="s">
        <v>441</v>
      </c>
      <c r="AZ26" s="49">
        <v>751638238.72000003</v>
      </c>
      <c r="BA26" s="49">
        <v>137495814.33000001</v>
      </c>
      <c r="BB26" s="49">
        <v>22578893.93</v>
      </c>
      <c r="BC26" s="378">
        <f t="shared" si="34"/>
        <v>0.78478230839997554</v>
      </c>
      <c r="BD26" s="378">
        <f t="shared" si="35"/>
        <v>0.4889020681816415</v>
      </c>
      <c r="BE26" s="378">
        <f t="shared" si="36"/>
        <v>0.94303158366649431</v>
      </c>
      <c r="BF26" s="349" t="s">
        <v>247</v>
      </c>
      <c r="BG26" s="350" t="s">
        <v>14</v>
      </c>
      <c r="BH26" s="350" t="s">
        <v>258</v>
      </c>
      <c r="BI26" s="350" t="s">
        <v>255</v>
      </c>
      <c r="BJ26" s="350" t="s">
        <v>254</v>
      </c>
    </row>
    <row r="27" spans="1:64" ht="11.25" customHeight="1" x14ac:dyDescent="0.2">
      <c r="A27" s="6">
        <v>16</v>
      </c>
      <c r="B27" s="199">
        <v>60439</v>
      </c>
      <c r="C27" s="680" t="s">
        <v>580</v>
      </c>
      <c r="D27" s="173" t="s">
        <v>136</v>
      </c>
      <c r="E27" s="173" t="s">
        <v>14</v>
      </c>
      <c r="F27" s="174" t="s">
        <v>14</v>
      </c>
      <c r="G27" s="179" t="s">
        <v>1</v>
      </c>
      <c r="H27" s="179" t="s">
        <v>289</v>
      </c>
      <c r="I27" s="180" t="s">
        <v>0</v>
      </c>
      <c r="J27" s="181" t="s">
        <v>136</v>
      </c>
      <c r="K27" s="200" t="b">
        <v>0</v>
      </c>
      <c r="L27" s="650">
        <v>67894916</v>
      </c>
      <c r="M27" s="89">
        <v>0</v>
      </c>
      <c r="N27" s="89">
        <f t="shared" si="22"/>
        <v>10184237.4</v>
      </c>
      <c r="O27" s="89">
        <v>7492149.7800000003</v>
      </c>
      <c r="P27" s="89">
        <f t="shared" si="9"/>
        <v>1018423.7400000001</v>
      </c>
      <c r="Q27" s="651">
        <v>617223.72</v>
      </c>
      <c r="R27" s="650">
        <v>27726000</v>
      </c>
      <c r="S27" s="89">
        <v>6959332.8899999997</v>
      </c>
      <c r="T27" s="89">
        <f t="shared" si="23"/>
        <v>9704100</v>
      </c>
      <c r="U27" s="89">
        <v>6812858.79</v>
      </c>
      <c r="V27" s="89">
        <f t="shared" si="10"/>
        <v>970410</v>
      </c>
      <c r="W27" s="347">
        <v>244807.85</v>
      </c>
      <c r="X27" s="256">
        <v>0.15</v>
      </c>
      <c r="Y27" s="256">
        <v>0.35</v>
      </c>
      <c r="Z27" s="648">
        <v>0.21</v>
      </c>
      <c r="AA27" s="89">
        <f t="shared" si="11"/>
        <v>95620916</v>
      </c>
      <c r="AB27" s="89">
        <f t="shared" si="12"/>
        <v>6959332.8899999997</v>
      </c>
      <c r="AC27" s="257">
        <f t="shared" si="13"/>
        <v>0.21</v>
      </c>
      <c r="AD27" s="90">
        <f t="shared" si="14"/>
        <v>20080392.359999999</v>
      </c>
      <c r="AE27" s="89">
        <f t="shared" si="15"/>
        <v>14305008.57</v>
      </c>
      <c r="AF27" s="89">
        <f t="shared" si="16"/>
        <v>862031.57</v>
      </c>
      <c r="AG27" s="270">
        <f t="shared" si="17"/>
        <v>3.6390222877597198</v>
      </c>
      <c r="AH27" s="271">
        <f t="shared" si="18"/>
        <v>42.743214316356116</v>
      </c>
      <c r="AI27" s="240">
        <f t="shared" si="19"/>
        <v>46.382236604115839</v>
      </c>
      <c r="AJ27" s="316">
        <v>61.808916486599074</v>
      </c>
      <c r="AK27" s="672">
        <f t="shared" si="24"/>
        <v>-15.426679882483235</v>
      </c>
      <c r="AL27">
        <f t="shared" si="20"/>
        <v>16</v>
      </c>
      <c r="AM27" s="821"/>
      <c r="AN27" s="108">
        <v>11</v>
      </c>
      <c r="AO27" s="108" t="s">
        <v>129</v>
      </c>
      <c r="AP27" s="108" t="s">
        <v>274</v>
      </c>
      <c r="AQ27" s="109">
        <v>212645040</v>
      </c>
      <c r="AR27" s="109">
        <v>0</v>
      </c>
      <c r="AS27" s="109">
        <v>66492960</v>
      </c>
      <c r="AT27" s="109">
        <v>0</v>
      </c>
      <c r="AU27" s="109">
        <v>6649320</v>
      </c>
      <c r="AV27" s="110">
        <v>0</v>
      </c>
      <c r="AY27" s="19" t="s">
        <v>442</v>
      </c>
      <c r="AZ27" s="49">
        <v>1039850438.64</v>
      </c>
      <c r="BA27" s="49">
        <v>150094847.16</v>
      </c>
      <c r="BB27" s="49">
        <v>25228896.969999999</v>
      </c>
      <c r="BC27" s="378">
        <f>(AZ27)/($AZ$5/4)</f>
        <v>1.0857034482656533</v>
      </c>
      <c r="BD27" s="378">
        <f t="shared" si="35"/>
        <v>0.53370120070571725</v>
      </c>
      <c r="BE27" s="378">
        <f t="shared" si="36"/>
        <v>1.0537117866596009</v>
      </c>
      <c r="BF27" s="377" t="s">
        <v>429</v>
      </c>
      <c r="BG27" s="356">
        <v>37</v>
      </c>
      <c r="BH27" s="357">
        <v>33</v>
      </c>
      <c r="BI27" s="357">
        <v>46</v>
      </c>
      <c r="BJ27" s="357">
        <v>58</v>
      </c>
    </row>
    <row r="28" spans="1:64" ht="11.25" customHeight="1" x14ac:dyDescent="0.2">
      <c r="A28" s="6">
        <v>17</v>
      </c>
      <c r="B28" s="199">
        <v>60445</v>
      </c>
      <c r="C28" s="680" t="s">
        <v>581</v>
      </c>
      <c r="D28" s="173" t="s">
        <v>136</v>
      </c>
      <c r="E28" s="173" t="s">
        <v>14</v>
      </c>
      <c r="F28" s="174" t="s">
        <v>14</v>
      </c>
      <c r="G28" s="179" t="s">
        <v>1</v>
      </c>
      <c r="H28" s="179" t="s">
        <v>582</v>
      </c>
      <c r="I28" s="180" t="s">
        <v>0</v>
      </c>
      <c r="J28" s="181" t="s">
        <v>136</v>
      </c>
      <c r="K28" s="200" t="b">
        <v>0</v>
      </c>
      <c r="L28" s="650">
        <v>28169500</v>
      </c>
      <c r="M28" s="89">
        <v>23449388.93</v>
      </c>
      <c r="N28" s="89">
        <f t="shared" si="22"/>
        <v>7042375</v>
      </c>
      <c r="O28" s="89">
        <v>3550468.02</v>
      </c>
      <c r="P28" s="89">
        <f t="shared" si="9"/>
        <v>704237.5</v>
      </c>
      <c r="Q28" s="651">
        <v>1832059.98</v>
      </c>
      <c r="R28" s="650">
        <v>4962500</v>
      </c>
      <c r="S28" s="89">
        <v>2869936</v>
      </c>
      <c r="T28" s="89">
        <f t="shared" si="23"/>
        <v>694750.00000000012</v>
      </c>
      <c r="U28" s="89">
        <v>765211.14</v>
      </c>
      <c r="V28" s="89">
        <f t="shared" si="10"/>
        <v>69475.000000000015</v>
      </c>
      <c r="W28" s="347">
        <v>249434.98</v>
      </c>
      <c r="X28" s="256">
        <v>0.25</v>
      </c>
      <c r="Y28" s="256">
        <v>0.14000000000000001</v>
      </c>
      <c r="Z28" s="648">
        <v>0.22</v>
      </c>
      <c r="AA28" s="89">
        <f t="shared" si="11"/>
        <v>33132000</v>
      </c>
      <c r="AB28" s="89">
        <f t="shared" si="12"/>
        <v>26319324.93</v>
      </c>
      <c r="AC28" s="257">
        <f t="shared" si="13"/>
        <v>0.22</v>
      </c>
      <c r="AD28" s="90">
        <f t="shared" si="14"/>
        <v>7289040</v>
      </c>
      <c r="AE28" s="89">
        <f t="shared" si="15"/>
        <v>4315679.16</v>
      </c>
      <c r="AF28" s="89">
        <f t="shared" si="16"/>
        <v>2081494.96</v>
      </c>
      <c r="AG28" s="270">
        <f t="shared" si="17"/>
        <v>39.718889487504526</v>
      </c>
      <c r="AH28" s="271">
        <f t="shared" si="18"/>
        <v>35.524671232425675</v>
      </c>
      <c r="AI28" s="240">
        <f t="shared" si="19"/>
        <v>75.243560719930201</v>
      </c>
      <c r="AJ28" s="316">
        <v>75.822962474488719</v>
      </c>
      <c r="AK28" s="672">
        <f t="shared" si="24"/>
        <v>-0.57940175455851772</v>
      </c>
      <c r="AL28" t="str">
        <f t="shared" si="20"/>
        <v/>
      </c>
      <c r="AM28" s="821"/>
      <c r="AN28" s="108">
        <v>12</v>
      </c>
      <c r="AO28" s="108" t="s">
        <v>130</v>
      </c>
      <c r="AP28" s="108" t="s">
        <v>275</v>
      </c>
      <c r="AQ28" s="109">
        <v>162747960</v>
      </c>
      <c r="AR28" s="109">
        <v>0</v>
      </c>
      <c r="AS28" s="109">
        <v>32438040</v>
      </c>
      <c r="AT28" s="109">
        <v>0</v>
      </c>
      <c r="AU28" s="109">
        <v>3243840</v>
      </c>
      <c r="AV28" s="110">
        <v>0</v>
      </c>
      <c r="AY28" s="19" t="s">
        <v>449</v>
      </c>
      <c r="AZ28" s="49">
        <v>688416275.38</v>
      </c>
      <c r="BA28" s="49">
        <v>136792388.38</v>
      </c>
      <c r="BB28" s="49">
        <v>29447684.989999998</v>
      </c>
      <c r="BC28" s="383">
        <f t="shared" ref="BC28:BC33" si="37">(AZ28)/($AZ$4/4)</f>
        <v>0.73798138690467263</v>
      </c>
      <c r="BD28" s="383">
        <f t="shared" ref="BD28:BD33" si="38">BA28/($BA$4/4)</f>
        <v>0.50456575729208542</v>
      </c>
      <c r="BE28" s="383">
        <f t="shared" ref="BE28:BE33" si="39">BB28/($BB$4/4)</f>
        <v>1.086192824790869</v>
      </c>
      <c r="BF28" s="377" t="s">
        <v>436</v>
      </c>
      <c r="BG28" s="356">
        <v>58</v>
      </c>
      <c r="BH28" s="357">
        <v>40</v>
      </c>
      <c r="BI28" s="357">
        <v>41</v>
      </c>
      <c r="BJ28" s="357">
        <v>35</v>
      </c>
    </row>
    <row r="29" spans="1:64" ht="11.25" customHeight="1" x14ac:dyDescent="0.2">
      <c r="A29" s="6">
        <v>18</v>
      </c>
      <c r="B29" s="199">
        <v>60452</v>
      </c>
      <c r="C29" s="680" t="s">
        <v>583</v>
      </c>
      <c r="D29" s="173" t="s">
        <v>136</v>
      </c>
      <c r="E29" s="173" t="s">
        <v>14</v>
      </c>
      <c r="F29" s="174" t="s">
        <v>14</v>
      </c>
      <c r="G29" s="179" t="s">
        <v>1</v>
      </c>
      <c r="H29" s="179" t="s">
        <v>582</v>
      </c>
      <c r="I29" s="180" t="s">
        <v>0</v>
      </c>
      <c r="J29" s="181" t="s">
        <v>136</v>
      </c>
      <c r="K29" s="200" t="b">
        <v>0</v>
      </c>
      <c r="L29" s="650">
        <v>32633000</v>
      </c>
      <c r="M29" s="89">
        <v>21131851.18</v>
      </c>
      <c r="N29" s="89">
        <f t="shared" si="22"/>
        <v>2610640</v>
      </c>
      <c r="O29" s="89">
        <v>1958272.68</v>
      </c>
      <c r="P29" s="89">
        <f t="shared" si="9"/>
        <v>261064</v>
      </c>
      <c r="Q29" s="651">
        <v>932486.34</v>
      </c>
      <c r="R29" s="650">
        <v>6807000</v>
      </c>
      <c r="S29" s="89">
        <v>6722614.0099999998</v>
      </c>
      <c r="T29" s="89">
        <f t="shared" si="23"/>
        <v>68070</v>
      </c>
      <c r="U29" s="89">
        <v>37204.800000000003</v>
      </c>
      <c r="V29" s="89">
        <f t="shared" si="10"/>
        <v>6807</v>
      </c>
      <c r="W29" s="347">
        <v>6263.92</v>
      </c>
      <c r="X29" s="256">
        <v>0.08</v>
      </c>
      <c r="Y29" s="256">
        <v>0.01</v>
      </c>
      <c r="Z29" s="648">
        <v>7.0000000000000007E-2</v>
      </c>
      <c r="AA29" s="89">
        <f t="shared" si="11"/>
        <v>39440000</v>
      </c>
      <c r="AB29" s="89">
        <f t="shared" si="12"/>
        <v>27854465.189999998</v>
      </c>
      <c r="AC29" s="257">
        <f t="shared" si="13"/>
        <v>7.0000000000000007E-2</v>
      </c>
      <c r="AD29" s="90">
        <f t="shared" si="14"/>
        <v>2760800.0000000005</v>
      </c>
      <c r="AE29" s="89">
        <f t="shared" si="15"/>
        <v>1995477.48</v>
      </c>
      <c r="AF29" s="89">
        <f t="shared" si="16"/>
        <v>938750.26</v>
      </c>
      <c r="AG29" s="270">
        <f t="shared" si="17"/>
        <v>35.312455869675453</v>
      </c>
      <c r="AH29" s="271">
        <f t="shared" si="18"/>
        <v>43.367374963778609</v>
      </c>
      <c r="AI29" s="240">
        <f t="shared" si="19"/>
        <v>78.679830833454062</v>
      </c>
      <c r="AJ29" s="316">
        <v>87.871773127266408</v>
      </c>
      <c r="AK29" s="672">
        <f t="shared" si="24"/>
        <v>-9.1919422938123461</v>
      </c>
      <c r="AL29" t="str">
        <f t="shared" si="20"/>
        <v/>
      </c>
      <c r="AM29" s="821"/>
      <c r="AN29" s="108">
        <v>13</v>
      </c>
      <c r="AO29" s="108" t="s">
        <v>127</v>
      </c>
      <c r="AP29" s="108" t="s">
        <v>276</v>
      </c>
      <c r="AQ29" s="109">
        <v>789925320</v>
      </c>
      <c r="AR29" s="109">
        <v>3149642.55</v>
      </c>
      <c r="AS29" s="109">
        <v>140764692</v>
      </c>
      <c r="AT29" s="109">
        <v>1581349.94</v>
      </c>
      <c r="AU29" s="109">
        <v>14076480</v>
      </c>
      <c r="AV29" s="110">
        <v>944266.85</v>
      </c>
      <c r="AY29" s="19" t="s">
        <v>540</v>
      </c>
      <c r="AZ29" s="49">
        <v>711971191.53999996</v>
      </c>
      <c r="BA29" s="49">
        <v>138659966.03</v>
      </c>
      <c r="BB29" s="49">
        <v>30153393.469999999</v>
      </c>
      <c r="BC29" s="383">
        <f t="shared" si="37"/>
        <v>0.76323222759199472</v>
      </c>
      <c r="BD29" s="383">
        <f t="shared" si="38"/>
        <v>0.51145441346976928</v>
      </c>
      <c r="BE29" s="383">
        <f t="shared" si="39"/>
        <v>1.1122232406836761</v>
      </c>
      <c r="BF29" s="377" t="s">
        <v>447</v>
      </c>
      <c r="BG29" s="357">
        <v>62</v>
      </c>
      <c r="BH29" s="357">
        <v>32</v>
      </c>
      <c r="BI29" s="357">
        <v>33</v>
      </c>
      <c r="BJ29" s="357">
        <v>47</v>
      </c>
    </row>
    <row r="30" spans="1:64" ht="11.25" customHeight="1" x14ac:dyDescent="0.2">
      <c r="A30" s="6">
        <v>19</v>
      </c>
      <c r="B30" s="199">
        <v>60453</v>
      </c>
      <c r="C30" s="680" t="s">
        <v>554</v>
      </c>
      <c r="D30" s="173" t="s">
        <v>136</v>
      </c>
      <c r="E30" s="173" t="s">
        <v>14</v>
      </c>
      <c r="F30" s="174" t="s">
        <v>113</v>
      </c>
      <c r="G30" s="179" t="s">
        <v>2</v>
      </c>
      <c r="H30" s="179" t="s">
        <v>444</v>
      </c>
      <c r="I30" s="180" t="s">
        <v>0</v>
      </c>
      <c r="J30" s="181" t="s">
        <v>136</v>
      </c>
      <c r="K30" s="200" t="b">
        <v>0</v>
      </c>
      <c r="L30" s="650">
        <v>8878500</v>
      </c>
      <c r="M30" s="89">
        <v>0</v>
      </c>
      <c r="N30" s="89">
        <f t="shared" si="22"/>
        <v>2773643.4</v>
      </c>
      <c r="O30" s="89">
        <v>1598066.88</v>
      </c>
      <c r="P30" s="89">
        <f t="shared" si="9"/>
        <v>277364.34000000003</v>
      </c>
      <c r="Q30" s="651">
        <v>777551.04</v>
      </c>
      <c r="R30" s="650">
        <v>5720000</v>
      </c>
      <c r="S30" s="89">
        <v>3285547.12</v>
      </c>
      <c r="T30" s="89">
        <f t="shared" si="23"/>
        <v>1340768.0000000002</v>
      </c>
      <c r="U30" s="89">
        <v>1255143.8999999999</v>
      </c>
      <c r="V30" s="89">
        <f t="shared" si="10"/>
        <v>134076.80000000002</v>
      </c>
      <c r="W30" s="347">
        <v>154515.69</v>
      </c>
      <c r="X30" s="256">
        <v>0.31240000000000001</v>
      </c>
      <c r="Y30" s="256">
        <v>0.23440000000000003</v>
      </c>
      <c r="Z30" s="648">
        <v>0.28270000000000001</v>
      </c>
      <c r="AA30" s="89">
        <f t="shared" si="11"/>
        <v>14598500</v>
      </c>
      <c r="AB30" s="89">
        <f t="shared" si="12"/>
        <v>3285547.12</v>
      </c>
      <c r="AC30" s="257">
        <f t="shared" si="13"/>
        <v>0.28270000000000001</v>
      </c>
      <c r="AD30" s="90">
        <f t="shared" si="14"/>
        <v>4126995.95</v>
      </c>
      <c r="AE30" s="89">
        <f t="shared" si="15"/>
        <v>2853210.78</v>
      </c>
      <c r="AF30" s="89">
        <f t="shared" si="16"/>
        <v>932066.73</v>
      </c>
      <c r="AG30" s="270">
        <f t="shared" si="17"/>
        <v>11.253029831832038</v>
      </c>
      <c r="AH30" s="271">
        <f t="shared" si="18"/>
        <v>41.481176350560752</v>
      </c>
      <c r="AI30" s="240">
        <f t="shared" si="19"/>
        <v>52.734206182392789</v>
      </c>
      <c r="AJ30" s="316">
        <v>93.362842725110568</v>
      </c>
      <c r="AK30" s="672">
        <f t="shared" si="24"/>
        <v>-40.628636542717778</v>
      </c>
      <c r="AL30">
        <f t="shared" si="20"/>
        <v>19</v>
      </c>
      <c r="AM30" s="821"/>
      <c r="AN30" s="108">
        <v>14</v>
      </c>
      <c r="AO30" s="108" t="s">
        <v>128</v>
      </c>
      <c r="AP30" s="108" t="s">
        <v>277</v>
      </c>
      <c r="AQ30" s="109">
        <v>163011000</v>
      </c>
      <c r="AR30" s="109">
        <v>9948348.8900000006</v>
      </c>
      <c r="AS30" s="109">
        <v>65204040</v>
      </c>
      <c r="AT30" s="109">
        <v>7963338.4400000004</v>
      </c>
      <c r="AU30" s="109">
        <v>6520440</v>
      </c>
      <c r="AV30" s="110">
        <v>4372760.18</v>
      </c>
      <c r="AY30" s="19" t="s">
        <v>541</v>
      </c>
      <c r="AZ30" s="49">
        <v>697799609.38</v>
      </c>
      <c r="BA30" s="49">
        <v>142200449.03999999</v>
      </c>
      <c r="BB30" s="49">
        <v>27818093.48</v>
      </c>
      <c r="BC30" s="383">
        <f t="shared" si="37"/>
        <v>0.7480403092264718</v>
      </c>
      <c r="BD30" s="383">
        <f t="shared" si="38"/>
        <v>0.52451366707500569</v>
      </c>
      <c r="BE30" s="383">
        <f t="shared" si="39"/>
        <v>1.0260845138624142</v>
      </c>
      <c r="BF30" s="377" t="s">
        <v>574</v>
      </c>
      <c r="BG30" s="356">
        <v>48</v>
      </c>
      <c r="BH30" s="357">
        <v>45</v>
      </c>
      <c r="BI30" s="357">
        <v>34</v>
      </c>
      <c r="BJ30" s="357">
        <v>47</v>
      </c>
    </row>
    <row r="31" spans="1:64" ht="11.25" customHeight="1" x14ac:dyDescent="0.2">
      <c r="A31" s="6">
        <v>20</v>
      </c>
      <c r="B31" s="199">
        <v>60455</v>
      </c>
      <c r="C31" s="680" t="s">
        <v>137</v>
      </c>
      <c r="D31" s="173" t="s">
        <v>136</v>
      </c>
      <c r="E31" s="173" t="s">
        <v>14</v>
      </c>
      <c r="F31" s="174" t="s">
        <v>113</v>
      </c>
      <c r="G31" s="179" t="s">
        <v>4</v>
      </c>
      <c r="H31" s="179" t="s">
        <v>294</v>
      </c>
      <c r="I31" s="180" t="s">
        <v>8</v>
      </c>
      <c r="J31" s="181" t="s">
        <v>136</v>
      </c>
      <c r="K31" s="200" t="b">
        <v>0</v>
      </c>
      <c r="L31" s="650">
        <v>2842500</v>
      </c>
      <c r="M31" s="89">
        <v>1128097</v>
      </c>
      <c r="N31" s="89">
        <f t="shared" si="22"/>
        <v>109151.99999999999</v>
      </c>
      <c r="O31" s="89">
        <v>96647.76</v>
      </c>
      <c r="P31" s="89">
        <f t="shared" si="9"/>
        <v>10915.199999999999</v>
      </c>
      <c r="Q31" s="651">
        <v>92650.26</v>
      </c>
      <c r="R31" s="650">
        <v>3345000</v>
      </c>
      <c r="S31" s="89">
        <v>1457036.97</v>
      </c>
      <c r="T31" s="89">
        <f t="shared" si="23"/>
        <v>1604596.5</v>
      </c>
      <c r="U31" s="89">
        <v>757021.48</v>
      </c>
      <c r="V31" s="89">
        <f t="shared" si="10"/>
        <v>160459.65000000002</v>
      </c>
      <c r="W31" s="347">
        <v>315826.37</v>
      </c>
      <c r="X31" s="256">
        <v>3.8399999999999997E-2</v>
      </c>
      <c r="Y31" s="256">
        <v>0.47970000000000002</v>
      </c>
      <c r="Z31" s="648">
        <v>0.23549999999999999</v>
      </c>
      <c r="AA31" s="89">
        <f t="shared" si="11"/>
        <v>6187500</v>
      </c>
      <c r="AB31" s="89">
        <f t="shared" si="12"/>
        <v>2585133.9699999997</v>
      </c>
      <c r="AC31" s="257">
        <f t="shared" si="13"/>
        <v>0.23549999999999999</v>
      </c>
      <c r="AD31" s="90">
        <f t="shared" si="14"/>
        <v>1457156.25</v>
      </c>
      <c r="AE31" s="89">
        <f t="shared" si="15"/>
        <v>853669.24</v>
      </c>
      <c r="AF31" s="89">
        <f t="shared" si="16"/>
        <v>408476.63</v>
      </c>
      <c r="AG31" s="270">
        <f t="shared" si="17"/>
        <v>20.889971474747469</v>
      </c>
      <c r="AH31" s="271">
        <f t="shared" si="18"/>
        <v>35.15076327607283</v>
      </c>
      <c r="AI31" s="240">
        <f t="shared" si="19"/>
        <v>56.040734750820299</v>
      </c>
      <c r="AJ31" s="316">
        <v>50.657499270633288</v>
      </c>
      <c r="AK31" s="672">
        <f t="shared" si="24"/>
        <v>5.383235480187011</v>
      </c>
      <c r="AL31" t="str">
        <f t="shared" si="20"/>
        <v/>
      </c>
      <c r="AM31" s="821"/>
      <c r="AN31" s="108">
        <v>15</v>
      </c>
      <c r="AO31" s="108" t="s">
        <v>131</v>
      </c>
      <c r="AP31" s="108" t="s">
        <v>278</v>
      </c>
      <c r="AQ31" s="109">
        <v>177337680</v>
      </c>
      <c r="AR31" s="109">
        <v>2166605</v>
      </c>
      <c r="AS31" s="109">
        <v>29047908</v>
      </c>
      <c r="AT31" s="109">
        <v>2166605</v>
      </c>
      <c r="AU31" s="109">
        <v>2904840</v>
      </c>
      <c r="AV31" s="110">
        <v>-6992.13</v>
      </c>
      <c r="AY31" s="19" t="s">
        <v>542</v>
      </c>
      <c r="AZ31" s="49">
        <v>836186587.54999995</v>
      </c>
      <c r="BA31" s="49">
        <v>137591699.21000001</v>
      </c>
      <c r="BB31" s="49">
        <v>31786018.350000001</v>
      </c>
      <c r="BC31" s="383">
        <f t="shared" si="37"/>
        <v>0.89639097688474301</v>
      </c>
      <c r="BD31" s="383">
        <f t="shared" si="38"/>
        <v>0.50751405638260472</v>
      </c>
      <c r="BE31" s="383">
        <f t="shared" si="39"/>
        <v>1.1724434390059979</v>
      </c>
      <c r="BF31" s="373" t="s">
        <v>365</v>
      </c>
      <c r="BG31" s="351">
        <v>32</v>
      </c>
      <c r="BH31" s="352">
        <v>39</v>
      </c>
      <c r="BI31" s="352">
        <v>42</v>
      </c>
      <c r="BJ31" s="352">
        <v>59</v>
      </c>
    </row>
    <row r="32" spans="1:64" ht="11.25" customHeight="1" x14ac:dyDescent="0.2">
      <c r="A32" s="6">
        <v>21</v>
      </c>
      <c r="B32" s="199">
        <v>60456</v>
      </c>
      <c r="C32" s="680" t="s">
        <v>138</v>
      </c>
      <c r="D32" s="173" t="s">
        <v>136</v>
      </c>
      <c r="E32" s="173" t="s">
        <v>14</v>
      </c>
      <c r="F32" s="174" t="s">
        <v>113</v>
      </c>
      <c r="G32" s="179" t="s">
        <v>4</v>
      </c>
      <c r="H32" s="179" t="s">
        <v>294</v>
      </c>
      <c r="I32" s="182" t="s">
        <v>9</v>
      </c>
      <c r="J32" s="181" t="s">
        <v>136</v>
      </c>
      <c r="K32" s="200" t="b">
        <v>0</v>
      </c>
      <c r="L32" s="650">
        <v>3343500</v>
      </c>
      <c r="M32" s="89">
        <v>1293497.06</v>
      </c>
      <c r="N32" s="89">
        <f t="shared" si="22"/>
        <v>158147.55000000002</v>
      </c>
      <c r="O32" s="89">
        <v>114151.56</v>
      </c>
      <c r="P32" s="89">
        <f t="shared" si="9"/>
        <v>15814.755000000003</v>
      </c>
      <c r="Q32" s="651">
        <v>87343.2</v>
      </c>
      <c r="R32" s="650">
        <v>2187050</v>
      </c>
      <c r="S32" s="89">
        <v>0</v>
      </c>
      <c r="T32" s="89">
        <f t="shared" si="23"/>
        <v>1030975.37</v>
      </c>
      <c r="U32" s="89">
        <v>0</v>
      </c>
      <c r="V32" s="89">
        <f t="shared" si="10"/>
        <v>103097.53700000001</v>
      </c>
      <c r="W32" s="347">
        <v>0</v>
      </c>
      <c r="X32" s="256">
        <v>4.7300000000000002E-2</v>
      </c>
      <c r="Y32" s="256">
        <v>0.47139999999999999</v>
      </c>
      <c r="Z32" s="648">
        <v>0.22450000000000001</v>
      </c>
      <c r="AA32" s="89">
        <f t="shared" si="11"/>
        <v>5530550</v>
      </c>
      <c r="AB32" s="89">
        <f t="shared" si="12"/>
        <v>1293497.06</v>
      </c>
      <c r="AC32" s="257">
        <f t="shared" si="13"/>
        <v>0.22450000000000001</v>
      </c>
      <c r="AD32" s="90">
        <f t="shared" si="14"/>
        <v>1241608.4750000001</v>
      </c>
      <c r="AE32" s="89">
        <f t="shared" si="15"/>
        <v>114151.56</v>
      </c>
      <c r="AF32" s="89">
        <f t="shared" si="16"/>
        <v>87343.2</v>
      </c>
      <c r="AG32" s="270">
        <f t="shared" si="17"/>
        <v>11.694108723363861</v>
      </c>
      <c r="AH32" s="271">
        <f t="shared" si="18"/>
        <v>5.5163070629008066</v>
      </c>
      <c r="AI32" s="240">
        <f t="shared" si="19"/>
        <v>17.210415786264669</v>
      </c>
      <c r="AJ32" s="316">
        <v>6.8546300188285878</v>
      </c>
      <c r="AK32" s="672">
        <f t="shared" si="24"/>
        <v>10.355785767436082</v>
      </c>
      <c r="AL32" t="str">
        <f t="shared" si="20"/>
        <v/>
      </c>
      <c r="AM32" s="821"/>
      <c r="AN32" s="103">
        <v>19</v>
      </c>
      <c r="AO32" s="103" t="s">
        <v>133</v>
      </c>
      <c r="AP32" s="103" t="s">
        <v>279</v>
      </c>
      <c r="AQ32" s="104">
        <v>1261197600</v>
      </c>
      <c r="AR32" s="104">
        <v>73090.399999999994</v>
      </c>
      <c r="AS32" s="104">
        <v>0</v>
      </c>
      <c r="AT32" s="104">
        <v>0</v>
      </c>
      <c r="AU32" s="104">
        <v>0</v>
      </c>
      <c r="AV32" s="105">
        <v>0</v>
      </c>
      <c r="AY32" s="19" t="s">
        <v>596</v>
      </c>
      <c r="AZ32" s="49">
        <v>588065190.44000006</v>
      </c>
      <c r="BA32" s="49">
        <v>117213784.23</v>
      </c>
      <c r="BB32" s="49">
        <v>32802091.18</v>
      </c>
      <c r="BC32" s="383">
        <f t="shared" si="37"/>
        <v>0.63040514925612079</v>
      </c>
      <c r="BD32" s="383">
        <f t="shared" si="38"/>
        <v>0.43234906931216377</v>
      </c>
      <c r="BE32" s="383">
        <f t="shared" si="39"/>
        <v>1.2099218016611857</v>
      </c>
      <c r="BF32" s="374" t="s">
        <v>366</v>
      </c>
      <c r="BG32" s="353">
        <v>26</v>
      </c>
      <c r="BH32" s="354">
        <v>46</v>
      </c>
      <c r="BI32" s="354">
        <v>44</v>
      </c>
      <c r="BJ32" s="354">
        <v>56</v>
      </c>
    </row>
    <row r="33" spans="1:62" ht="11.25" customHeight="1" x14ac:dyDescent="0.2">
      <c r="A33" s="6">
        <v>22</v>
      </c>
      <c r="B33" s="199">
        <v>60459</v>
      </c>
      <c r="C33" s="680" t="s">
        <v>139</v>
      </c>
      <c r="D33" s="173" t="s">
        <v>136</v>
      </c>
      <c r="E33" s="173" t="s">
        <v>14</v>
      </c>
      <c r="F33" s="174" t="s">
        <v>113</v>
      </c>
      <c r="G33" s="179" t="s">
        <v>4</v>
      </c>
      <c r="H33" s="179" t="s">
        <v>294</v>
      </c>
      <c r="I33" s="182" t="s">
        <v>9</v>
      </c>
      <c r="J33" s="181" t="s">
        <v>136</v>
      </c>
      <c r="K33" s="200" t="b">
        <v>0</v>
      </c>
      <c r="L33" s="650">
        <v>2807833</v>
      </c>
      <c r="M33" s="89">
        <v>1478521.5</v>
      </c>
      <c r="N33" s="89">
        <f t="shared" si="22"/>
        <v>119332.90250000001</v>
      </c>
      <c r="O33" s="89">
        <v>139868.34</v>
      </c>
      <c r="P33" s="89">
        <f t="shared" si="9"/>
        <v>11933.290250000002</v>
      </c>
      <c r="Q33" s="651">
        <v>114204.42</v>
      </c>
      <c r="R33" s="650">
        <v>3624750</v>
      </c>
      <c r="S33" s="89">
        <v>669140.23</v>
      </c>
      <c r="T33" s="89">
        <f t="shared" si="23"/>
        <v>1865658.8250000002</v>
      </c>
      <c r="U33" s="89">
        <v>668989</v>
      </c>
      <c r="V33" s="89">
        <f t="shared" si="10"/>
        <v>186565.88250000004</v>
      </c>
      <c r="W33" s="347">
        <v>101323.94</v>
      </c>
      <c r="X33" s="256">
        <v>4.2500000000000003E-2</v>
      </c>
      <c r="Y33" s="256">
        <v>0.51470000000000005</v>
      </c>
      <c r="Z33" s="648">
        <v>0.2606</v>
      </c>
      <c r="AA33" s="89">
        <f t="shared" si="11"/>
        <v>6432583</v>
      </c>
      <c r="AB33" s="89">
        <f t="shared" si="12"/>
        <v>2147661.73</v>
      </c>
      <c r="AC33" s="257">
        <f t="shared" si="13"/>
        <v>0.2606</v>
      </c>
      <c r="AD33" s="90">
        <f t="shared" si="14"/>
        <v>1676331.1298</v>
      </c>
      <c r="AE33" s="89">
        <f t="shared" si="15"/>
        <v>808857.34</v>
      </c>
      <c r="AF33" s="89">
        <f t="shared" si="16"/>
        <v>215528.36</v>
      </c>
      <c r="AG33" s="270">
        <f t="shared" si="17"/>
        <v>16.693618488871419</v>
      </c>
      <c r="AH33" s="271">
        <f t="shared" si="18"/>
        <v>28.950986793277647</v>
      </c>
      <c r="AI33" s="240">
        <f t="shared" si="19"/>
        <v>45.644605282149065</v>
      </c>
      <c r="AJ33" s="316">
        <v>35.607702479788642</v>
      </c>
      <c r="AK33" s="672">
        <f t="shared" si="24"/>
        <v>10.036902802360423</v>
      </c>
      <c r="AL33" t="str">
        <f t="shared" si="20"/>
        <v/>
      </c>
      <c r="AM33" s="822"/>
      <c r="AN33" s="111">
        <v>20</v>
      </c>
      <c r="AO33" s="111" t="s">
        <v>134</v>
      </c>
      <c r="AP33" s="111" t="s">
        <v>280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3">
        <v>0</v>
      </c>
      <c r="AY33" s="19" t="s">
        <v>604</v>
      </c>
      <c r="AZ33" s="49">
        <v>599397867.48000002</v>
      </c>
      <c r="BA33" s="49">
        <v>129513699.25</v>
      </c>
      <c r="BB33" s="49">
        <v>32639395.109999999</v>
      </c>
      <c r="BC33" s="383">
        <f t="shared" si="37"/>
        <v>0.64255376488073757</v>
      </c>
      <c r="BD33" s="383">
        <f t="shared" si="38"/>
        <v>0.47771793822506281</v>
      </c>
      <c r="BE33" s="383">
        <f t="shared" si="39"/>
        <v>1.2039206744447106</v>
      </c>
      <c r="BF33" s="375" t="s">
        <v>367</v>
      </c>
      <c r="BG33" s="353">
        <v>32</v>
      </c>
      <c r="BH33" s="354">
        <v>35</v>
      </c>
      <c r="BI33" s="354">
        <v>50</v>
      </c>
      <c r="BJ33" s="354">
        <v>56</v>
      </c>
    </row>
    <row r="34" spans="1:62" ht="11.25" customHeight="1" x14ac:dyDescent="0.2">
      <c r="A34" s="6">
        <v>23</v>
      </c>
      <c r="B34" s="199">
        <v>60479</v>
      </c>
      <c r="C34" s="680" t="s">
        <v>140</v>
      </c>
      <c r="D34" s="173" t="s">
        <v>136</v>
      </c>
      <c r="E34" s="173" t="s">
        <v>14</v>
      </c>
      <c r="F34" s="174" t="s">
        <v>113</v>
      </c>
      <c r="G34" s="179" t="s">
        <v>4</v>
      </c>
      <c r="H34" s="179" t="s">
        <v>294</v>
      </c>
      <c r="I34" s="180" t="s">
        <v>8</v>
      </c>
      <c r="J34" s="181" t="s">
        <v>136</v>
      </c>
      <c r="K34" s="200" t="b">
        <v>0</v>
      </c>
      <c r="L34" s="650">
        <v>2403000</v>
      </c>
      <c r="M34" s="89">
        <v>0</v>
      </c>
      <c r="N34" s="89">
        <f t="shared" si="22"/>
        <v>207859.49999999997</v>
      </c>
      <c r="O34" s="89">
        <v>213967.62</v>
      </c>
      <c r="P34" s="89">
        <f t="shared" si="9"/>
        <v>20785.949999999997</v>
      </c>
      <c r="Q34" s="651">
        <v>163726.98000000001</v>
      </c>
      <c r="R34" s="650">
        <v>3053500</v>
      </c>
      <c r="S34" s="89">
        <v>3313743.44</v>
      </c>
      <c r="T34" s="89">
        <f t="shared" si="23"/>
        <v>1497741.75</v>
      </c>
      <c r="U34" s="89">
        <v>2262919.09</v>
      </c>
      <c r="V34" s="89">
        <f t="shared" si="10"/>
        <v>149774.17500000002</v>
      </c>
      <c r="W34" s="347">
        <v>468891.56</v>
      </c>
      <c r="X34" s="256">
        <v>8.6499999999999994E-2</v>
      </c>
      <c r="Y34" s="256">
        <v>0.49049999999999999</v>
      </c>
      <c r="Z34" s="648">
        <v>0.32140000000000002</v>
      </c>
      <c r="AA34" s="89">
        <f t="shared" si="11"/>
        <v>5456500</v>
      </c>
      <c r="AB34" s="89">
        <f t="shared" si="12"/>
        <v>3313743.44</v>
      </c>
      <c r="AC34" s="257">
        <f t="shared" si="13"/>
        <v>0.32140000000000002</v>
      </c>
      <c r="AD34" s="90">
        <f t="shared" si="14"/>
        <v>1753719.1</v>
      </c>
      <c r="AE34" s="89">
        <f t="shared" si="15"/>
        <v>2476886.71</v>
      </c>
      <c r="AF34" s="89">
        <f t="shared" si="16"/>
        <v>632618.54</v>
      </c>
      <c r="AG34" s="270">
        <f t="shared" si="17"/>
        <v>30.365100705580499</v>
      </c>
      <c r="AH34" s="271">
        <f t="shared" si="18"/>
        <v>60</v>
      </c>
      <c r="AI34" s="240">
        <f t="shared" si="19"/>
        <v>90.365100705580502</v>
      </c>
      <c r="AJ34" s="316">
        <v>74.062008173301365</v>
      </c>
      <c r="AK34" s="672">
        <f t="shared" si="24"/>
        <v>16.303092532279138</v>
      </c>
      <c r="AL34">
        <f t="shared" si="20"/>
        <v>23</v>
      </c>
      <c r="AM34" s="820">
        <v>2011</v>
      </c>
      <c r="AN34" s="99">
        <v>1</v>
      </c>
      <c r="AO34" s="99" t="s">
        <v>123</v>
      </c>
      <c r="AP34" s="99" t="s">
        <v>269</v>
      </c>
      <c r="AQ34" s="101">
        <v>384177600</v>
      </c>
      <c r="AR34" s="101">
        <v>86014140</v>
      </c>
      <c r="AS34" s="101">
        <v>192088800</v>
      </c>
      <c r="AT34" s="101">
        <v>86014140</v>
      </c>
      <c r="AU34" s="101">
        <v>19208400</v>
      </c>
      <c r="AV34" s="102">
        <v>35709012</v>
      </c>
      <c r="BF34" s="375" t="s">
        <v>368</v>
      </c>
      <c r="BG34" s="354">
        <v>33</v>
      </c>
      <c r="BH34" s="354">
        <v>39</v>
      </c>
      <c r="BI34" s="354">
        <v>47</v>
      </c>
      <c r="BJ34" s="354">
        <v>54</v>
      </c>
    </row>
    <row r="35" spans="1:62" ht="11.25" customHeight="1" x14ac:dyDescent="0.2">
      <c r="A35" s="6">
        <v>24</v>
      </c>
      <c r="B35" s="199">
        <v>60362</v>
      </c>
      <c r="C35" s="680" t="s">
        <v>555</v>
      </c>
      <c r="D35" s="173" t="s">
        <v>136</v>
      </c>
      <c r="E35" s="173" t="s">
        <v>136</v>
      </c>
      <c r="F35" s="174" t="s">
        <v>113</v>
      </c>
      <c r="G35" s="179" t="s">
        <v>4</v>
      </c>
      <c r="H35" s="179" t="s">
        <v>293</v>
      </c>
      <c r="I35" s="182" t="s">
        <v>10</v>
      </c>
      <c r="J35" s="181" t="s">
        <v>136</v>
      </c>
      <c r="K35" s="200" t="b">
        <v>0</v>
      </c>
      <c r="L35" s="650">
        <v>1710500</v>
      </c>
      <c r="M35" s="89">
        <v>1070450.3400000001</v>
      </c>
      <c r="N35" s="89">
        <f t="shared" si="22"/>
        <v>235771.56294673006</v>
      </c>
      <c r="O35" s="89">
        <v>223126.38</v>
      </c>
      <c r="P35" s="89">
        <f t="shared" si="9"/>
        <v>23577.156294673008</v>
      </c>
      <c r="Q35" s="651">
        <v>48402.54</v>
      </c>
      <c r="R35" s="650">
        <v>309250</v>
      </c>
      <c r="S35" s="89">
        <v>380731.4</v>
      </c>
      <c r="T35" s="89">
        <f t="shared" si="23"/>
        <v>52890.079211315388</v>
      </c>
      <c r="U35" s="89">
        <v>5408.7</v>
      </c>
      <c r="V35" s="89">
        <f t="shared" si="10"/>
        <v>5289.0079211315388</v>
      </c>
      <c r="W35" s="347">
        <v>7360.94</v>
      </c>
      <c r="X35" s="256">
        <v>0.13783780353506581</v>
      </c>
      <c r="Y35" s="256">
        <v>0.17102693358549842</v>
      </c>
      <c r="Z35" s="648">
        <v>0.14353952548280566</v>
      </c>
      <c r="AA35" s="89">
        <f t="shared" si="11"/>
        <v>2019750</v>
      </c>
      <c r="AB35" s="89">
        <f t="shared" si="12"/>
        <v>1451181.7400000002</v>
      </c>
      <c r="AC35" s="257">
        <f t="shared" si="13"/>
        <v>0.14353952548280566</v>
      </c>
      <c r="AD35" s="90">
        <f t="shared" si="14"/>
        <v>289913.95659389673</v>
      </c>
      <c r="AE35" s="89">
        <f t="shared" si="15"/>
        <v>228535.08000000002</v>
      </c>
      <c r="AF35" s="89">
        <f t="shared" si="16"/>
        <v>55763.48</v>
      </c>
      <c r="AG35" s="270">
        <f t="shared" si="17"/>
        <v>35.924786235920294</v>
      </c>
      <c r="AH35" s="271">
        <f t="shared" si="18"/>
        <v>47.297153131566994</v>
      </c>
      <c r="AI35" s="240">
        <f t="shared" si="19"/>
        <v>83.221939367487295</v>
      </c>
      <c r="AJ35" s="316">
        <v>25.042575285565942</v>
      </c>
      <c r="AK35" s="672">
        <f t="shared" si="24"/>
        <v>58.179364081921349</v>
      </c>
      <c r="AL35" t="str">
        <f t="shared" si="20"/>
        <v/>
      </c>
      <c r="AM35" s="821"/>
      <c r="AN35" s="103">
        <v>2</v>
      </c>
      <c r="AO35" s="103" t="s">
        <v>124</v>
      </c>
      <c r="AP35" s="103" t="s">
        <v>270</v>
      </c>
      <c r="AQ35" s="104">
        <v>73844400</v>
      </c>
      <c r="AR35" s="104">
        <v>25991340</v>
      </c>
      <c r="AS35" s="104">
        <v>59074800</v>
      </c>
      <c r="AT35" s="104">
        <v>25991340</v>
      </c>
      <c r="AU35" s="104">
        <v>5907600</v>
      </c>
      <c r="AV35" s="105">
        <v>14877828</v>
      </c>
      <c r="BF35" s="375" t="s">
        <v>369</v>
      </c>
      <c r="BG35" s="354">
        <v>37</v>
      </c>
      <c r="BH35" s="354">
        <v>39</v>
      </c>
      <c r="BI35" s="354">
        <v>45</v>
      </c>
      <c r="BJ35" s="354">
        <v>52</v>
      </c>
    </row>
    <row r="36" spans="1:62" ht="11.25" customHeight="1" x14ac:dyDescent="0.2">
      <c r="A36" s="6">
        <v>25</v>
      </c>
      <c r="B36" s="199">
        <v>60921</v>
      </c>
      <c r="C36" s="680" t="s">
        <v>584</v>
      </c>
      <c r="D36" s="173" t="s">
        <v>136</v>
      </c>
      <c r="E36" s="173" t="s">
        <v>136</v>
      </c>
      <c r="F36" s="174" t="s">
        <v>14</v>
      </c>
      <c r="G36" s="179" t="s">
        <v>1</v>
      </c>
      <c r="H36" s="179" t="s">
        <v>577</v>
      </c>
      <c r="I36" s="180" t="s">
        <v>0</v>
      </c>
      <c r="J36" s="181" t="s">
        <v>136</v>
      </c>
      <c r="K36" s="200" t="b">
        <v>0</v>
      </c>
      <c r="L36" s="650">
        <v>981000</v>
      </c>
      <c r="M36" s="89">
        <v>0</v>
      </c>
      <c r="N36" s="89">
        <f t="shared" si="22"/>
        <v>61606.799999999996</v>
      </c>
      <c r="O36" s="89">
        <v>61355.16</v>
      </c>
      <c r="P36" s="89">
        <f t="shared" si="9"/>
        <v>6160.68</v>
      </c>
      <c r="Q36" s="651">
        <v>45258</v>
      </c>
      <c r="R36" s="650">
        <v>84500</v>
      </c>
      <c r="S36" s="89">
        <v>0</v>
      </c>
      <c r="T36" s="89">
        <f t="shared" si="23"/>
        <v>21268.649999999998</v>
      </c>
      <c r="U36" s="89">
        <v>0</v>
      </c>
      <c r="V36" s="89">
        <f t="shared" si="10"/>
        <v>2126.8649999999998</v>
      </c>
      <c r="W36" s="347">
        <v>0</v>
      </c>
      <c r="X36" s="256">
        <v>6.2799999999999995E-2</v>
      </c>
      <c r="Y36" s="256">
        <v>0.25169999999999998</v>
      </c>
      <c r="Z36" s="648">
        <v>7.5300000000000006E-2</v>
      </c>
      <c r="AA36" s="89">
        <f t="shared" si="11"/>
        <v>1065500</v>
      </c>
      <c r="AB36" s="89">
        <f t="shared" si="12"/>
        <v>0</v>
      </c>
      <c r="AC36" s="257">
        <f t="shared" si="13"/>
        <v>7.5300000000000006E-2</v>
      </c>
      <c r="AD36" s="90">
        <f t="shared" si="14"/>
        <v>80232.150000000009</v>
      </c>
      <c r="AE36" s="89">
        <f t="shared" si="15"/>
        <v>61355.16</v>
      </c>
      <c r="AF36" s="89">
        <f t="shared" si="16"/>
        <v>45258</v>
      </c>
      <c r="AG36" s="270">
        <f t="shared" si="17"/>
        <v>0</v>
      </c>
      <c r="AH36" s="271">
        <f t="shared" si="18"/>
        <v>45.883222623349866</v>
      </c>
      <c r="AI36" s="240">
        <f t="shared" si="19"/>
        <v>45.883222623349866</v>
      </c>
      <c r="AJ36" s="316">
        <v>87.147688474692728</v>
      </c>
      <c r="AK36" s="672">
        <f t="shared" si="24"/>
        <v>-41.264465851342862</v>
      </c>
      <c r="AL36" t="e">
        <f>IF(#REF!=AL$11,#REF!,"")</f>
        <v>#REF!</v>
      </c>
      <c r="AM36" s="821"/>
      <c r="AN36" s="103">
        <v>3</v>
      </c>
      <c r="AO36" s="103" t="s">
        <v>125</v>
      </c>
      <c r="AP36" s="103" t="s">
        <v>271</v>
      </c>
      <c r="AQ36" s="104">
        <v>67322400</v>
      </c>
      <c r="AR36" s="104">
        <v>223358.74</v>
      </c>
      <c r="AS36" s="104">
        <v>40394400</v>
      </c>
      <c r="AT36" s="104">
        <v>207360</v>
      </c>
      <c r="AU36" s="104">
        <v>4039200</v>
      </c>
      <c r="AV36" s="105">
        <v>1156080</v>
      </c>
      <c r="BF36" s="375" t="s">
        <v>370</v>
      </c>
      <c r="BG36" s="354">
        <v>38</v>
      </c>
      <c r="BH36" s="354">
        <v>40</v>
      </c>
      <c r="BI36" s="354">
        <v>40</v>
      </c>
      <c r="BJ36" s="354">
        <v>55</v>
      </c>
    </row>
    <row r="37" spans="1:62" ht="11.25" customHeight="1" x14ac:dyDescent="0.2">
      <c r="A37" s="6">
        <v>26</v>
      </c>
      <c r="B37" s="199">
        <v>61061</v>
      </c>
      <c r="C37" s="680" t="s">
        <v>556</v>
      </c>
      <c r="D37" s="173" t="s">
        <v>136</v>
      </c>
      <c r="E37" s="173" t="s">
        <v>136</v>
      </c>
      <c r="F37" s="174" t="s">
        <v>113</v>
      </c>
      <c r="G37" s="179" t="s">
        <v>2</v>
      </c>
      <c r="H37" s="179" t="s">
        <v>575</v>
      </c>
      <c r="I37" s="182" t="s">
        <v>0</v>
      </c>
      <c r="J37" s="181" t="s">
        <v>136</v>
      </c>
      <c r="K37" s="200" t="b">
        <v>0</v>
      </c>
      <c r="L37" s="650">
        <v>3535500</v>
      </c>
      <c r="M37" s="89">
        <v>1913595.96</v>
      </c>
      <c r="N37" s="89">
        <f t="shared" si="22"/>
        <v>1343490</v>
      </c>
      <c r="O37" s="89">
        <v>1528747.56</v>
      </c>
      <c r="P37" s="89">
        <f t="shared" si="9"/>
        <v>134349</v>
      </c>
      <c r="Q37" s="651">
        <v>723841.98</v>
      </c>
      <c r="R37" s="650">
        <v>4416500</v>
      </c>
      <c r="S37" s="89">
        <v>3539592.62</v>
      </c>
      <c r="T37" s="89">
        <f t="shared" si="23"/>
        <v>3179880</v>
      </c>
      <c r="U37" s="89">
        <v>2241741.65</v>
      </c>
      <c r="V37" s="89">
        <f t="shared" si="10"/>
        <v>317988</v>
      </c>
      <c r="W37" s="347">
        <v>431198.66</v>
      </c>
      <c r="X37" s="256">
        <v>0.38</v>
      </c>
      <c r="Y37" s="256">
        <v>0.72</v>
      </c>
      <c r="Z37" s="648">
        <v>0.56000000000000005</v>
      </c>
      <c r="AA37" s="89">
        <f t="shared" si="11"/>
        <v>7952000</v>
      </c>
      <c r="AB37" s="89">
        <f t="shared" si="12"/>
        <v>5453188.5800000001</v>
      </c>
      <c r="AC37" s="257">
        <f t="shared" si="13"/>
        <v>0.56000000000000005</v>
      </c>
      <c r="AD37" s="90">
        <f t="shared" si="14"/>
        <v>4453120</v>
      </c>
      <c r="AE37" s="89">
        <f t="shared" si="15"/>
        <v>3770489.21</v>
      </c>
      <c r="AF37" s="89">
        <f t="shared" si="16"/>
        <v>1155040.6399999999</v>
      </c>
      <c r="AG37" s="270">
        <f t="shared" si="17"/>
        <v>34.288157570422534</v>
      </c>
      <c r="AH37" s="271">
        <f t="shared" si="18"/>
        <v>50.802437976070713</v>
      </c>
      <c r="AI37" s="240">
        <f t="shared" si="19"/>
        <v>85.090595546493248</v>
      </c>
      <c r="AJ37" s="316">
        <v>96.655921375921366</v>
      </c>
      <c r="AK37" s="672">
        <f t="shared" si="24"/>
        <v>-11.565325829428119</v>
      </c>
      <c r="AL37">
        <f t="shared" ref="AL37:AL44" si="40">IF($M36=AL$11,$A36,"")</f>
        <v>25</v>
      </c>
      <c r="AM37" s="821"/>
      <c r="AN37" s="103">
        <v>4</v>
      </c>
      <c r="AO37" s="103" t="s">
        <v>132</v>
      </c>
      <c r="AP37" s="103" t="s">
        <v>272</v>
      </c>
      <c r="AQ37" s="104">
        <v>582636000</v>
      </c>
      <c r="AR37" s="104">
        <v>42463358.700000003</v>
      </c>
      <c r="AS37" s="104">
        <v>116527200</v>
      </c>
      <c r="AT37" s="104">
        <v>2536097.33</v>
      </c>
      <c r="AU37" s="104">
        <v>11653200</v>
      </c>
      <c r="AV37" s="105">
        <v>1253580.98</v>
      </c>
      <c r="BF37" s="375" t="s">
        <v>371</v>
      </c>
      <c r="BG37" s="354"/>
      <c r="BH37" s="354"/>
      <c r="BI37" s="354"/>
      <c r="BJ37" s="354"/>
    </row>
    <row r="38" spans="1:62" ht="11.25" customHeight="1" x14ac:dyDescent="0.2">
      <c r="A38" s="6">
        <v>27</v>
      </c>
      <c r="B38" s="199">
        <v>60373</v>
      </c>
      <c r="C38" s="680" t="s">
        <v>557</v>
      </c>
      <c r="D38" s="173" t="s">
        <v>136</v>
      </c>
      <c r="E38" s="173" t="s">
        <v>136</v>
      </c>
      <c r="F38" s="174" t="s">
        <v>113</v>
      </c>
      <c r="G38" s="179" t="s">
        <v>2</v>
      </c>
      <c r="H38" s="179" t="s">
        <v>575</v>
      </c>
      <c r="I38" s="180" t="s">
        <v>0</v>
      </c>
      <c r="J38" s="181" t="s">
        <v>136</v>
      </c>
      <c r="K38" s="200" t="b">
        <v>0</v>
      </c>
      <c r="L38" s="650">
        <v>3063500</v>
      </c>
      <c r="M38" s="89">
        <v>0</v>
      </c>
      <c r="N38" s="89">
        <f t="shared" si="22"/>
        <v>1194765</v>
      </c>
      <c r="O38" s="89">
        <v>1177132.3799999999</v>
      </c>
      <c r="P38" s="89">
        <f t="shared" si="9"/>
        <v>119476.5</v>
      </c>
      <c r="Q38" s="651">
        <v>732326.46</v>
      </c>
      <c r="R38" s="650">
        <v>2299000</v>
      </c>
      <c r="S38" s="89">
        <v>1635940.85</v>
      </c>
      <c r="T38" s="89">
        <f t="shared" si="23"/>
        <v>1448370</v>
      </c>
      <c r="U38" s="89">
        <v>815521.18</v>
      </c>
      <c r="V38" s="89">
        <f t="shared" si="10"/>
        <v>144837</v>
      </c>
      <c r="W38" s="347">
        <v>205795.16</v>
      </c>
      <c r="X38" s="699">
        <v>0.39</v>
      </c>
      <c r="Y38" s="699">
        <v>0.63</v>
      </c>
      <c r="Z38" s="700">
        <v>0.49</v>
      </c>
      <c r="AA38" s="89">
        <f t="shared" si="11"/>
        <v>5362500</v>
      </c>
      <c r="AB38" s="89">
        <f t="shared" si="12"/>
        <v>1635940.85</v>
      </c>
      <c r="AC38" s="257">
        <f t="shared" si="13"/>
        <v>0.49</v>
      </c>
      <c r="AD38" s="90">
        <f t="shared" si="14"/>
        <v>2627625</v>
      </c>
      <c r="AE38" s="89">
        <f t="shared" si="15"/>
        <v>1992653.56</v>
      </c>
      <c r="AF38" s="89">
        <f t="shared" si="16"/>
        <v>938121.62</v>
      </c>
      <c r="AG38" s="270">
        <f t="shared" si="17"/>
        <v>15.253527738927739</v>
      </c>
      <c r="AH38" s="271">
        <f t="shared" si="18"/>
        <v>45.500866219494789</v>
      </c>
      <c r="AI38" s="240">
        <f t="shared" si="19"/>
        <v>60.754393958422526</v>
      </c>
      <c r="AJ38" s="316">
        <v>90.564733473616926</v>
      </c>
      <c r="AK38" s="672">
        <f t="shared" si="24"/>
        <v>-29.8103395151944</v>
      </c>
      <c r="AL38" t="str">
        <f t="shared" si="40"/>
        <v/>
      </c>
      <c r="AM38" s="821"/>
      <c r="AN38" s="40">
        <v>5</v>
      </c>
      <c r="AO38" s="40" t="s">
        <v>126</v>
      </c>
      <c r="AP38" s="40" t="s">
        <v>273</v>
      </c>
      <c r="AQ38" s="122">
        <v>17791200</v>
      </c>
      <c r="AR38" s="122">
        <v>0</v>
      </c>
      <c r="AS38" s="122">
        <v>8895600</v>
      </c>
      <c r="AT38" s="122">
        <v>0</v>
      </c>
      <c r="AU38" s="122">
        <v>889200</v>
      </c>
      <c r="AV38" s="167">
        <v>0</v>
      </c>
      <c r="BF38" s="375" t="s">
        <v>372</v>
      </c>
      <c r="BG38" s="354"/>
      <c r="BH38" s="354"/>
      <c r="BI38" s="354"/>
      <c r="BJ38" s="354"/>
    </row>
    <row r="39" spans="1:62" ht="11.25" customHeight="1" x14ac:dyDescent="0.2">
      <c r="A39" s="6">
        <v>28</v>
      </c>
      <c r="B39" s="199">
        <v>60368</v>
      </c>
      <c r="C39" s="680" t="s">
        <v>558</v>
      </c>
      <c r="D39" s="173" t="s">
        <v>136</v>
      </c>
      <c r="E39" s="173" t="s">
        <v>136</v>
      </c>
      <c r="F39" s="174" t="s">
        <v>113</v>
      </c>
      <c r="G39" s="179" t="s">
        <v>2</v>
      </c>
      <c r="H39" s="179" t="s">
        <v>575</v>
      </c>
      <c r="I39" s="182" t="s">
        <v>0</v>
      </c>
      <c r="J39" s="181" t="s">
        <v>136</v>
      </c>
      <c r="K39" s="200" t="b">
        <v>0</v>
      </c>
      <c r="L39" s="650">
        <v>1693500</v>
      </c>
      <c r="M39" s="89">
        <v>1262864.3400000001</v>
      </c>
      <c r="N39" s="89">
        <f t="shared" si="22"/>
        <v>575790</v>
      </c>
      <c r="O39" s="89">
        <v>383117.76</v>
      </c>
      <c r="P39" s="89">
        <f t="shared" si="9"/>
        <v>57579</v>
      </c>
      <c r="Q39" s="651">
        <v>199656.9</v>
      </c>
      <c r="R39" s="650">
        <v>2231500</v>
      </c>
      <c r="S39" s="89">
        <v>1910452.65</v>
      </c>
      <c r="T39" s="89">
        <f t="shared" si="23"/>
        <v>1539734.9999999998</v>
      </c>
      <c r="U39" s="89">
        <v>1090874.97</v>
      </c>
      <c r="V39" s="89">
        <f t="shared" si="10"/>
        <v>153973.49999999997</v>
      </c>
      <c r="W39" s="347">
        <v>276332.42</v>
      </c>
      <c r="X39" s="256">
        <v>0.34</v>
      </c>
      <c r="Y39" s="256">
        <v>0.69</v>
      </c>
      <c r="Z39" s="648">
        <v>0.55000000000000004</v>
      </c>
      <c r="AA39" s="89">
        <f t="shared" si="11"/>
        <v>3925000</v>
      </c>
      <c r="AB39" s="89">
        <f t="shared" si="12"/>
        <v>3173316.99</v>
      </c>
      <c r="AC39" s="257">
        <f t="shared" si="13"/>
        <v>0.55000000000000004</v>
      </c>
      <c r="AD39" s="90">
        <f t="shared" si="14"/>
        <v>2158750</v>
      </c>
      <c r="AE39" s="89">
        <f t="shared" si="15"/>
        <v>1473992.73</v>
      </c>
      <c r="AF39" s="89">
        <f t="shared" si="16"/>
        <v>475989.31999999995</v>
      </c>
      <c r="AG39" s="270">
        <f t="shared" si="17"/>
        <v>40</v>
      </c>
      <c r="AH39" s="271">
        <f t="shared" si="18"/>
        <v>40.967950804863925</v>
      </c>
      <c r="AI39" s="240">
        <f t="shared" si="19"/>
        <v>80.967950804863932</v>
      </c>
      <c r="AJ39" s="316">
        <v>99.117938474522191</v>
      </c>
      <c r="AK39" s="672">
        <f t="shared" si="24"/>
        <v>-18.149987669658259</v>
      </c>
      <c r="AL39">
        <f t="shared" si="40"/>
        <v>27</v>
      </c>
      <c r="AM39" s="821"/>
      <c r="AN39" s="108">
        <v>11</v>
      </c>
      <c r="AO39" s="108" t="s">
        <v>129</v>
      </c>
      <c r="AP39" s="108" t="s">
        <v>274</v>
      </c>
      <c r="AQ39" s="109">
        <v>212644800</v>
      </c>
      <c r="AR39" s="109">
        <v>19149.080000000002</v>
      </c>
      <c r="AS39" s="109">
        <v>123962400</v>
      </c>
      <c r="AT39" s="109">
        <v>0</v>
      </c>
      <c r="AU39" s="109">
        <v>12396000</v>
      </c>
      <c r="AV39" s="110">
        <v>0</v>
      </c>
      <c r="BF39" s="375" t="s">
        <v>373</v>
      </c>
      <c r="BG39" s="354"/>
      <c r="BH39" s="354"/>
      <c r="BI39" s="354"/>
      <c r="BJ39" s="354"/>
    </row>
    <row r="40" spans="1:62" ht="11.25" customHeight="1" x14ac:dyDescent="0.2">
      <c r="A40" s="6">
        <v>29</v>
      </c>
      <c r="B40" s="199">
        <v>60369</v>
      </c>
      <c r="C40" s="680" t="s">
        <v>559</v>
      </c>
      <c r="D40" s="173" t="s">
        <v>136</v>
      </c>
      <c r="E40" s="173" t="s">
        <v>136</v>
      </c>
      <c r="F40" s="174" t="s">
        <v>113</v>
      </c>
      <c r="G40" s="179" t="s">
        <v>2</v>
      </c>
      <c r="H40" s="179" t="s">
        <v>575</v>
      </c>
      <c r="I40" s="180" t="s">
        <v>0</v>
      </c>
      <c r="J40" s="181" t="s">
        <v>136</v>
      </c>
      <c r="K40" s="200" t="b">
        <v>0</v>
      </c>
      <c r="L40" s="650">
        <v>3830500</v>
      </c>
      <c r="M40" s="89">
        <v>3331069.89</v>
      </c>
      <c r="N40" s="89">
        <f t="shared" si="22"/>
        <v>689490</v>
      </c>
      <c r="O40" s="89">
        <v>227226.66</v>
      </c>
      <c r="P40" s="89">
        <f t="shared" si="9"/>
        <v>68949</v>
      </c>
      <c r="Q40" s="651">
        <v>219028.32</v>
      </c>
      <c r="R40" s="650">
        <v>5014000</v>
      </c>
      <c r="S40" s="89">
        <v>4253638.93</v>
      </c>
      <c r="T40" s="89">
        <f t="shared" si="23"/>
        <v>2857979.9999999995</v>
      </c>
      <c r="U40" s="89">
        <v>2933270.99</v>
      </c>
      <c r="V40" s="89">
        <f t="shared" si="10"/>
        <v>285797.99999999994</v>
      </c>
      <c r="W40" s="347">
        <v>548984.99</v>
      </c>
      <c r="X40" s="256">
        <v>0.18</v>
      </c>
      <c r="Y40" s="256">
        <v>0.56999999999999995</v>
      </c>
      <c r="Z40" s="648">
        <v>0.39</v>
      </c>
      <c r="AA40" s="89">
        <f t="shared" si="11"/>
        <v>8844500</v>
      </c>
      <c r="AB40" s="89">
        <f t="shared" si="12"/>
        <v>7584708.8200000003</v>
      </c>
      <c r="AC40" s="257">
        <f t="shared" si="13"/>
        <v>0.39</v>
      </c>
      <c r="AD40" s="90">
        <f t="shared" si="14"/>
        <v>3449355</v>
      </c>
      <c r="AE40" s="89">
        <f t="shared" si="15"/>
        <v>3160497.6500000004</v>
      </c>
      <c r="AF40" s="89">
        <f t="shared" si="16"/>
        <v>768013.31</v>
      </c>
      <c r="AG40" s="270">
        <f t="shared" si="17"/>
        <v>40</v>
      </c>
      <c r="AH40" s="271">
        <f t="shared" si="18"/>
        <v>54.975454541501243</v>
      </c>
      <c r="AI40" s="240">
        <f t="shared" si="19"/>
        <v>94.97545454150125</v>
      </c>
      <c r="AJ40" s="316">
        <v>93.912366604404156</v>
      </c>
      <c r="AK40" s="672">
        <f t="shared" si="24"/>
        <v>1.0630879370970945</v>
      </c>
      <c r="AL40" t="str">
        <f t="shared" si="40"/>
        <v/>
      </c>
      <c r="AM40" s="821"/>
      <c r="AN40" s="108">
        <v>12</v>
      </c>
      <c r="AO40" s="108" t="s">
        <v>130</v>
      </c>
      <c r="AP40" s="108" t="s">
        <v>275</v>
      </c>
      <c r="AQ40" s="109">
        <v>162747600</v>
      </c>
      <c r="AR40" s="109">
        <v>3473100.5</v>
      </c>
      <c r="AS40" s="109">
        <v>48656400</v>
      </c>
      <c r="AT40" s="109">
        <v>982542.37</v>
      </c>
      <c r="AU40" s="109">
        <v>4866000</v>
      </c>
      <c r="AV40" s="110">
        <v>238631.19</v>
      </c>
      <c r="BF40" s="375" t="s">
        <v>374</v>
      </c>
      <c r="BG40" s="354"/>
      <c r="BH40" s="354"/>
      <c r="BI40" s="354"/>
      <c r="BJ40" s="354"/>
    </row>
    <row r="41" spans="1:62" ht="11.25" customHeight="1" x14ac:dyDescent="0.2">
      <c r="A41" s="6">
        <v>30</v>
      </c>
      <c r="B41" s="199">
        <v>60374</v>
      </c>
      <c r="C41" s="680" t="s">
        <v>560</v>
      </c>
      <c r="D41" s="173" t="s">
        <v>136</v>
      </c>
      <c r="E41" s="173" t="s">
        <v>136</v>
      </c>
      <c r="F41" s="174" t="s">
        <v>113</v>
      </c>
      <c r="G41" s="179" t="s">
        <v>2</v>
      </c>
      <c r="H41" s="179" t="s">
        <v>582</v>
      </c>
      <c r="I41" s="180" t="s">
        <v>0</v>
      </c>
      <c r="J41" s="181" t="s">
        <v>136</v>
      </c>
      <c r="K41" s="200" t="b">
        <v>0</v>
      </c>
      <c r="L41" s="650">
        <v>1490500</v>
      </c>
      <c r="M41" s="89">
        <v>581516.22</v>
      </c>
      <c r="N41" s="89">
        <f t="shared" si="22"/>
        <v>208670.00000000003</v>
      </c>
      <c r="O41" s="89">
        <v>138212.76</v>
      </c>
      <c r="P41" s="89">
        <f t="shared" si="9"/>
        <v>20867.000000000004</v>
      </c>
      <c r="Q41" s="651">
        <v>125809.5</v>
      </c>
      <c r="R41" s="650">
        <v>554500</v>
      </c>
      <c r="S41" s="89">
        <v>699490.69</v>
      </c>
      <c r="T41" s="89">
        <f t="shared" si="23"/>
        <v>88720</v>
      </c>
      <c r="U41" s="89">
        <v>61974.15</v>
      </c>
      <c r="V41" s="89">
        <f t="shared" si="10"/>
        <v>8872</v>
      </c>
      <c r="W41" s="347">
        <v>12290.31</v>
      </c>
      <c r="X41" s="256">
        <v>0.14000000000000001</v>
      </c>
      <c r="Y41" s="256">
        <v>0.16</v>
      </c>
      <c r="Z41" s="648">
        <v>0.14000000000000001</v>
      </c>
      <c r="AA41" s="89">
        <f t="shared" si="11"/>
        <v>2045000</v>
      </c>
      <c r="AB41" s="89">
        <f t="shared" si="12"/>
        <v>1281006.9099999999</v>
      </c>
      <c r="AC41" s="257">
        <f t="shared" si="13"/>
        <v>0.14000000000000001</v>
      </c>
      <c r="AD41" s="90">
        <f t="shared" si="14"/>
        <v>286300</v>
      </c>
      <c r="AE41" s="89">
        <f t="shared" si="15"/>
        <v>200186.91</v>
      </c>
      <c r="AF41" s="89">
        <f t="shared" si="16"/>
        <v>138099.81</v>
      </c>
      <c r="AG41" s="270">
        <f t="shared" si="17"/>
        <v>31.320462347188261</v>
      </c>
      <c r="AH41" s="271">
        <f t="shared" si="18"/>
        <v>41.953246943765279</v>
      </c>
      <c r="AI41" s="240">
        <f t="shared" si="19"/>
        <v>73.273709290953548</v>
      </c>
      <c r="AJ41" s="316">
        <v>74.725015442481009</v>
      </c>
      <c r="AK41" s="672">
        <f t="shared" si="24"/>
        <v>-1.4513061515274615</v>
      </c>
      <c r="AL41" t="str">
        <f t="shared" si="40"/>
        <v/>
      </c>
      <c r="AM41" s="821"/>
      <c r="AN41" s="108">
        <v>13</v>
      </c>
      <c r="AO41" s="108" t="s">
        <v>127</v>
      </c>
      <c r="AP41" s="108" t="s">
        <v>276</v>
      </c>
      <c r="AQ41" s="109">
        <v>789925320</v>
      </c>
      <c r="AR41" s="109">
        <v>80488992.180000007</v>
      </c>
      <c r="AS41" s="109">
        <v>247246632</v>
      </c>
      <c r="AT41" s="109">
        <v>22315432.960000001</v>
      </c>
      <c r="AU41" s="109">
        <v>24724680</v>
      </c>
      <c r="AV41" s="110">
        <v>6710920.1299999999</v>
      </c>
      <c r="BF41" s="375" t="s">
        <v>393</v>
      </c>
      <c r="BG41" s="354"/>
      <c r="BH41" s="354"/>
      <c r="BI41" s="354"/>
      <c r="BJ41" s="354"/>
    </row>
    <row r="42" spans="1:62" ht="11.25" customHeight="1" x14ac:dyDescent="0.2">
      <c r="A42" s="6">
        <v>31</v>
      </c>
      <c r="B42" s="199">
        <v>60376</v>
      </c>
      <c r="C42" s="680" t="s">
        <v>585</v>
      </c>
      <c r="D42" s="173" t="s">
        <v>136</v>
      </c>
      <c r="E42" s="173" t="s">
        <v>136</v>
      </c>
      <c r="F42" s="174" t="s">
        <v>14</v>
      </c>
      <c r="G42" s="179" t="s">
        <v>1</v>
      </c>
      <c r="H42" s="179" t="s">
        <v>577</v>
      </c>
      <c r="I42" s="180" t="s">
        <v>0</v>
      </c>
      <c r="J42" s="181" t="s">
        <v>136</v>
      </c>
      <c r="K42" s="200" t="b">
        <v>0</v>
      </c>
      <c r="L42" s="650">
        <v>8481595.5</v>
      </c>
      <c r="M42" s="89">
        <v>6746179.7199999997</v>
      </c>
      <c r="N42" s="89">
        <f t="shared" si="22"/>
        <v>508895.73</v>
      </c>
      <c r="O42" s="89">
        <v>357520.74</v>
      </c>
      <c r="P42" s="89">
        <f t="shared" si="9"/>
        <v>50889.573000000004</v>
      </c>
      <c r="Q42" s="651">
        <v>231372.66</v>
      </c>
      <c r="R42" s="650">
        <v>366500</v>
      </c>
      <c r="S42" s="89">
        <v>512369.77</v>
      </c>
      <c r="T42" s="89">
        <f t="shared" si="23"/>
        <v>109950</v>
      </c>
      <c r="U42" s="89">
        <v>70780.740000000005</v>
      </c>
      <c r="V42" s="89">
        <f t="shared" si="10"/>
        <v>10995</v>
      </c>
      <c r="W42" s="347">
        <v>51141.59</v>
      </c>
      <c r="X42" s="256">
        <v>0.06</v>
      </c>
      <c r="Y42" s="256">
        <v>0.3</v>
      </c>
      <c r="Z42" s="648">
        <v>7.0000000000000007E-2</v>
      </c>
      <c r="AA42" s="89">
        <f t="shared" si="11"/>
        <v>8848095.5</v>
      </c>
      <c r="AB42" s="89">
        <f t="shared" si="12"/>
        <v>7258549.4900000002</v>
      </c>
      <c r="AC42" s="257">
        <f t="shared" si="13"/>
        <v>7.0000000000000007E-2</v>
      </c>
      <c r="AD42" s="90">
        <f t="shared" si="14"/>
        <v>619366.68500000006</v>
      </c>
      <c r="AE42" s="89">
        <f t="shared" si="15"/>
        <v>428301.48</v>
      </c>
      <c r="AF42" s="89">
        <f t="shared" si="16"/>
        <v>282514.25</v>
      </c>
      <c r="AG42" s="270">
        <f t="shared" si="17"/>
        <v>40</v>
      </c>
      <c r="AH42" s="271">
        <f t="shared" si="18"/>
        <v>41.490912285668053</v>
      </c>
      <c r="AI42" s="240">
        <f t="shared" si="19"/>
        <v>81.49091228566806</v>
      </c>
      <c r="AJ42" s="316">
        <v>80.813779591300388</v>
      </c>
      <c r="AK42" s="672">
        <f t="shared" si="24"/>
        <v>0.67713269436767121</v>
      </c>
      <c r="AL42" t="str">
        <f t="shared" si="40"/>
        <v/>
      </c>
      <c r="AM42" s="821"/>
      <c r="AN42" s="108">
        <v>14</v>
      </c>
      <c r="AO42" s="108" t="s">
        <v>128</v>
      </c>
      <c r="AP42" s="108" t="s">
        <v>277</v>
      </c>
      <c r="AQ42" s="109">
        <v>163010400</v>
      </c>
      <c r="AR42" s="109">
        <v>64322722.450000003</v>
      </c>
      <c r="AS42" s="109">
        <v>130408800</v>
      </c>
      <c r="AT42" s="109">
        <v>48197442.649999999</v>
      </c>
      <c r="AU42" s="109">
        <v>13041600</v>
      </c>
      <c r="AV42" s="110">
        <v>8281009.4299999997</v>
      </c>
      <c r="BF42" s="376" t="s">
        <v>395</v>
      </c>
      <c r="BG42" s="355"/>
      <c r="BH42" s="355"/>
      <c r="BI42" s="355"/>
      <c r="BJ42" s="355"/>
    </row>
    <row r="43" spans="1:62" ht="11.25" customHeight="1" x14ac:dyDescent="0.2">
      <c r="A43" s="187">
        <v>32</v>
      </c>
      <c r="B43" s="683">
        <v>69167</v>
      </c>
      <c r="C43" s="684" t="s">
        <v>586</v>
      </c>
      <c r="D43" s="685" t="s">
        <v>136</v>
      </c>
      <c r="E43" s="685" t="s">
        <v>136</v>
      </c>
      <c r="F43" s="686" t="s">
        <v>113</v>
      </c>
      <c r="G43" s="687" t="s">
        <v>1</v>
      </c>
      <c r="H43" s="687" t="s">
        <v>575</v>
      </c>
      <c r="I43" s="688" t="s">
        <v>0</v>
      </c>
      <c r="J43" s="689" t="s">
        <v>136</v>
      </c>
      <c r="K43" s="690" t="b">
        <v>0</v>
      </c>
      <c r="L43" s="691">
        <v>0</v>
      </c>
      <c r="M43" s="691">
        <v>0</v>
      </c>
      <c r="N43" s="691">
        <f t="shared" si="22"/>
        <v>0</v>
      </c>
      <c r="O43" s="691">
        <v>0</v>
      </c>
      <c r="P43" s="691">
        <f t="shared" si="9"/>
        <v>0</v>
      </c>
      <c r="Q43" s="692">
        <v>0</v>
      </c>
      <c r="R43" s="691">
        <v>0</v>
      </c>
      <c r="S43" s="691">
        <v>0</v>
      </c>
      <c r="T43" s="691">
        <f t="shared" si="23"/>
        <v>0</v>
      </c>
      <c r="U43" s="691">
        <v>0</v>
      </c>
      <c r="V43" s="691">
        <f t="shared" si="10"/>
        <v>0</v>
      </c>
      <c r="W43" s="692">
        <v>0</v>
      </c>
      <c r="X43" s="693">
        <v>0</v>
      </c>
      <c r="Y43" s="693">
        <v>0</v>
      </c>
      <c r="Z43" s="694">
        <v>0</v>
      </c>
      <c r="AA43" s="695">
        <f t="shared" ref="AA43:AA74" si="41">IF(jakaKS=1,L43+R43,IF(jakaKS=2,L43,IF(jakaKS=3,R43,0)))</f>
        <v>0</v>
      </c>
      <c r="AB43" s="695">
        <f t="shared" ref="AB43:AB74" si="42">IF(jakaKS=1,M43+S43,IF(jakaKS=2,M43,IF(jakaKS=3,S43,0)))+IF(uspora="A",IF(jakaKS=1,Q43+W43,IF(jakaKS=2,Q43,IF(jakaKS=3,W43,0))),0)</f>
        <v>0</v>
      </c>
      <c r="AC43" s="693">
        <f t="shared" ref="AC43:AC74" si="43">IF(jakaKS=1,Z43,IF(jakaKS=2,X43,IF(jakaKS=3,Y43,0)))</f>
        <v>0</v>
      </c>
      <c r="AD43" s="695">
        <f t="shared" ref="AD43:AD74" si="44">IF(jakaKS=1,AA43*Z43,IF(jakaKS=2,N43,IF(jakaKS=3,T43,0)))</f>
        <v>0</v>
      </c>
      <c r="AE43" s="695">
        <f t="shared" ref="AE43:AE74" si="45">IF(jakaKS=1,O43+U43,IF(jakaKS=2,O43,IF(jakaKS=3,U43,0)))+IF(uspora="A",IF(jakaKS=1,Q43+W43,IF(jakaKS=2,Q43,IF(jakaKS=3,W43,0))),0)</f>
        <v>0</v>
      </c>
      <c r="AF43" s="695">
        <f t="shared" ref="AF43:AF74" si="46">IF(jakaKS=1,Q43+W43,IF(jakaKS=2,Q43,IF(jakaKS=3,W43,0)))</f>
        <v>0</v>
      </c>
      <c r="AG43" s="270" t="e">
        <f t="shared" si="17"/>
        <v>#DIV/0!</v>
      </c>
      <c r="AH43" s="673" t="e">
        <f t="shared" si="18"/>
        <v>#DIV/0!</v>
      </c>
      <c r="AI43" s="240" t="e">
        <f t="shared" si="19"/>
        <v>#DIV/0!</v>
      </c>
      <c r="AJ43" s="316">
        <v>56.592531558298404</v>
      </c>
      <c r="AK43" s="672" t="e">
        <f t="shared" si="24"/>
        <v>#DIV/0!</v>
      </c>
      <c r="AL43" t="str">
        <f t="shared" si="40"/>
        <v/>
      </c>
      <c r="AM43" s="821"/>
      <c r="AN43" s="108">
        <v>15</v>
      </c>
      <c r="AO43" s="108" t="s">
        <v>131</v>
      </c>
      <c r="AP43" s="108" t="s">
        <v>278</v>
      </c>
      <c r="AQ43" s="109">
        <v>177337680</v>
      </c>
      <c r="AR43" s="109">
        <v>125401961.3</v>
      </c>
      <c r="AS43" s="109">
        <v>51445656</v>
      </c>
      <c r="AT43" s="109">
        <v>73842300.569999993</v>
      </c>
      <c r="AU43" s="109">
        <v>5144520</v>
      </c>
      <c r="AV43" s="110">
        <v>124188.8</v>
      </c>
    </row>
    <row r="44" spans="1:62" ht="11.25" customHeight="1" x14ac:dyDescent="0.2">
      <c r="A44" s="6">
        <v>33</v>
      </c>
      <c r="B44" s="199">
        <v>69166</v>
      </c>
      <c r="C44" s="680" t="s">
        <v>587</v>
      </c>
      <c r="D44" s="173" t="s">
        <v>136</v>
      </c>
      <c r="E44" s="173" t="s">
        <v>136</v>
      </c>
      <c r="F44" s="174" t="s">
        <v>113</v>
      </c>
      <c r="G44" s="179" t="s">
        <v>2</v>
      </c>
      <c r="H44" s="179" t="s">
        <v>5</v>
      </c>
      <c r="I44" s="180" t="s">
        <v>0</v>
      </c>
      <c r="J44" s="181" t="s">
        <v>136</v>
      </c>
      <c r="K44" s="200" t="b">
        <v>0</v>
      </c>
      <c r="L44" s="650">
        <v>263989</v>
      </c>
      <c r="M44" s="89">
        <v>0</v>
      </c>
      <c r="N44" s="89">
        <f t="shared" si="22"/>
        <v>0</v>
      </c>
      <c r="O44" s="89">
        <v>0</v>
      </c>
      <c r="P44" s="89">
        <f t="shared" si="9"/>
        <v>0</v>
      </c>
      <c r="Q44" s="651">
        <v>0</v>
      </c>
      <c r="R44" s="650">
        <v>72000</v>
      </c>
      <c r="S44" s="89">
        <v>0</v>
      </c>
      <c r="T44" s="89">
        <f t="shared" si="23"/>
        <v>11397.6</v>
      </c>
      <c r="U44" s="89">
        <v>0</v>
      </c>
      <c r="V44" s="89">
        <f t="shared" si="10"/>
        <v>1139.76</v>
      </c>
      <c r="W44" s="347">
        <v>0</v>
      </c>
      <c r="X44" s="256">
        <v>0</v>
      </c>
      <c r="Y44" s="256">
        <v>0.1583</v>
      </c>
      <c r="Z44" s="648">
        <v>3.39E-2</v>
      </c>
      <c r="AA44" s="187">
        <f t="shared" si="41"/>
        <v>335989</v>
      </c>
      <c r="AB44" s="187">
        <f t="shared" si="42"/>
        <v>0</v>
      </c>
      <c r="AC44" s="257">
        <f t="shared" si="43"/>
        <v>3.39E-2</v>
      </c>
      <c r="AD44" s="90">
        <f t="shared" si="44"/>
        <v>11390.027099999999</v>
      </c>
      <c r="AE44" s="187">
        <f t="shared" si="45"/>
        <v>0</v>
      </c>
      <c r="AF44" s="89">
        <f t="shared" si="46"/>
        <v>0</v>
      </c>
      <c r="AG44" s="270">
        <f t="shared" si="17"/>
        <v>0</v>
      </c>
      <c r="AH44" s="271">
        <f t="shared" si="18"/>
        <v>0</v>
      </c>
      <c r="AI44" s="240">
        <f t="shared" si="19"/>
        <v>0</v>
      </c>
      <c r="AJ44" s="316" t="e">
        <v>#DIV/0!</v>
      </c>
      <c r="AK44" s="672" t="e">
        <f t="shared" si="24"/>
        <v>#DIV/0!</v>
      </c>
      <c r="AL44">
        <f t="shared" si="40"/>
        <v>32</v>
      </c>
      <c r="AM44" s="821"/>
      <c r="AN44" s="103">
        <v>19</v>
      </c>
      <c r="AO44" s="103" t="s">
        <v>133</v>
      </c>
      <c r="AP44" s="103" t="s">
        <v>279</v>
      </c>
      <c r="AQ44" s="104">
        <v>1261197600</v>
      </c>
      <c r="AR44" s="104">
        <v>244920.87</v>
      </c>
      <c r="AS44" s="104">
        <v>464400</v>
      </c>
      <c r="AT44" s="104">
        <v>0</v>
      </c>
      <c r="AU44" s="104">
        <v>46800</v>
      </c>
      <c r="AV44" s="105">
        <v>0</v>
      </c>
    </row>
    <row r="45" spans="1:62" ht="11.25" customHeight="1" x14ac:dyDescent="0.2">
      <c r="A45" s="6">
        <v>34</v>
      </c>
      <c r="B45" s="199">
        <v>60377</v>
      </c>
      <c r="C45" s="680" t="s">
        <v>561</v>
      </c>
      <c r="D45" s="173" t="s">
        <v>136</v>
      </c>
      <c r="E45" s="173" t="s">
        <v>136</v>
      </c>
      <c r="F45" s="174" t="s">
        <v>113</v>
      </c>
      <c r="G45" s="179" t="s">
        <v>2</v>
      </c>
      <c r="H45" s="179" t="s">
        <v>577</v>
      </c>
      <c r="I45" s="180" t="s">
        <v>0</v>
      </c>
      <c r="J45" s="181" t="s">
        <v>136</v>
      </c>
      <c r="K45" s="200" t="b">
        <v>0</v>
      </c>
      <c r="L45" s="650">
        <v>12059000</v>
      </c>
      <c r="M45" s="89">
        <v>12933092</v>
      </c>
      <c r="N45" s="89">
        <f t="shared" si="22"/>
        <v>485815.40058669745</v>
      </c>
      <c r="O45" s="89">
        <v>421328.34</v>
      </c>
      <c r="P45" s="89">
        <f t="shared" si="9"/>
        <v>48581.540058669751</v>
      </c>
      <c r="Q45" s="651">
        <v>146683.01999999999</v>
      </c>
      <c r="R45" s="650">
        <v>573500</v>
      </c>
      <c r="S45" s="89">
        <v>760125.48</v>
      </c>
      <c r="T45" s="89">
        <f t="shared" si="23"/>
        <v>81814.586196060423</v>
      </c>
      <c r="U45" s="89">
        <v>46105.42</v>
      </c>
      <c r="V45" s="89">
        <f t="shared" si="10"/>
        <v>8181.4586196060427</v>
      </c>
      <c r="W45" s="347">
        <v>8924.82</v>
      </c>
      <c r="X45" s="256">
        <v>4.0286541221220454E-2</v>
      </c>
      <c r="Y45" s="256">
        <v>0.14265838918231982</v>
      </c>
      <c r="Z45" s="648">
        <v>5.6847087967705823E-2</v>
      </c>
      <c r="AA45" s="187">
        <f t="shared" si="41"/>
        <v>12632500</v>
      </c>
      <c r="AB45" s="187">
        <f t="shared" si="42"/>
        <v>13693217.48</v>
      </c>
      <c r="AC45" s="257">
        <f t="shared" si="43"/>
        <v>5.6847087967705823E-2</v>
      </c>
      <c r="AD45" s="90">
        <f t="shared" si="44"/>
        <v>718120.83875204378</v>
      </c>
      <c r="AE45" s="187">
        <f t="shared" si="45"/>
        <v>467433.76</v>
      </c>
      <c r="AF45" s="89">
        <f t="shared" si="46"/>
        <v>155607.84</v>
      </c>
      <c r="AG45" s="270">
        <f t="shared" si="17"/>
        <v>40</v>
      </c>
      <c r="AH45" s="271">
        <f t="shared" si="18"/>
        <v>39.054744113453957</v>
      </c>
      <c r="AI45" s="240">
        <f t="shared" si="19"/>
        <v>79.05474411345395</v>
      </c>
      <c r="AJ45" s="316">
        <v>100</v>
      </c>
      <c r="AK45" s="672">
        <f t="shared" si="24"/>
        <v>-20.94525588654605</v>
      </c>
      <c r="AM45" s="822"/>
      <c r="AN45" s="111">
        <v>20</v>
      </c>
      <c r="AO45" s="111" t="s">
        <v>134</v>
      </c>
      <c r="AP45" s="111" t="s">
        <v>280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3">
        <v>0</v>
      </c>
    </row>
    <row r="46" spans="1:62" ht="11.25" customHeight="1" x14ac:dyDescent="0.2">
      <c r="A46" s="6">
        <v>35</v>
      </c>
      <c r="B46" s="199">
        <v>60378</v>
      </c>
      <c r="C46" s="680" t="s">
        <v>562</v>
      </c>
      <c r="D46" s="173" t="s">
        <v>136</v>
      </c>
      <c r="E46" s="173" t="s">
        <v>136</v>
      </c>
      <c r="F46" s="174" t="s">
        <v>113</v>
      </c>
      <c r="G46" s="179" t="s">
        <v>2</v>
      </c>
      <c r="H46" s="179" t="s">
        <v>577</v>
      </c>
      <c r="I46" s="180" t="s">
        <v>0</v>
      </c>
      <c r="J46" s="181" t="s">
        <v>136</v>
      </c>
      <c r="K46" s="200" t="b">
        <v>0</v>
      </c>
      <c r="L46" s="650">
        <v>3572500</v>
      </c>
      <c r="M46" s="89">
        <v>2445609.7599999998</v>
      </c>
      <c r="N46" s="89">
        <f t="shared" si="22"/>
        <v>685545.25793118146</v>
      </c>
      <c r="O46" s="89">
        <v>527910</v>
      </c>
      <c r="P46" s="89">
        <f t="shared" si="9"/>
        <v>68554.525793118155</v>
      </c>
      <c r="Q46" s="651">
        <v>452443.92</v>
      </c>
      <c r="R46" s="650">
        <v>2976350</v>
      </c>
      <c r="S46" s="89">
        <v>2989283.91</v>
      </c>
      <c r="T46" s="89">
        <f t="shared" si="23"/>
        <v>842486.91704036121</v>
      </c>
      <c r="U46" s="89">
        <v>1353534.24</v>
      </c>
      <c r="V46" s="89">
        <f t="shared" si="10"/>
        <v>84248.69170403613</v>
      </c>
      <c r="W46" s="347">
        <v>777560.99</v>
      </c>
      <c r="X46" s="256">
        <v>0.19189510368962392</v>
      </c>
      <c r="Y46" s="256">
        <v>0.28306043208640153</v>
      </c>
      <c r="Z46" s="648">
        <v>0.23924987180665169</v>
      </c>
      <c r="AA46" s="187">
        <f t="shared" si="41"/>
        <v>6548850</v>
      </c>
      <c r="AB46" s="187">
        <f t="shared" si="42"/>
        <v>5434893.6699999999</v>
      </c>
      <c r="AC46" s="257">
        <f t="shared" si="43"/>
        <v>0.23924987180665169</v>
      </c>
      <c r="AD46" s="90">
        <f t="shared" si="44"/>
        <v>1566811.5229809911</v>
      </c>
      <c r="AE46" s="187">
        <f t="shared" si="45"/>
        <v>1881444.24</v>
      </c>
      <c r="AF46" s="89">
        <f t="shared" si="46"/>
        <v>1230004.9099999999</v>
      </c>
      <c r="AG46" s="270">
        <f t="shared" si="17"/>
        <v>40</v>
      </c>
      <c r="AH46" s="271">
        <f t="shared" si="18"/>
        <v>60</v>
      </c>
      <c r="AI46" s="240">
        <f t="shared" si="19"/>
        <v>100</v>
      </c>
      <c r="AJ46" s="316">
        <v>91.128250714875151</v>
      </c>
      <c r="AK46" s="672">
        <f t="shared" si="24"/>
        <v>8.8717492851248494</v>
      </c>
      <c r="AL46" t="str">
        <f t="shared" ref="AL46:AL52" si="47">IF($M45=AL$11,$A45,"")</f>
        <v/>
      </c>
      <c r="AM46" s="820">
        <v>2012</v>
      </c>
      <c r="AN46" s="99">
        <v>1</v>
      </c>
      <c r="AO46" s="99" t="s">
        <v>123</v>
      </c>
      <c r="AP46" s="99" t="s">
        <v>269</v>
      </c>
      <c r="AQ46" s="101">
        <v>384177600</v>
      </c>
      <c r="AR46" s="101">
        <v>230186937.31999999</v>
      </c>
      <c r="AS46" s="101">
        <v>192088800</v>
      </c>
      <c r="AT46" s="101">
        <v>121436724</v>
      </c>
      <c r="AU46" s="101">
        <v>19208400</v>
      </c>
      <c r="AV46" s="102">
        <v>28061724</v>
      </c>
    </row>
    <row r="47" spans="1:62" ht="11.25" customHeight="1" x14ac:dyDescent="0.2">
      <c r="A47" s="6">
        <v>36</v>
      </c>
      <c r="B47" s="199">
        <v>60380</v>
      </c>
      <c r="C47" s="680" t="s">
        <v>588</v>
      </c>
      <c r="D47" s="173" t="s">
        <v>136</v>
      </c>
      <c r="E47" s="173" t="s">
        <v>136</v>
      </c>
      <c r="F47" s="174" t="s">
        <v>14</v>
      </c>
      <c r="G47" s="179" t="s">
        <v>1</v>
      </c>
      <c r="H47" s="179" t="s">
        <v>444</v>
      </c>
      <c r="I47" s="180" t="s">
        <v>0</v>
      </c>
      <c r="J47" s="181" t="s">
        <v>136</v>
      </c>
      <c r="K47" s="200" t="b">
        <v>0</v>
      </c>
      <c r="L47" s="650">
        <v>1604000</v>
      </c>
      <c r="M47" s="89">
        <v>1006231.32</v>
      </c>
      <c r="N47" s="89">
        <f t="shared" si="22"/>
        <v>561400</v>
      </c>
      <c r="O47" s="89">
        <v>562766.28</v>
      </c>
      <c r="P47" s="89">
        <f t="shared" si="9"/>
        <v>56140</v>
      </c>
      <c r="Q47" s="651">
        <v>247498.98</v>
      </c>
      <c r="R47" s="650">
        <v>559000</v>
      </c>
      <c r="S47" s="89">
        <v>278308.39</v>
      </c>
      <c r="T47" s="89">
        <f t="shared" si="23"/>
        <v>55900</v>
      </c>
      <c r="U47" s="89">
        <v>12490.64</v>
      </c>
      <c r="V47" s="89">
        <f t="shared" si="10"/>
        <v>5590</v>
      </c>
      <c r="W47" s="347">
        <v>2830.68</v>
      </c>
      <c r="X47" s="256">
        <v>0.35</v>
      </c>
      <c r="Y47" s="256">
        <v>0.1</v>
      </c>
      <c r="Z47" s="648">
        <v>0.3</v>
      </c>
      <c r="AA47" s="187">
        <f t="shared" si="41"/>
        <v>2163000</v>
      </c>
      <c r="AB47" s="187">
        <f t="shared" si="42"/>
        <v>1284539.71</v>
      </c>
      <c r="AC47" s="257">
        <f t="shared" si="43"/>
        <v>0.3</v>
      </c>
      <c r="AD47" s="90">
        <f t="shared" si="44"/>
        <v>648900</v>
      </c>
      <c r="AE47" s="187">
        <f t="shared" si="45"/>
        <v>575256.92000000004</v>
      </c>
      <c r="AF47" s="89">
        <f t="shared" si="46"/>
        <v>250329.66</v>
      </c>
      <c r="AG47" s="270">
        <f t="shared" si="17"/>
        <v>29.69347457235321</v>
      </c>
      <c r="AH47" s="271">
        <f t="shared" si="18"/>
        <v>53.19065372168285</v>
      </c>
      <c r="AI47" s="240">
        <f t="shared" si="19"/>
        <v>82.88412829403606</v>
      </c>
      <c r="AJ47" s="316">
        <v>99.195624954918131</v>
      </c>
      <c r="AK47" s="672">
        <f t="shared" si="24"/>
        <v>-16.311496660882071</v>
      </c>
      <c r="AL47" t="str">
        <f t="shared" si="47"/>
        <v/>
      </c>
      <c r="AM47" s="821"/>
      <c r="AN47" s="103">
        <v>2</v>
      </c>
      <c r="AO47" s="103" t="s">
        <v>124</v>
      </c>
      <c r="AP47" s="103" t="s">
        <v>270</v>
      </c>
      <c r="AQ47" s="104">
        <v>73844400</v>
      </c>
      <c r="AR47" s="104">
        <v>63688020.07</v>
      </c>
      <c r="AS47" s="104">
        <v>59074800</v>
      </c>
      <c r="AT47" s="104">
        <v>41653416</v>
      </c>
      <c r="AU47" s="104">
        <v>5907600</v>
      </c>
      <c r="AV47" s="105">
        <v>6280332</v>
      </c>
    </row>
    <row r="48" spans="1:62" ht="11.25" customHeight="1" x14ac:dyDescent="0.2">
      <c r="A48" s="6">
        <v>37</v>
      </c>
      <c r="B48" s="199">
        <v>60381</v>
      </c>
      <c r="C48" s="680" t="s">
        <v>141</v>
      </c>
      <c r="D48" s="173" t="s">
        <v>136</v>
      </c>
      <c r="E48" s="173" t="s">
        <v>136</v>
      </c>
      <c r="F48" s="174" t="s">
        <v>113</v>
      </c>
      <c r="G48" s="179" t="s">
        <v>4</v>
      </c>
      <c r="H48" s="179" t="s">
        <v>294</v>
      </c>
      <c r="I48" s="182" t="s">
        <v>7</v>
      </c>
      <c r="J48" s="181" t="s">
        <v>136</v>
      </c>
      <c r="K48" s="200" t="b">
        <v>0</v>
      </c>
      <c r="L48" s="650">
        <v>373250</v>
      </c>
      <c r="M48" s="89">
        <v>425555.57</v>
      </c>
      <c r="N48" s="89">
        <f t="shared" si="22"/>
        <v>25940.875000000004</v>
      </c>
      <c r="O48" s="89">
        <v>45542.58</v>
      </c>
      <c r="P48" s="89">
        <f t="shared" si="9"/>
        <v>2594.0875000000005</v>
      </c>
      <c r="Q48" s="651">
        <v>20301.84</v>
      </c>
      <c r="R48" s="650">
        <v>632750</v>
      </c>
      <c r="S48" s="89">
        <v>503811.84000000003</v>
      </c>
      <c r="T48" s="89">
        <f t="shared" si="23"/>
        <v>324284.375</v>
      </c>
      <c r="U48" s="89">
        <v>314852.65999999997</v>
      </c>
      <c r="V48" s="89">
        <f t="shared" si="10"/>
        <v>32428.4375</v>
      </c>
      <c r="W48" s="347">
        <v>69061.8</v>
      </c>
      <c r="X48" s="256">
        <v>6.9500000000000006E-2</v>
      </c>
      <c r="Y48" s="256">
        <v>0.51249999999999996</v>
      </c>
      <c r="Z48" s="648">
        <v>0.24970000000000001</v>
      </c>
      <c r="AA48" s="187">
        <f t="shared" si="41"/>
        <v>1006000</v>
      </c>
      <c r="AB48" s="187">
        <f t="shared" si="42"/>
        <v>929367.41</v>
      </c>
      <c r="AC48" s="257">
        <f t="shared" si="43"/>
        <v>0.24970000000000001</v>
      </c>
      <c r="AD48" s="90">
        <f t="shared" si="44"/>
        <v>251198.2</v>
      </c>
      <c r="AE48" s="187">
        <f t="shared" si="45"/>
        <v>360395.24</v>
      </c>
      <c r="AF48" s="89">
        <f t="shared" si="46"/>
        <v>89363.64</v>
      </c>
      <c r="AG48" s="270">
        <f t="shared" si="17"/>
        <v>40</v>
      </c>
      <c r="AH48" s="271">
        <f t="shared" si="18"/>
        <v>60</v>
      </c>
      <c r="AI48" s="240">
        <f t="shared" si="19"/>
        <v>100</v>
      </c>
      <c r="AJ48" s="316">
        <v>100</v>
      </c>
      <c r="AK48" s="672">
        <f t="shared" si="24"/>
        <v>0</v>
      </c>
      <c r="AL48" t="str">
        <f t="shared" si="47"/>
        <v/>
      </c>
      <c r="AM48" s="821"/>
      <c r="AN48" s="103">
        <v>3</v>
      </c>
      <c r="AO48" s="103" t="s">
        <v>125</v>
      </c>
      <c r="AP48" s="103" t="s">
        <v>271</v>
      </c>
      <c r="AQ48" s="104">
        <v>67322400</v>
      </c>
      <c r="AR48" s="104">
        <v>15641117.58</v>
      </c>
      <c r="AS48" s="104">
        <v>47126400</v>
      </c>
      <c r="AT48" s="104">
        <v>1276560</v>
      </c>
      <c r="AU48" s="104">
        <v>4712400</v>
      </c>
      <c r="AV48" s="105">
        <v>8810880</v>
      </c>
    </row>
    <row r="49" spans="1:48" ht="11.25" customHeight="1" x14ac:dyDescent="0.2">
      <c r="A49" s="6">
        <v>38</v>
      </c>
      <c r="B49" s="199">
        <v>60383</v>
      </c>
      <c r="C49" s="680" t="s">
        <v>563</v>
      </c>
      <c r="D49" s="173" t="s">
        <v>136</v>
      </c>
      <c r="E49" s="173" t="s">
        <v>136</v>
      </c>
      <c r="F49" s="174" t="s">
        <v>14</v>
      </c>
      <c r="G49" s="179" t="s">
        <v>4</v>
      </c>
      <c r="H49" s="179" t="s">
        <v>293</v>
      </c>
      <c r="I49" s="180" t="s">
        <v>9</v>
      </c>
      <c r="J49" s="181" t="s">
        <v>136</v>
      </c>
      <c r="K49" s="200" t="b">
        <v>0</v>
      </c>
      <c r="L49" s="650">
        <v>3510500</v>
      </c>
      <c r="M49" s="89">
        <v>0</v>
      </c>
      <c r="N49" s="89">
        <f t="shared" si="22"/>
        <v>241472.89701959412</v>
      </c>
      <c r="O49" s="89">
        <v>142914.66</v>
      </c>
      <c r="P49" s="89">
        <f t="shared" si="9"/>
        <v>24147.289701959413</v>
      </c>
      <c r="Q49" s="651">
        <v>121089.72</v>
      </c>
      <c r="R49" s="650">
        <v>1723000</v>
      </c>
      <c r="S49" s="89">
        <v>15854.84</v>
      </c>
      <c r="T49" s="89">
        <f t="shared" si="23"/>
        <v>37064.807438811702</v>
      </c>
      <c r="U49" s="89">
        <v>12885.6</v>
      </c>
      <c r="V49" s="89">
        <f t="shared" si="10"/>
        <v>3706.4807438811704</v>
      </c>
      <c r="W49" s="347">
        <v>4963.71</v>
      </c>
      <c r="X49" s="256">
        <v>6.8785898595526029E-2</v>
      </c>
      <c r="Y49" s="256">
        <v>2.1511786093332388E-2</v>
      </c>
      <c r="Z49" s="648">
        <v>5.5250729854665399E-2</v>
      </c>
      <c r="AA49" s="187">
        <f t="shared" si="41"/>
        <v>5233500</v>
      </c>
      <c r="AB49" s="187">
        <f t="shared" si="42"/>
        <v>15854.84</v>
      </c>
      <c r="AC49" s="257">
        <f t="shared" si="43"/>
        <v>5.5250729854665399E-2</v>
      </c>
      <c r="AD49" s="90">
        <f t="shared" si="44"/>
        <v>289154.69469439139</v>
      </c>
      <c r="AE49" s="187">
        <f t="shared" si="45"/>
        <v>155800.26</v>
      </c>
      <c r="AF49" s="89">
        <f t="shared" si="46"/>
        <v>126053.43000000001</v>
      </c>
      <c r="AG49" s="270">
        <f t="shared" si="17"/>
        <v>0.1514745390274195</v>
      </c>
      <c r="AH49" s="271">
        <f t="shared" si="18"/>
        <v>32.328769933616158</v>
      </c>
      <c r="AI49" s="240">
        <f t="shared" si="19"/>
        <v>32.480244472643577</v>
      </c>
      <c r="AJ49" s="316">
        <v>50.351264784957692</v>
      </c>
      <c r="AK49" s="672">
        <f t="shared" si="24"/>
        <v>-17.871020312314116</v>
      </c>
      <c r="AL49" t="str">
        <f t="shared" si="47"/>
        <v/>
      </c>
      <c r="AM49" s="821"/>
      <c r="AN49" s="103">
        <v>4</v>
      </c>
      <c r="AO49" s="103" t="s">
        <v>132</v>
      </c>
      <c r="AP49" s="103" t="s">
        <v>272</v>
      </c>
      <c r="AQ49" s="104">
        <v>582636000</v>
      </c>
      <c r="AR49" s="104">
        <v>867613600.74000001</v>
      </c>
      <c r="AS49" s="104">
        <v>174790800</v>
      </c>
      <c r="AT49" s="104">
        <v>10968503.52</v>
      </c>
      <c r="AU49" s="104">
        <v>17479200</v>
      </c>
      <c r="AV49" s="105">
        <v>6897984.2999999998</v>
      </c>
    </row>
    <row r="50" spans="1:48" ht="11.25" customHeight="1" x14ac:dyDescent="0.2">
      <c r="A50" s="6">
        <v>39</v>
      </c>
      <c r="B50" s="199">
        <v>60384</v>
      </c>
      <c r="C50" s="680" t="s">
        <v>564</v>
      </c>
      <c r="D50" s="173" t="s">
        <v>136</v>
      </c>
      <c r="E50" s="173" t="s">
        <v>136</v>
      </c>
      <c r="F50" s="174" t="s">
        <v>113</v>
      </c>
      <c r="G50" s="179" t="s">
        <v>2</v>
      </c>
      <c r="H50" s="179" t="s">
        <v>577</v>
      </c>
      <c r="I50" s="180" t="s">
        <v>0</v>
      </c>
      <c r="J50" s="181" t="s">
        <v>136</v>
      </c>
      <c r="K50" s="200" t="b">
        <v>0</v>
      </c>
      <c r="L50" s="650">
        <v>656750</v>
      </c>
      <c r="M50" s="89">
        <v>183232.43</v>
      </c>
      <c r="N50" s="89">
        <f t="shared" si="22"/>
        <v>153361.93565607176</v>
      </c>
      <c r="O50" s="89">
        <v>176906.94</v>
      </c>
      <c r="P50" s="89">
        <f t="shared" si="9"/>
        <v>15336.193565607176</v>
      </c>
      <c r="Q50" s="651">
        <v>142075.07999999999</v>
      </c>
      <c r="R50" s="650">
        <v>128000</v>
      </c>
      <c r="S50" s="89">
        <v>28900.22</v>
      </c>
      <c r="T50" s="89">
        <f t="shared" si="23"/>
        <v>21463.897506401525</v>
      </c>
      <c r="U50" s="89">
        <v>10850.68</v>
      </c>
      <c r="V50" s="89">
        <f t="shared" si="10"/>
        <v>2146.3897506401527</v>
      </c>
      <c r="W50" s="347">
        <v>2291.77</v>
      </c>
      <c r="X50" s="256">
        <v>0.23351646083908909</v>
      </c>
      <c r="Y50" s="256">
        <v>0.16768669926876192</v>
      </c>
      <c r="Z50" s="648">
        <v>0.22442950595550057</v>
      </c>
      <c r="AA50" s="187">
        <f t="shared" si="41"/>
        <v>784750</v>
      </c>
      <c r="AB50" s="187">
        <f t="shared" si="42"/>
        <v>212132.65</v>
      </c>
      <c r="AC50" s="257">
        <f t="shared" si="43"/>
        <v>0.22442950595550057</v>
      </c>
      <c r="AD50" s="90">
        <f t="shared" si="44"/>
        <v>176121.05479857908</v>
      </c>
      <c r="AE50" s="187">
        <f t="shared" si="45"/>
        <v>187757.62</v>
      </c>
      <c r="AF50" s="89">
        <f t="shared" si="46"/>
        <v>144366.84999999998</v>
      </c>
      <c r="AG50" s="270">
        <f t="shared" si="17"/>
        <v>13.515938196877986</v>
      </c>
      <c r="AH50" s="271">
        <f t="shared" si="18"/>
        <v>60</v>
      </c>
      <c r="AI50" s="240">
        <f t="shared" si="19"/>
        <v>73.515938196877983</v>
      </c>
      <c r="AJ50" s="316">
        <v>74.748545678000994</v>
      </c>
      <c r="AK50" s="672">
        <f t="shared" si="24"/>
        <v>-1.2326074811230114</v>
      </c>
      <c r="AL50">
        <f t="shared" si="47"/>
        <v>38</v>
      </c>
      <c r="AM50" s="821"/>
      <c r="AN50" s="40">
        <v>5</v>
      </c>
      <c r="AO50" s="40" t="s">
        <v>126</v>
      </c>
      <c r="AP50" s="40" t="s">
        <v>273</v>
      </c>
      <c r="AQ50" s="122">
        <v>17791200</v>
      </c>
      <c r="AR50" s="122">
        <v>12317618.4</v>
      </c>
      <c r="AS50" s="122">
        <v>9318000</v>
      </c>
      <c r="AT50" s="122">
        <v>1546041.2</v>
      </c>
      <c r="AU50" s="122">
        <v>931800</v>
      </c>
      <c r="AV50" s="167">
        <v>53958.8</v>
      </c>
    </row>
    <row r="51" spans="1:48" ht="11.25" customHeight="1" x14ac:dyDescent="0.2">
      <c r="A51" s="187">
        <v>40</v>
      </c>
      <c r="B51" s="199">
        <v>61686</v>
      </c>
      <c r="C51" s="681" t="s">
        <v>142</v>
      </c>
      <c r="D51" s="173" t="s">
        <v>136</v>
      </c>
      <c r="E51" s="173" t="s">
        <v>136</v>
      </c>
      <c r="F51" s="174" t="s">
        <v>113</v>
      </c>
      <c r="G51" s="179" t="s">
        <v>3</v>
      </c>
      <c r="H51" s="179" t="s">
        <v>5</v>
      </c>
      <c r="I51" s="180" t="s">
        <v>0</v>
      </c>
      <c r="J51" s="181" t="s">
        <v>136</v>
      </c>
      <c r="K51" s="200" t="b">
        <v>0</v>
      </c>
      <c r="L51" s="89">
        <v>12951000</v>
      </c>
      <c r="M51" s="89">
        <v>1891177.96</v>
      </c>
      <c r="N51" s="89">
        <f t="shared" si="22"/>
        <v>1082703.5999999999</v>
      </c>
      <c r="O51" s="89">
        <v>889495.68</v>
      </c>
      <c r="P51" s="89">
        <f t="shared" si="9"/>
        <v>108270.35999999999</v>
      </c>
      <c r="Q51" s="651">
        <v>302042.46000000002</v>
      </c>
      <c r="R51" s="89">
        <v>7668500</v>
      </c>
      <c r="S51" s="89">
        <v>4851987.8600000003</v>
      </c>
      <c r="T51" s="89">
        <f t="shared" si="23"/>
        <v>411031.60000000003</v>
      </c>
      <c r="U51" s="89">
        <v>1408079.84</v>
      </c>
      <c r="V51" s="89">
        <f t="shared" si="10"/>
        <v>41103.160000000003</v>
      </c>
      <c r="W51" s="651">
        <v>226790.49</v>
      </c>
      <c r="X51" s="256">
        <v>8.3599999999999994E-2</v>
      </c>
      <c r="Y51" s="256">
        <v>5.3600000000000002E-2</v>
      </c>
      <c r="Z51" s="648">
        <v>7.0199999999999999E-2</v>
      </c>
      <c r="AA51" s="187">
        <f t="shared" si="41"/>
        <v>20619500</v>
      </c>
      <c r="AB51" s="187">
        <f t="shared" si="42"/>
        <v>6743165.8200000003</v>
      </c>
      <c r="AC51" s="256">
        <f t="shared" si="43"/>
        <v>7.0199999999999999E-2</v>
      </c>
      <c r="AD51" s="187">
        <f t="shared" si="44"/>
        <v>1447488.9</v>
      </c>
      <c r="AE51" s="187">
        <f t="shared" si="45"/>
        <v>2297575.52</v>
      </c>
      <c r="AF51" s="187">
        <f t="shared" si="46"/>
        <v>528832.94999999995</v>
      </c>
      <c r="AG51" s="270">
        <f t="shared" si="17"/>
        <v>16.351429035621621</v>
      </c>
      <c r="AH51" s="673">
        <f t="shared" si="18"/>
        <v>60</v>
      </c>
      <c r="AI51" s="240">
        <f t="shared" si="19"/>
        <v>76.351429035621621</v>
      </c>
      <c r="AJ51" s="316">
        <v>70.992188251001338</v>
      </c>
      <c r="AK51" s="672">
        <f t="shared" si="24"/>
        <v>5.3592407846202832</v>
      </c>
      <c r="AL51" t="str">
        <f t="shared" si="47"/>
        <v/>
      </c>
      <c r="AM51" s="821"/>
      <c r="AN51" s="108">
        <v>11</v>
      </c>
      <c r="AO51" s="108" t="s">
        <v>129</v>
      </c>
      <c r="AP51" s="108" t="s">
        <v>274</v>
      </c>
      <c r="AQ51" s="109">
        <v>214135200</v>
      </c>
      <c r="AR51" s="109">
        <v>183407172.46000001</v>
      </c>
      <c r="AS51" s="109">
        <v>123962400</v>
      </c>
      <c r="AT51" s="109">
        <v>1745760.72</v>
      </c>
      <c r="AU51" s="109">
        <v>12396000</v>
      </c>
      <c r="AV51" s="110">
        <v>593557.80000000005</v>
      </c>
    </row>
    <row r="52" spans="1:48" ht="11.25" customHeight="1" x14ac:dyDescent="0.2">
      <c r="A52" s="6">
        <v>41</v>
      </c>
      <c r="B52" s="199">
        <v>60390</v>
      </c>
      <c r="C52" s="680" t="s">
        <v>143</v>
      </c>
      <c r="D52" s="173" t="s">
        <v>136</v>
      </c>
      <c r="E52" s="173" t="s">
        <v>136</v>
      </c>
      <c r="F52" s="174" t="s">
        <v>113</v>
      </c>
      <c r="G52" s="179" t="s">
        <v>4</v>
      </c>
      <c r="H52" s="179" t="s">
        <v>294</v>
      </c>
      <c r="I52" s="182" t="s">
        <v>8</v>
      </c>
      <c r="J52" s="181" t="s">
        <v>136</v>
      </c>
      <c r="K52" s="200" t="b">
        <v>0</v>
      </c>
      <c r="L52" s="650">
        <v>356000</v>
      </c>
      <c r="M52" s="89">
        <v>0</v>
      </c>
      <c r="N52" s="89">
        <f t="shared" si="22"/>
        <v>113884.40000000001</v>
      </c>
      <c r="O52" s="89">
        <v>47703.54</v>
      </c>
      <c r="P52" s="89">
        <f t="shared" si="9"/>
        <v>11388.440000000002</v>
      </c>
      <c r="Q52" s="651">
        <v>35091.599999999999</v>
      </c>
      <c r="R52" s="650">
        <v>348500</v>
      </c>
      <c r="S52" s="89">
        <v>0</v>
      </c>
      <c r="T52" s="89">
        <f t="shared" si="23"/>
        <v>108662.3</v>
      </c>
      <c r="U52" s="89">
        <v>0</v>
      </c>
      <c r="V52" s="89">
        <f t="shared" si="10"/>
        <v>10866.230000000001</v>
      </c>
      <c r="W52" s="347">
        <v>0</v>
      </c>
      <c r="X52" s="256">
        <v>0.31990000000000002</v>
      </c>
      <c r="Y52" s="256">
        <v>0.31180000000000002</v>
      </c>
      <c r="Z52" s="648">
        <v>0.31619999999999998</v>
      </c>
      <c r="AA52" s="89">
        <f t="shared" si="41"/>
        <v>704500</v>
      </c>
      <c r="AB52" s="89">
        <f t="shared" si="42"/>
        <v>0</v>
      </c>
      <c r="AC52" s="257">
        <f t="shared" si="43"/>
        <v>0.31619999999999998</v>
      </c>
      <c r="AD52" s="90">
        <f t="shared" si="44"/>
        <v>222762.9</v>
      </c>
      <c r="AE52" s="89">
        <f t="shared" si="45"/>
        <v>47703.54</v>
      </c>
      <c r="AF52" s="89">
        <f t="shared" si="46"/>
        <v>35091.599999999999</v>
      </c>
      <c r="AG52" s="270">
        <f t="shared" si="17"/>
        <v>0</v>
      </c>
      <c r="AH52" s="271">
        <f t="shared" si="18"/>
        <v>12.848694284371412</v>
      </c>
      <c r="AI52" s="240">
        <f t="shared" si="19"/>
        <v>12.848694284371412</v>
      </c>
      <c r="AJ52" s="316" t="e">
        <v>#DIV/0!</v>
      </c>
      <c r="AK52" s="672" t="e">
        <f t="shared" si="24"/>
        <v>#DIV/0!</v>
      </c>
      <c r="AL52" t="str">
        <f t="shared" si="47"/>
        <v/>
      </c>
      <c r="AM52" s="821"/>
      <c r="AN52" s="108">
        <v>12</v>
      </c>
      <c r="AO52" s="108" t="s">
        <v>130</v>
      </c>
      <c r="AP52" s="108" t="s">
        <v>275</v>
      </c>
      <c r="AQ52" s="109">
        <v>161257200</v>
      </c>
      <c r="AR52" s="109">
        <v>6854800.6399999997</v>
      </c>
      <c r="AS52" s="109">
        <v>64874400</v>
      </c>
      <c r="AT52" s="109">
        <v>3202271.66</v>
      </c>
      <c r="AU52" s="109">
        <v>6487200</v>
      </c>
      <c r="AV52" s="110">
        <v>549650.79</v>
      </c>
    </row>
    <row r="53" spans="1:48" ht="11.25" customHeight="1" x14ac:dyDescent="0.2">
      <c r="A53" s="6">
        <v>42</v>
      </c>
      <c r="B53" s="199">
        <v>60430</v>
      </c>
      <c r="C53" s="680" t="s">
        <v>144</v>
      </c>
      <c r="D53" s="173" t="s">
        <v>136</v>
      </c>
      <c r="E53" s="173" t="s">
        <v>136</v>
      </c>
      <c r="F53" s="174" t="s">
        <v>113</v>
      </c>
      <c r="G53" s="179" t="s">
        <v>4</v>
      </c>
      <c r="H53" s="179" t="s">
        <v>294</v>
      </c>
      <c r="I53" s="182" t="s">
        <v>12</v>
      </c>
      <c r="J53" s="181" t="s">
        <v>136</v>
      </c>
      <c r="K53" s="200" t="b">
        <v>0</v>
      </c>
      <c r="L53" s="650">
        <v>606000</v>
      </c>
      <c r="M53" s="89">
        <v>0</v>
      </c>
      <c r="N53" s="89">
        <f t="shared" si="22"/>
        <v>49873.799999999996</v>
      </c>
      <c r="O53" s="89">
        <v>47943.78</v>
      </c>
      <c r="P53" s="89">
        <f t="shared" si="9"/>
        <v>4987.38</v>
      </c>
      <c r="Q53" s="651">
        <v>38532</v>
      </c>
      <c r="R53" s="650">
        <v>353750</v>
      </c>
      <c r="S53" s="89">
        <v>0</v>
      </c>
      <c r="T53" s="89">
        <f t="shared" si="23"/>
        <v>56317</v>
      </c>
      <c r="U53" s="89">
        <v>0</v>
      </c>
      <c r="V53" s="89">
        <f t="shared" si="10"/>
        <v>5631.7000000000007</v>
      </c>
      <c r="W53" s="347">
        <v>0</v>
      </c>
      <c r="X53" s="256">
        <v>8.2299999999999998E-2</v>
      </c>
      <c r="Y53" s="256">
        <v>0.15920000000000001</v>
      </c>
      <c r="Z53" s="648">
        <v>0.1037</v>
      </c>
      <c r="AA53" s="89">
        <f t="shared" si="41"/>
        <v>959750</v>
      </c>
      <c r="AB53" s="89">
        <f t="shared" si="42"/>
        <v>0</v>
      </c>
      <c r="AC53" s="257">
        <f t="shared" si="43"/>
        <v>0.1037</v>
      </c>
      <c r="AD53" s="90">
        <f t="shared" si="44"/>
        <v>99526.074999999997</v>
      </c>
      <c r="AE53" s="89">
        <f t="shared" si="45"/>
        <v>47943.78</v>
      </c>
      <c r="AF53" s="89">
        <f t="shared" si="46"/>
        <v>38532</v>
      </c>
      <c r="AG53" s="270">
        <f t="shared" si="17"/>
        <v>0</v>
      </c>
      <c r="AH53" s="271">
        <f t="shared" si="18"/>
        <v>28.903247716741568</v>
      </c>
      <c r="AI53" s="240">
        <f t="shared" si="19"/>
        <v>28.903247716741568</v>
      </c>
      <c r="AJ53" s="316">
        <v>43.500310467149902</v>
      </c>
      <c r="AK53" s="672">
        <f t="shared" si="24"/>
        <v>-14.597062750408334</v>
      </c>
      <c r="AM53" s="821"/>
      <c r="AN53" s="108">
        <v>13</v>
      </c>
      <c r="AO53" s="108" t="s">
        <v>127</v>
      </c>
      <c r="AP53" s="108" t="s">
        <v>276</v>
      </c>
      <c r="AQ53" s="109">
        <v>789925320</v>
      </c>
      <c r="AR53" s="109">
        <v>259121521.97999999</v>
      </c>
      <c r="AS53" s="109">
        <v>281529384</v>
      </c>
      <c r="AT53" s="109">
        <v>49110996.259999998</v>
      </c>
      <c r="AU53" s="109">
        <v>28152960</v>
      </c>
      <c r="AV53" s="110">
        <v>14113822.07</v>
      </c>
    </row>
    <row r="54" spans="1:48" ht="11.25" customHeight="1" x14ac:dyDescent="0.2">
      <c r="A54" s="6">
        <v>43</v>
      </c>
      <c r="B54" s="199">
        <v>60420</v>
      </c>
      <c r="C54" s="680" t="s">
        <v>145</v>
      </c>
      <c r="D54" s="173" t="s">
        <v>136</v>
      </c>
      <c r="E54" s="173" t="s">
        <v>136</v>
      </c>
      <c r="F54" s="174" t="s">
        <v>113</v>
      </c>
      <c r="G54" s="179" t="s">
        <v>4</v>
      </c>
      <c r="H54" s="179" t="s">
        <v>294</v>
      </c>
      <c r="I54" s="180" t="s">
        <v>10</v>
      </c>
      <c r="J54" s="181" t="s">
        <v>136</v>
      </c>
      <c r="K54" s="200" t="b">
        <v>0</v>
      </c>
      <c r="L54" s="650">
        <v>403000</v>
      </c>
      <c r="M54" s="89">
        <v>0</v>
      </c>
      <c r="N54" s="89">
        <f t="shared" si="22"/>
        <v>23535.200000000001</v>
      </c>
      <c r="O54" s="89">
        <v>14640.72</v>
      </c>
      <c r="P54" s="89">
        <f t="shared" si="9"/>
        <v>2353.52</v>
      </c>
      <c r="Q54" s="651">
        <v>10987.68</v>
      </c>
      <c r="R54" s="650">
        <v>562500</v>
      </c>
      <c r="S54" s="89">
        <v>341994.29</v>
      </c>
      <c r="T54" s="89">
        <f t="shared" si="23"/>
        <v>191812.5</v>
      </c>
      <c r="U54" s="89">
        <v>237957.76000000001</v>
      </c>
      <c r="V54" s="89">
        <f t="shared" si="10"/>
        <v>19181.25</v>
      </c>
      <c r="W54" s="347">
        <v>64134.400000000001</v>
      </c>
      <c r="X54" s="256">
        <v>5.8400000000000001E-2</v>
      </c>
      <c r="Y54" s="256">
        <v>0.34100000000000003</v>
      </c>
      <c r="Z54" s="648">
        <v>0.2276</v>
      </c>
      <c r="AA54" s="89">
        <f t="shared" si="41"/>
        <v>965500</v>
      </c>
      <c r="AB54" s="89">
        <f t="shared" si="42"/>
        <v>341994.29</v>
      </c>
      <c r="AC54" s="257">
        <f t="shared" si="43"/>
        <v>0.2276</v>
      </c>
      <c r="AD54" s="90">
        <f t="shared" si="44"/>
        <v>219747.8</v>
      </c>
      <c r="AE54" s="89">
        <f t="shared" si="45"/>
        <v>252598.48</v>
      </c>
      <c r="AF54" s="89">
        <f t="shared" si="46"/>
        <v>75122.080000000002</v>
      </c>
      <c r="AG54" s="270">
        <f t="shared" si="17"/>
        <v>17.710734852408077</v>
      </c>
      <c r="AH54" s="271">
        <f t="shared" si="18"/>
        <v>60</v>
      </c>
      <c r="AI54" s="240">
        <f t="shared" si="19"/>
        <v>77.710734852408081</v>
      </c>
      <c r="AJ54" s="316">
        <v>95.686159719678656</v>
      </c>
      <c r="AK54" s="672">
        <f t="shared" si="24"/>
        <v>-17.975424867270576</v>
      </c>
      <c r="AL54">
        <f t="shared" ref="AL54:AL67" si="48">IF($M53=AL$11,$A53,"")</f>
        <v>42</v>
      </c>
      <c r="AM54" s="821"/>
      <c r="AN54" s="108">
        <v>14</v>
      </c>
      <c r="AO54" s="108" t="s">
        <v>128</v>
      </c>
      <c r="AP54" s="108" t="s">
        <v>277</v>
      </c>
      <c r="AQ54" s="109">
        <v>163010400</v>
      </c>
      <c r="AR54" s="109">
        <v>92352308.480000004</v>
      </c>
      <c r="AS54" s="109">
        <v>130408800</v>
      </c>
      <c r="AT54" s="109">
        <v>62396703.539999999</v>
      </c>
      <c r="AU54" s="109">
        <v>13041600</v>
      </c>
      <c r="AV54" s="110">
        <v>10570163.869999999</v>
      </c>
    </row>
    <row r="55" spans="1:48" ht="11.25" customHeight="1" x14ac:dyDescent="0.2">
      <c r="A55" s="6">
        <v>44</v>
      </c>
      <c r="B55" s="199">
        <v>60388</v>
      </c>
      <c r="C55" s="680" t="s">
        <v>146</v>
      </c>
      <c r="D55" s="173" t="s">
        <v>136</v>
      </c>
      <c r="E55" s="173" t="s">
        <v>136</v>
      </c>
      <c r="F55" s="174" t="s">
        <v>113</v>
      </c>
      <c r="G55" s="179" t="s">
        <v>4</v>
      </c>
      <c r="H55" s="179" t="s">
        <v>294</v>
      </c>
      <c r="I55" s="180" t="s">
        <v>10</v>
      </c>
      <c r="J55" s="181" t="s">
        <v>136</v>
      </c>
      <c r="K55" s="200" t="b">
        <v>0</v>
      </c>
      <c r="L55" s="650">
        <v>723500</v>
      </c>
      <c r="M55" s="89">
        <v>480572.94</v>
      </c>
      <c r="N55" s="89">
        <f t="shared" si="22"/>
        <v>29808.2</v>
      </c>
      <c r="O55" s="89">
        <v>21807</v>
      </c>
      <c r="P55" s="89">
        <f t="shared" si="9"/>
        <v>2980.82</v>
      </c>
      <c r="Q55" s="651">
        <v>25162.2</v>
      </c>
      <c r="R55" s="650">
        <v>671000</v>
      </c>
      <c r="S55" s="89">
        <v>236544.95</v>
      </c>
      <c r="T55" s="89">
        <f t="shared" si="23"/>
        <v>232836.99999999997</v>
      </c>
      <c r="U55" s="89">
        <v>236012.26</v>
      </c>
      <c r="V55" s="89">
        <f t="shared" si="10"/>
        <v>23283.699999999997</v>
      </c>
      <c r="W55" s="347">
        <v>44229.51</v>
      </c>
      <c r="X55" s="256">
        <v>4.1200000000000001E-2</v>
      </c>
      <c r="Y55" s="256">
        <v>0.34699999999999998</v>
      </c>
      <c r="Z55" s="648">
        <v>0.19989999999999999</v>
      </c>
      <c r="AA55" s="89">
        <f t="shared" si="41"/>
        <v>1394500</v>
      </c>
      <c r="AB55" s="89">
        <f t="shared" si="42"/>
        <v>717117.89</v>
      </c>
      <c r="AC55" s="257">
        <f t="shared" si="43"/>
        <v>0.19989999999999999</v>
      </c>
      <c r="AD55" s="90">
        <f t="shared" si="44"/>
        <v>278760.55</v>
      </c>
      <c r="AE55" s="89">
        <f t="shared" si="45"/>
        <v>257819.26</v>
      </c>
      <c r="AF55" s="89">
        <f t="shared" si="46"/>
        <v>69391.710000000006</v>
      </c>
      <c r="AG55" s="270">
        <f t="shared" si="17"/>
        <v>25.712366081032627</v>
      </c>
      <c r="AH55" s="271">
        <f t="shared" si="18"/>
        <v>55.492628350747623</v>
      </c>
      <c r="AI55" s="240">
        <f t="shared" si="19"/>
        <v>81.20499443178025</v>
      </c>
      <c r="AJ55" s="316">
        <v>31.949313399254802</v>
      </c>
      <c r="AK55" s="672">
        <f t="shared" si="24"/>
        <v>49.255681032525445</v>
      </c>
      <c r="AL55">
        <f t="shared" si="48"/>
        <v>43</v>
      </c>
      <c r="AM55" s="821"/>
      <c r="AN55" s="108">
        <v>15</v>
      </c>
      <c r="AO55" s="108" t="s">
        <v>131</v>
      </c>
      <c r="AP55" s="108" t="s">
        <v>278</v>
      </c>
      <c r="AQ55" s="109">
        <v>177337680</v>
      </c>
      <c r="AR55" s="109">
        <v>276600045.00999999</v>
      </c>
      <c r="AS55" s="109">
        <v>60294816</v>
      </c>
      <c r="AT55" s="109">
        <v>258280630.06999999</v>
      </c>
      <c r="AU55" s="109">
        <v>6029520</v>
      </c>
      <c r="AV55" s="110">
        <v>2551042.88</v>
      </c>
    </row>
    <row r="56" spans="1:48" ht="11.25" customHeight="1" x14ac:dyDescent="0.2">
      <c r="A56" s="6">
        <v>45</v>
      </c>
      <c r="B56" s="199">
        <v>60391</v>
      </c>
      <c r="C56" s="680" t="s">
        <v>147</v>
      </c>
      <c r="D56" s="173" t="s">
        <v>136</v>
      </c>
      <c r="E56" s="173" t="s">
        <v>136</v>
      </c>
      <c r="F56" s="174" t="s">
        <v>113</v>
      </c>
      <c r="G56" s="179" t="s">
        <v>4</v>
      </c>
      <c r="H56" s="179" t="s">
        <v>294</v>
      </c>
      <c r="I56" s="182" t="s">
        <v>8</v>
      </c>
      <c r="J56" s="181" t="s">
        <v>136</v>
      </c>
      <c r="K56" s="200" t="b">
        <v>0</v>
      </c>
      <c r="L56" s="650">
        <v>233000</v>
      </c>
      <c r="M56" s="89">
        <v>0</v>
      </c>
      <c r="N56" s="89">
        <f t="shared" si="22"/>
        <v>5009.5</v>
      </c>
      <c r="O56" s="89">
        <v>2993.22</v>
      </c>
      <c r="P56" s="89">
        <f t="shared" si="9"/>
        <v>500.95000000000005</v>
      </c>
      <c r="Q56" s="651">
        <v>4027.2</v>
      </c>
      <c r="R56" s="650">
        <v>83000</v>
      </c>
      <c r="S56" s="89">
        <v>0</v>
      </c>
      <c r="T56" s="89">
        <f t="shared" si="23"/>
        <v>11437.4</v>
      </c>
      <c r="U56" s="89">
        <v>0</v>
      </c>
      <c r="V56" s="89">
        <f t="shared" si="10"/>
        <v>1143.74</v>
      </c>
      <c r="W56" s="347">
        <v>0</v>
      </c>
      <c r="X56" s="256">
        <v>2.1499999999999998E-2</v>
      </c>
      <c r="Y56" s="256">
        <v>0.13780000000000001</v>
      </c>
      <c r="Z56" s="648">
        <v>5.21E-2</v>
      </c>
      <c r="AA56" s="89">
        <f t="shared" si="41"/>
        <v>316000</v>
      </c>
      <c r="AB56" s="89">
        <f t="shared" si="42"/>
        <v>0</v>
      </c>
      <c r="AC56" s="257">
        <f t="shared" si="43"/>
        <v>5.21E-2</v>
      </c>
      <c r="AD56" s="90">
        <f t="shared" si="44"/>
        <v>16463.599999999999</v>
      </c>
      <c r="AE56" s="89">
        <f t="shared" si="45"/>
        <v>2993.22</v>
      </c>
      <c r="AF56" s="89">
        <f t="shared" si="46"/>
        <v>4027.2</v>
      </c>
      <c r="AG56" s="270">
        <f t="shared" si="17"/>
        <v>0</v>
      </c>
      <c r="AH56" s="271">
        <f t="shared" si="18"/>
        <v>10.908501178357103</v>
      </c>
      <c r="AI56" s="240">
        <f t="shared" si="19"/>
        <v>10.908501178357103</v>
      </c>
      <c r="AJ56" s="316">
        <v>37.769777441902313</v>
      </c>
      <c r="AK56" s="672">
        <f t="shared" si="24"/>
        <v>-26.861276263545211</v>
      </c>
      <c r="AL56" t="str">
        <f t="shared" si="48"/>
        <v/>
      </c>
      <c r="AM56" s="821"/>
      <c r="AN56" s="103">
        <v>19</v>
      </c>
      <c r="AO56" s="103" t="s">
        <v>133</v>
      </c>
      <c r="AP56" s="103" t="s">
        <v>279</v>
      </c>
      <c r="AQ56" s="104">
        <v>1261197600</v>
      </c>
      <c r="AR56" s="104">
        <v>574050341.61000001</v>
      </c>
      <c r="AS56" s="104">
        <v>2053200</v>
      </c>
      <c r="AT56" s="104">
        <v>0</v>
      </c>
      <c r="AU56" s="104">
        <v>205320</v>
      </c>
      <c r="AV56" s="105">
        <v>0</v>
      </c>
    </row>
    <row r="57" spans="1:48" ht="11.25" customHeight="1" x14ac:dyDescent="0.2">
      <c r="A57" s="6">
        <v>46</v>
      </c>
      <c r="B57" s="199">
        <v>60410</v>
      </c>
      <c r="C57" s="680" t="s">
        <v>148</v>
      </c>
      <c r="D57" s="173" t="s">
        <v>136</v>
      </c>
      <c r="E57" s="173" t="s">
        <v>136</v>
      </c>
      <c r="F57" s="174" t="s">
        <v>113</v>
      </c>
      <c r="G57" s="179" t="s">
        <v>4</v>
      </c>
      <c r="H57" s="179" t="s">
        <v>294</v>
      </c>
      <c r="I57" s="180" t="s">
        <v>7</v>
      </c>
      <c r="J57" s="181" t="s">
        <v>136</v>
      </c>
      <c r="K57" s="200" t="b">
        <v>0</v>
      </c>
      <c r="L57" s="650">
        <v>360450</v>
      </c>
      <c r="M57" s="89">
        <v>0</v>
      </c>
      <c r="N57" s="89">
        <f t="shared" si="22"/>
        <v>22744.395</v>
      </c>
      <c r="O57" s="89">
        <v>24623.040000000001</v>
      </c>
      <c r="P57" s="89">
        <f t="shared" si="9"/>
        <v>2274.4395</v>
      </c>
      <c r="Q57" s="651">
        <v>10024.32</v>
      </c>
      <c r="R57" s="650">
        <v>289500</v>
      </c>
      <c r="S57" s="89">
        <v>72510.039999999994</v>
      </c>
      <c r="T57" s="89">
        <f t="shared" si="23"/>
        <v>96374.549999999988</v>
      </c>
      <c r="U57" s="89">
        <v>66813.2</v>
      </c>
      <c r="V57" s="89">
        <f t="shared" si="10"/>
        <v>9637.4549999999999</v>
      </c>
      <c r="W57" s="347">
        <v>17216.990000000002</v>
      </c>
      <c r="X57" s="256">
        <v>6.3100000000000003E-2</v>
      </c>
      <c r="Y57" s="256">
        <v>0.33289999999999997</v>
      </c>
      <c r="Z57" s="648">
        <v>0.1789</v>
      </c>
      <c r="AA57" s="89">
        <f t="shared" si="41"/>
        <v>649950</v>
      </c>
      <c r="AB57" s="89">
        <f t="shared" si="42"/>
        <v>72510.039999999994</v>
      </c>
      <c r="AC57" s="257">
        <f t="shared" si="43"/>
        <v>0.1789</v>
      </c>
      <c r="AD57" s="90">
        <f t="shared" si="44"/>
        <v>116276.05500000001</v>
      </c>
      <c r="AE57" s="89">
        <f t="shared" si="45"/>
        <v>91436.239999999991</v>
      </c>
      <c r="AF57" s="89">
        <f t="shared" si="46"/>
        <v>27241.31</v>
      </c>
      <c r="AG57" s="270">
        <f t="shared" si="17"/>
        <v>5.5781244711131617</v>
      </c>
      <c r="AH57" s="271">
        <f t="shared" si="18"/>
        <v>47.182323136091945</v>
      </c>
      <c r="AI57" s="240">
        <f t="shared" si="19"/>
        <v>52.760447607205109</v>
      </c>
      <c r="AJ57" s="316">
        <v>99.082402691861233</v>
      </c>
      <c r="AK57" s="672">
        <f t="shared" si="24"/>
        <v>-46.321955084656125</v>
      </c>
      <c r="AL57">
        <f t="shared" si="48"/>
        <v>45</v>
      </c>
      <c r="AM57" s="822"/>
      <c r="AN57" s="111">
        <v>20</v>
      </c>
      <c r="AO57" s="111" t="s">
        <v>134</v>
      </c>
      <c r="AP57" s="111" t="s">
        <v>280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3">
        <v>0</v>
      </c>
    </row>
    <row r="58" spans="1:48" ht="11.25" customHeight="1" x14ac:dyDescent="0.2">
      <c r="A58" s="6">
        <v>47</v>
      </c>
      <c r="B58" s="199">
        <v>60389</v>
      </c>
      <c r="C58" s="680" t="s">
        <v>149</v>
      </c>
      <c r="D58" s="173" t="s">
        <v>136</v>
      </c>
      <c r="E58" s="173" t="s">
        <v>136</v>
      </c>
      <c r="F58" s="174" t="s">
        <v>113</v>
      </c>
      <c r="G58" s="179" t="s">
        <v>4</v>
      </c>
      <c r="H58" s="179" t="s">
        <v>294</v>
      </c>
      <c r="I58" s="180" t="s">
        <v>9</v>
      </c>
      <c r="J58" s="181" t="s">
        <v>136</v>
      </c>
      <c r="K58" s="200" t="b">
        <v>0</v>
      </c>
      <c r="L58" s="650">
        <v>834700</v>
      </c>
      <c r="M58" s="89">
        <v>851240.82</v>
      </c>
      <c r="N58" s="89">
        <f t="shared" si="22"/>
        <v>25625.29</v>
      </c>
      <c r="O58" s="89">
        <v>33743.279999999999</v>
      </c>
      <c r="P58" s="89">
        <f t="shared" si="9"/>
        <v>2562.5290000000005</v>
      </c>
      <c r="Q58" s="651">
        <v>50322.12</v>
      </c>
      <c r="R58" s="650">
        <v>867000</v>
      </c>
      <c r="S58" s="89">
        <v>293412.77</v>
      </c>
      <c r="T58" s="89">
        <f t="shared" si="23"/>
        <v>358938</v>
      </c>
      <c r="U58" s="89">
        <v>293204.5</v>
      </c>
      <c r="V58" s="89">
        <f t="shared" si="10"/>
        <v>35893.800000000003</v>
      </c>
      <c r="W58" s="347">
        <v>60368.85</v>
      </c>
      <c r="X58" s="256">
        <v>3.0700000000000002E-2</v>
      </c>
      <c r="Y58" s="256">
        <v>0.41399999999999998</v>
      </c>
      <c r="Z58" s="648">
        <v>0.21279999999999999</v>
      </c>
      <c r="AA58" s="89">
        <f t="shared" si="41"/>
        <v>1701700</v>
      </c>
      <c r="AB58" s="89">
        <f t="shared" si="42"/>
        <v>1144653.5899999999</v>
      </c>
      <c r="AC58" s="257">
        <f t="shared" si="43"/>
        <v>0.21279999999999999</v>
      </c>
      <c r="AD58" s="90">
        <f t="shared" si="44"/>
        <v>362121.76</v>
      </c>
      <c r="AE58" s="89">
        <f t="shared" si="45"/>
        <v>326947.78000000003</v>
      </c>
      <c r="AF58" s="89">
        <f t="shared" si="46"/>
        <v>110690.97</v>
      </c>
      <c r="AG58" s="270">
        <f t="shared" si="17"/>
        <v>33.632649409414114</v>
      </c>
      <c r="AH58" s="271">
        <f t="shared" si="18"/>
        <v>54.17201882593303</v>
      </c>
      <c r="AI58" s="240">
        <f t="shared" si="19"/>
        <v>87.804668235347151</v>
      </c>
      <c r="AJ58" s="316">
        <v>65.033095998274888</v>
      </c>
      <c r="AK58" s="672">
        <f t="shared" si="24"/>
        <v>22.771572237072263</v>
      </c>
      <c r="AL58">
        <f t="shared" si="48"/>
        <v>46</v>
      </c>
      <c r="AM58" s="820">
        <v>2013</v>
      </c>
      <c r="AN58" s="99">
        <v>1</v>
      </c>
      <c r="AO58" s="99" t="s">
        <v>123</v>
      </c>
      <c r="AP58" s="99" t="s">
        <v>269</v>
      </c>
      <c r="AQ58" s="101">
        <v>384177600</v>
      </c>
      <c r="AR58" s="101">
        <v>357583801.26999998</v>
      </c>
      <c r="AS58" s="101">
        <v>192088800</v>
      </c>
      <c r="AT58" s="101">
        <v>106039212</v>
      </c>
      <c r="AU58" s="101">
        <v>19208400</v>
      </c>
      <c r="AV58" s="102">
        <v>44272296</v>
      </c>
    </row>
    <row r="59" spans="1:48" ht="11.25" customHeight="1" x14ac:dyDescent="0.2">
      <c r="A59" s="6">
        <v>48</v>
      </c>
      <c r="B59" s="199">
        <v>60405</v>
      </c>
      <c r="C59" s="680" t="s">
        <v>150</v>
      </c>
      <c r="D59" s="173" t="s">
        <v>136</v>
      </c>
      <c r="E59" s="173" t="s">
        <v>136</v>
      </c>
      <c r="F59" s="174" t="s">
        <v>113</v>
      </c>
      <c r="G59" s="179" t="s">
        <v>4</v>
      </c>
      <c r="H59" s="179" t="s">
        <v>294</v>
      </c>
      <c r="I59" s="180" t="s">
        <v>12</v>
      </c>
      <c r="J59" s="181" t="s">
        <v>136</v>
      </c>
      <c r="K59" s="200" t="b">
        <v>0</v>
      </c>
      <c r="L59" s="650">
        <v>424850</v>
      </c>
      <c r="M59" s="89">
        <v>0</v>
      </c>
      <c r="N59" s="89">
        <f t="shared" si="22"/>
        <v>14317.445</v>
      </c>
      <c r="O59" s="89">
        <v>14810.04</v>
      </c>
      <c r="P59" s="89">
        <f t="shared" si="9"/>
        <v>1431.7445</v>
      </c>
      <c r="Q59" s="651">
        <v>14838</v>
      </c>
      <c r="R59" s="650">
        <v>850</v>
      </c>
      <c r="S59" s="89">
        <v>0</v>
      </c>
      <c r="T59" s="89">
        <f t="shared" si="23"/>
        <v>124.1</v>
      </c>
      <c r="U59" s="89">
        <v>0</v>
      </c>
      <c r="V59" s="89">
        <f t="shared" si="10"/>
        <v>12.41</v>
      </c>
      <c r="W59" s="347">
        <v>0</v>
      </c>
      <c r="X59" s="256">
        <v>3.3700000000000001E-2</v>
      </c>
      <c r="Y59" s="256">
        <v>0.14599999999999999</v>
      </c>
      <c r="Z59" s="648">
        <v>8.5099999999999995E-2</v>
      </c>
      <c r="AA59" s="89">
        <f t="shared" si="41"/>
        <v>425700</v>
      </c>
      <c r="AB59" s="89">
        <f t="shared" si="42"/>
        <v>0</v>
      </c>
      <c r="AC59" s="257">
        <f t="shared" si="43"/>
        <v>8.5099999999999995E-2</v>
      </c>
      <c r="AD59" s="90">
        <f t="shared" si="44"/>
        <v>36227.07</v>
      </c>
      <c r="AE59" s="89">
        <f t="shared" si="45"/>
        <v>14810.04</v>
      </c>
      <c r="AF59" s="89">
        <f t="shared" si="46"/>
        <v>14838</v>
      </c>
      <c r="AG59" s="270">
        <f t="shared" si="17"/>
        <v>0</v>
      </c>
      <c r="AH59" s="271">
        <f t="shared" si="18"/>
        <v>24.52868531736075</v>
      </c>
      <c r="AI59" s="240">
        <f t="shared" si="19"/>
        <v>24.52868531736075</v>
      </c>
      <c r="AJ59" s="316">
        <v>13.182990091819267</v>
      </c>
      <c r="AK59" s="672">
        <f t="shared" si="24"/>
        <v>11.345695225541483</v>
      </c>
      <c r="AL59" t="str">
        <f t="shared" si="48"/>
        <v/>
      </c>
      <c r="AM59" s="821"/>
      <c r="AN59" s="103">
        <v>2</v>
      </c>
      <c r="AO59" s="103" t="s">
        <v>124</v>
      </c>
      <c r="AP59" s="103" t="s">
        <v>270</v>
      </c>
      <c r="AQ59" s="104">
        <v>73844400</v>
      </c>
      <c r="AR59" s="104">
        <v>68155077.680000007</v>
      </c>
      <c r="AS59" s="104">
        <v>59074800</v>
      </c>
      <c r="AT59" s="104">
        <v>46709184</v>
      </c>
      <c r="AU59" s="104">
        <v>5907600</v>
      </c>
      <c r="AV59" s="105">
        <v>7642428</v>
      </c>
    </row>
    <row r="60" spans="1:48" x14ac:dyDescent="0.2">
      <c r="A60" s="6">
        <v>49</v>
      </c>
      <c r="B60" s="199">
        <v>60392</v>
      </c>
      <c r="C60" s="680" t="s">
        <v>151</v>
      </c>
      <c r="D60" s="173" t="s">
        <v>136</v>
      </c>
      <c r="E60" s="173" t="s">
        <v>136</v>
      </c>
      <c r="F60" s="174" t="s">
        <v>113</v>
      </c>
      <c r="G60" s="179" t="s">
        <v>4</v>
      </c>
      <c r="H60" s="179" t="s">
        <v>294</v>
      </c>
      <c r="I60" s="182" t="s">
        <v>8</v>
      </c>
      <c r="J60" s="181" t="s">
        <v>136</v>
      </c>
      <c r="K60" s="200" t="b">
        <v>0</v>
      </c>
      <c r="L60" s="650">
        <v>365000</v>
      </c>
      <c r="M60" s="89">
        <v>0</v>
      </c>
      <c r="N60" s="89">
        <f t="shared" si="22"/>
        <v>12775.000000000002</v>
      </c>
      <c r="O60" s="89">
        <v>11240.94</v>
      </c>
      <c r="P60" s="89">
        <f t="shared" si="9"/>
        <v>1277.5000000000002</v>
      </c>
      <c r="Q60" s="651">
        <v>9454.44</v>
      </c>
      <c r="R60" s="650">
        <v>637000</v>
      </c>
      <c r="S60" s="89">
        <v>0</v>
      </c>
      <c r="T60" s="89">
        <f t="shared" si="23"/>
        <v>210719.59999999998</v>
      </c>
      <c r="U60" s="89">
        <v>0</v>
      </c>
      <c r="V60" s="89">
        <f t="shared" si="10"/>
        <v>21071.96</v>
      </c>
      <c r="W60" s="347">
        <v>0</v>
      </c>
      <c r="X60" s="256">
        <v>3.5000000000000003E-2</v>
      </c>
      <c r="Y60" s="256">
        <v>0.33079999999999998</v>
      </c>
      <c r="Z60" s="648">
        <v>0.21840000000000001</v>
      </c>
      <c r="AA60" s="89">
        <f t="shared" si="41"/>
        <v>1002000</v>
      </c>
      <c r="AB60" s="89">
        <f t="shared" si="42"/>
        <v>0</v>
      </c>
      <c r="AC60" s="257">
        <f t="shared" si="43"/>
        <v>0.21840000000000001</v>
      </c>
      <c r="AD60" s="90">
        <f t="shared" si="44"/>
        <v>218836.80000000002</v>
      </c>
      <c r="AE60" s="89">
        <f t="shared" si="45"/>
        <v>11240.94</v>
      </c>
      <c r="AF60" s="89">
        <f t="shared" si="46"/>
        <v>9454.44</v>
      </c>
      <c r="AG60" s="270">
        <f t="shared" si="17"/>
        <v>0</v>
      </c>
      <c r="AH60" s="271">
        <f t="shared" si="18"/>
        <v>3.082006317036257</v>
      </c>
      <c r="AI60" s="240">
        <f t="shared" si="19"/>
        <v>3.082006317036257</v>
      </c>
      <c r="AJ60" s="316">
        <v>46.421150196731347</v>
      </c>
      <c r="AK60" s="672">
        <f t="shared" si="24"/>
        <v>-43.339143879695087</v>
      </c>
      <c r="AL60">
        <f t="shared" si="48"/>
        <v>48</v>
      </c>
      <c r="AM60" s="821"/>
      <c r="AN60" s="103">
        <v>3</v>
      </c>
      <c r="AO60" s="103" t="s">
        <v>125</v>
      </c>
      <c r="AP60" s="103" t="s">
        <v>271</v>
      </c>
      <c r="AQ60" s="104">
        <v>67322400</v>
      </c>
      <c r="AR60" s="104">
        <v>49255588.920000002</v>
      </c>
      <c r="AS60" s="104">
        <v>60590400</v>
      </c>
      <c r="AT60" s="104">
        <v>1981081.92</v>
      </c>
      <c r="AU60" s="104">
        <v>6058800</v>
      </c>
      <c r="AV60" s="105">
        <v>11106995.42</v>
      </c>
    </row>
    <row r="61" spans="1:48" x14ac:dyDescent="0.2">
      <c r="A61" s="6">
        <v>50</v>
      </c>
      <c r="B61" s="199">
        <v>60387</v>
      </c>
      <c r="C61" s="680" t="s">
        <v>152</v>
      </c>
      <c r="D61" s="173" t="s">
        <v>136</v>
      </c>
      <c r="E61" s="173" t="s">
        <v>136</v>
      </c>
      <c r="F61" s="174" t="s">
        <v>113</v>
      </c>
      <c r="G61" s="179" t="s">
        <v>4</v>
      </c>
      <c r="H61" s="179" t="s">
        <v>294</v>
      </c>
      <c r="I61" s="182" t="s">
        <v>34</v>
      </c>
      <c r="J61" s="181" t="s">
        <v>136</v>
      </c>
      <c r="K61" s="200" t="b">
        <v>0</v>
      </c>
      <c r="L61" s="650">
        <v>430773</v>
      </c>
      <c r="M61" s="89">
        <v>0</v>
      </c>
      <c r="N61" s="89">
        <f t="shared" si="22"/>
        <v>70000.612500000003</v>
      </c>
      <c r="O61" s="89">
        <v>50350.86</v>
      </c>
      <c r="P61" s="89">
        <f t="shared" si="9"/>
        <v>7000.0612500000007</v>
      </c>
      <c r="Q61" s="651">
        <v>39958.44</v>
      </c>
      <c r="R61" s="650">
        <v>544000</v>
      </c>
      <c r="S61" s="89">
        <v>0</v>
      </c>
      <c r="T61" s="89">
        <f t="shared" si="23"/>
        <v>165974.39999999999</v>
      </c>
      <c r="U61" s="89">
        <v>0</v>
      </c>
      <c r="V61" s="89">
        <f t="shared" si="10"/>
        <v>16597.439999999999</v>
      </c>
      <c r="W61" s="347">
        <v>0</v>
      </c>
      <c r="X61" s="256">
        <v>0.16250000000000001</v>
      </c>
      <c r="Y61" s="256">
        <v>0.30509999999999998</v>
      </c>
      <c r="Z61" s="648">
        <v>0.24940000000000001</v>
      </c>
      <c r="AA61" s="89">
        <f t="shared" si="41"/>
        <v>974773</v>
      </c>
      <c r="AB61" s="89">
        <f t="shared" si="42"/>
        <v>0</v>
      </c>
      <c r="AC61" s="257">
        <f t="shared" si="43"/>
        <v>0.24940000000000001</v>
      </c>
      <c r="AD61" s="90">
        <f t="shared" si="44"/>
        <v>243108.38620000001</v>
      </c>
      <c r="AE61" s="89">
        <f t="shared" si="45"/>
        <v>50350.86</v>
      </c>
      <c r="AF61" s="89">
        <f t="shared" si="46"/>
        <v>39958.44</v>
      </c>
      <c r="AG61" s="270">
        <f t="shared" si="17"/>
        <v>0</v>
      </c>
      <c r="AH61" s="271">
        <f t="shared" si="18"/>
        <v>12.426768353086127</v>
      </c>
      <c r="AI61" s="240">
        <f t="shared" si="19"/>
        <v>12.426768353086127</v>
      </c>
      <c r="AJ61" s="316">
        <v>47.223863315436461</v>
      </c>
      <c r="AK61" s="672">
        <f t="shared" si="24"/>
        <v>-34.797094962350336</v>
      </c>
      <c r="AL61">
        <f t="shared" si="48"/>
        <v>49</v>
      </c>
      <c r="AM61" s="821"/>
      <c r="AN61" s="103">
        <v>4</v>
      </c>
      <c r="AO61" s="103" t="s">
        <v>132</v>
      </c>
      <c r="AP61" s="103" t="s">
        <v>272</v>
      </c>
      <c r="AQ61" s="104">
        <v>582636000</v>
      </c>
      <c r="AR61" s="104">
        <v>932701768.87</v>
      </c>
      <c r="AS61" s="104">
        <v>203923200</v>
      </c>
      <c r="AT61" s="104">
        <v>27241453.649999999</v>
      </c>
      <c r="AU61" s="104">
        <v>20392800</v>
      </c>
      <c r="AV61" s="105">
        <v>10557224.67</v>
      </c>
    </row>
    <row r="62" spans="1:48" x14ac:dyDescent="0.2">
      <c r="A62" s="6">
        <v>51</v>
      </c>
      <c r="B62" s="199">
        <v>60415</v>
      </c>
      <c r="C62" s="680" t="s">
        <v>153</v>
      </c>
      <c r="D62" s="173" t="s">
        <v>136</v>
      </c>
      <c r="E62" s="173" t="s">
        <v>136</v>
      </c>
      <c r="F62" s="174" t="s">
        <v>113</v>
      </c>
      <c r="G62" s="179" t="s">
        <v>4</v>
      </c>
      <c r="H62" s="179" t="s">
        <v>294</v>
      </c>
      <c r="I62" s="180" t="s">
        <v>12</v>
      </c>
      <c r="J62" s="181" t="s">
        <v>136</v>
      </c>
      <c r="K62" s="200" t="b">
        <v>0</v>
      </c>
      <c r="L62" s="650">
        <v>560000</v>
      </c>
      <c r="M62" s="89">
        <v>0</v>
      </c>
      <c r="N62" s="89">
        <f t="shared" si="22"/>
        <v>27048</v>
      </c>
      <c r="O62" s="89">
        <v>26588.34</v>
      </c>
      <c r="P62" s="89">
        <f t="shared" si="9"/>
        <v>2704.8</v>
      </c>
      <c r="Q62" s="651">
        <v>16919.400000000001</v>
      </c>
      <c r="R62" s="650">
        <v>710000</v>
      </c>
      <c r="S62" s="89">
        <v>0</v>
      </c>
      <c r="T62" s="89">
        <f t="shared" si="23"/>
        <v>308353</v>
      </c>
      <c r="U62" s="89">
        <v>0</v>
      </c>
      <c r="V62" s="89">
        <f t="shared" si="10"/>
        <v>30835.300000000003</v>
      </c>
      <c r="W62" s="347">
        <v>0</v>
      </c>
      <c r="X62" s="256">
        <v>4.8300000000000003E-2</v>
      </c>
      <c r="Y62" s="256">
        <v>0.43430000000000002</v>
      </c>
      <c r="Z62" s="648">
        <v>0.26</v>
      </c>
      <c r="AA62" s="89">
        <f t="shared" si="41"/>
        <v>1270000</v>
      </c>
      <c r="AB62" s="89">
        <f t="shared" si="42"/>
        <v>0</v>
      </c>
      <c r="AC62" s="257">
        <f t="shared" si="43"/>
        <v>0.26</v>
      </c>
      <c r="AD62" s="90">
        <f t="shared" si="44"/>
        <v>330200</v>
      </c>
      <c r="AE62" s="89">
        <f t="shared" si="45"/>
        <v>26588.34</v>
      </c>
      <c r="AF62" s="89">
        <f t="shared" si="46"/>
        <v>16919.400000000001</v>
      </c>
      <c r="AG62" s="270">
        <f t="shared" si="17"/>
        <v>0</v>
      </c>
      <c r="AH62" s="271">
        <f t="shared" si="18"/>
        <v>4.8313155663234406</v>
      </c>
      <c r="AI62" s="240">
        <f t="shared" si="19"/>
        <v>4.8313155663234406</v>
      </c>
      <c r="AJ62" s="316">
        <v>14.448333531412755</v>
      </c>
      <c r="AK62" s="672">
        <f t="shared" si="24"/>
        <v>-9.6170179650893139</v>
      </c>
      <c r="AL62">
        <f t="shared" si="48"/>
        <v>50</v>
      </c>
      <c r="AM62" s="821"/>
      <c r="AN62" s="40">
        <v>5</v>
      </c>
      <c r="AO62" s="40" t="s">
        <v>126</v>
      </c>
      <c r="AP62" s="40" t="s">
        <v>273</v>
      </c>
      <c r="AQ62" s="122">
        <v>17791200</v>
      </c>
      <c r="AR62" s="122">
        <v>23561238.289999999</v>
      </c>
      <c r="AS62" s="122">
        <v>12874800</v>
      </c>
      <c r="AT62" s="122">
        <v>2319061.7999999998</v>
      </c>
      <c r="AU62" s="122">
        <v>1287480</v>
      </c>
      <c r="AV62" s="167">
        <v>80938.2</v>
      </c>
    </row>
    <row r="63" spans="1:48" x14ac:dyDescent="0.2">
      <c r="A63" s="6">
        <v>52</v>
      </c>
      <c r="B63" s="199">
        <v>60393</v>
      </c>
      <c r="C63" s="680" t="s">
        <v>154</v>
      </c>
      <c r="D63" s="173" t="s">
        <v>136</v>
      </c>
      <c r="E63" s="173" t="s">
        <v>136</v>
      </c>
      <c r="F63" s="174" t="s">
        <v>113</v>
      </c>
      <c r="G63" s="179" t="s">
        <v>4</v>
      </c>
      <c r="H63" s="179" t="s">
        <v>294</v>
      </c>
      <c r="I63" s="182" t="s">
        <v>8</v>
      </c>
      <c r="J63" s="181" t="s">
        <v>136</v>
      </c>
      <c r="K63" s="200" t="b">
        <v>0</v>
      </c>
      <c r="L63" s="650">
        <v>462000</v>
      </c>
      <c r="M63" s="89">
        <v>0</v>
      </c>
      <c r="N63" s="89">
        <f t="shared" si="22"/>
        <v>14784</v>
      </c>
      <c r="O63" s="89">
        <v>10932.06</v>
      </c>
      <c r="P63" s="89">
        <f t="shared" si="9"/>
        <v>1478.4</v>
      </c>
      <c r="Q63" s="651">
        <v>9969.66</v>
      </c>
      <c r="R63" s="650">
        <v>426000</v>
      </c>
      <c r="S63" s="89">
        <v>0</v>
      </c>
      <c r="T63" s="89">
        <f t="shared" si="23"/>
        <v>165799.19999999998</v>
      </c>
      <c r="U63" s="89">
        <v>0</v>
      </c>
      <c r="V63" s="89">
        <f t="shared" si="10"/>
        <v>16579.919999999998</v>
      </c>
      <c r="W63" s="347">
        <v>0</v>
      </c>
      <c r="X63" s="256">
        <v>3.2000000000000001E-2</v>
      </c>
      <c r="Y63" s="256">
        <v>0.38919999999999999</v>
      </c>
      <c r="Z63" s="648">
        <v>0.20799999999999999</v>
      </c>
      <c r="AA63" s="89">
        <f t="shared" si="41"/>
        <v>888000</v>
      </c>
      <c r="AB63" s="89">
        <f t="shared" si="42"/>
        <v>0</v>
      </c>
      <c r="AC63" s="257">
        <f t="shared" si="43"/>
        <v>0.20799999999999999</v>
      </c>
      <c r="AD63" s="90">
        <f t="shared" si="44"/>
        <v>184704</v>
      </c>
      <c r="AE63" s="89">
        <f t="shared" si="45"/>
        <v>10932.06</v>
      </c>
      <c r="AF63" s="89">
        <f t="shared" si="46"/>
        <v>9969.66</v>
      </c>
      <c r="AG63" s="270">
        <f t="shared" si="17"/>
        <v>0</v>
      </c>
      <c r="AH63" s="271">
        <f t="shared" si="18"/>
        <v>3.5512149168399167</v>
      </c>
      <c r="AI63" s="240">
        <f t="shared" si="19"/>
        <v>3.5512149168399167</v>
      </c>
      <c r="AJ63" s="316">
        <v>34.115857540751556</v>
      </c>
      <c r="AK63" s="672">
        <f t="shared" si="24"/>
        <v>-30.564642623911638</v>
      </c>
      <c r="AL63">
        <f t="shared" si="48"/>
        <v>51</v>
      </c>
      <c r="AM63" s="821"/>
      <c r="AN63" s="108">
        <v>11</v>
      </c>
      <c r="AO63" s="108" t="s">
        <v>129</v>
      </c>
      <c r="AP63" s="108" t="s">
        <v>274</v>
      </c>
      <c r="AQ63" s="109">
        <v>214135200</v>
      </c>
      <c r="AR63" s="109">
        <v>180768653.13999999</v>
      </c>
      <c r="AS63" s="109">
        <v>144622800</v>
      </c>
      <c r="AT63" s="109">
        <v>3962816.12</v>
      </c>
      <c r="AU63" s="109">
        <v>14462400</v>
      </c>
      <c r="AV63" s="110">
        <v>1192698.48</v>
      </c>
    </row>
    <row r="64" spans="1:48" x14ac:dyDescent="0.2">
      <c r="A64" s="6">
        <v>53</v>
      </c>
      <c r="B64" s="199">
        <v>60394</v>
      </c>
      <c r="C64" s="680" t="s">
        <v>155</v>
      </c>
      <c r="D64" s="173" t="s">
        <v>136</v>
      </c>
      <c r="E64" s="173" t="s">
        <v>136</v>
      </c>
      <c r="F64" s="174" t="s">
        <v>113</v>
      </c>
      <c r="G64" s="179" t="s">
        <v>4</v>
      </c>
      <c r="H64" s="179" t="s">
        <v>294</v>
      </c>
      <c r="I64" s="180" t="s">
        <v>8</v>
      </c>
      <c r="J64" s="181" t="s">
        <v>136</v>
      </c>
      <c r="K64" s="200" t="b">
        <v>0</v>
      </c>
      <c r="L64" s="650">
        <v>301000</v>
      </c>
      <c r="M64" s="89">
        <v>0</v>
      </c>
      <c r="N64" s="89">
        <f t="shared" si="22"/>
        <v>10866.1</v>
      </c>
      <c r="O64" s="89">
        <v>8684.58</v>
      </c>
      <c r="P64" s="89">
        <f t="shared" si="9"/>
        <v>1086.6100000000001</v>
      </c>
      <c r="Q64" s="651">
        <v>10465.32</v>
      </c>
      <c r="R64" s="650">
        <v>524500</v>
      </c>
      <c r="S64" s="89">
        <v>84879.98</v>
      </c>
      <c r="T64" s="89">
        <f t="shared" si="23"/>
        <v>164535.65</v>
      </c>
      <c r="U64" s="89">
        <v>49016.04</v>
      </c>
      <c r="V64" s="89">
        <f t="shared" si="10"/>
        <v>16453.564999999999</v>
      </c>
      <c r="W64" s="347">
        <v>18851.71</v>
      </c>
      <c r="X64" s="256">
        <v>3.61E-2</v>
      </c>
      <c r="Y64" s="256">
        <v>0.31369999999999998</v>
      </c>
      <c r="Z64" s="648">
        <v>0.2094</v>
      </c>
      <c r="AA64" s="89">
        <f t="shared" si="41"/>
        <v>825500</v>
      </c>
      <c r="AB64" s="89">
        <f t="shared" si="42"/>
        <v>84879.98</v>
      </c>
      <c r="AC64" s="257">
        <f t="shared" si="43"/>
        <v>0.2094</v>
      </c>
      <c r="AD64" s="90">
        <f t="shared" si="44"/>
        <v>172859.7</v>
      </c>
      <c r="AE64" s="89">
        <f t="shared" si="45"/>
        <v>57700.62</v>
      </c>
      <c r="AF64" s="89">
        <f t="shared" si="46"/>
        <v>29317.03</v>
      </c>
      <c r="AG64" s="270">
        <f t="shared" si="17"/>
        <v>5.1411253785584492</v>
      </c>
      <c r="AH64" s="271">
        <f t="shared" si="18"/>
        <v>20.028018097914089</v>
      </c>
      <c r="AI64" s="240">
        <f t="shared" si="19"/>
        <v>25.169143476472538</v>
      </c>
      <c r="AJ64" s="316">
        <v>14.547593296089385</v>
      </c>
      <c r="AK64" s="672">
        <f t="shared" si="24"/>
        <v>10.621550180383153</v>
      </c>
      <c r="AL64">
        <f t="shared" si="48"/>
        <v>52</v>
      </c>
      <c r="AM64" s="821"/>
      <c r="AN64" s="108">
        <v>12</v>
      </c>
      <c r="AO64" s="108" t="s">
        <v>130</v>
      </c>
      <c r="AP64" s="108" t="s">
        <v>275</v>
      </c>
      <c r="AQ64" s="109">
        <v>161257200</v>
      </c>
      <c r="AR64" s="109">
        <v>65036948.380000003</v>
      </c>
      <c r="AS64" s="109">
        <v>81093600</v>
      </c>
      <c r="AT64" s="109">
        <v>7311673.4299999997</v>
      </c>
      <c r="AU64" s="109">
        <v>8109600</v>
      </c>
      <c r="AV64" s="110">
        <v>1343880.52</v>
      </c>
    </row>
    <row r="65" spans="1:48" x14ac:dyDescent="0.2">
      <c r="A65" s="6">
        <v>54</v>
      </c>
      <c r="B65" s="199">
        <v>60412</v>
      </c>
      <c r="C65" s="680" t="s">
        <v>156</v>
      </c>
      <c r="D65" s="173" t="s">
        <v>136</v>
      </c>
      <c r="E65" s="173" t="s">
        <v>136</v>
      </c>
      <c r="F65" s="174" t="s">
        <v>113</v>
      </c>
      <c r="G65" s="179" t="s">
        <v>4</v>
      </c>
      <c r="H65" s="179" t="s">
        <v>294</v>
      </c>
      <c r="I65" s="182" t="s">
        <v>37</v>
      </c>
      <c r="J65" s="181" t="s">
        <v>136</v>
      </c>
      <c r="K65" s="200" t="b">
        <v>0</v>
      </c>
      <c r="L65" s="650">
        <v>134305</v>
      </c>
      <c r="M65" s="89">
        <v>0</v>
      </c>
      <c r="N65" s="89">
        <f t="shared" si="22"/>
        <v>0.13430500000000001</v>
      </c>
      <c r="O65" s="89">
        <v>0</v>
      </c>
      <c r="P65" s="89">
        <f t="shared" si="9"/>
        <v>1.3430500000000001E-2</v>
      </c>
      <c r="Q65" s="651">
        <v>0</v>
      </c>
      <c r="R65" s="650">
        <v>172750</v>
      </c>
      <c r="S65" s="89">
        <v>0</v>
      </c>
      <c r="T65" s="89">
        <f t="shared" si="23"/>
        <v>11937.025</v>
      </c>
      <c r="U65" s="89">
        <v>0</v>
      </c>
      <c r="V65" s="89">
        <f t="shared" si="10"/>
        <v>1193.7025000000001</v>
      </c>
      <c r="W65" s="347">
        <v>0</v>
      </c>
      <c r="X65" s="256">
        <v>9.9999999999999995E-7</v>
      </c>
      <c r="Y65" s="256">
        <v>6.9099999999999995E-2</v>
      </c>
      <c r="Z65" s="648">
        <v>4.1000000000000002E-2</v>
      </c>
      <c r="AA65" s="89">
        <f t="shared" si="41"/>
        <v>307055</v>
      </c>
      <c r="AB65" s="89">
        <f t="shared" si="42"/>
        <v>0</v>
      </c>
      <c r="AC65" s="257">
        <f t="shared" si="43"/>
        <v>4.1000000000000002E-2</v>
      </c>
      <c r="AD65" s="90">
        <f t="shared" si="44"/>
        <v>12589.255000000001</v>
      </c>
      <c r="AE65" s="89">
        <f t="shared" si="45"/>
        <v>0</v>
      </c>
      <c r="AF65" s="89">
        <f t="shared" si="46"/>
        <v>0</v>
      </c>
      <c r="AG65" s="270">
        <f t="shared" si="17"/>
        <v>0</v>
      </c>
      <c r="AH65" s="271">
        <f t="shared" si="18"/>
        <v>0</v>
      </c>
      <c r="AI65" s="240">
        <f t="shared" si="19"/>
        <v>0</v>
      </c>
      <c r="AJ65" s="316">
        <v>13.369039774856027</v>
      </c>
      <c r="AK65" s="672">
        <f t="shared" si="24"/>
        <v>-13.369039774856027</v>
      </c>
      <c r="AL65">
        <f t="shared" si="48"/>
        <v>53</v>
      </c>
      <c r="AM65" s="821"/>
      <c r="AN65" s="108">
        <v>13</v>
      </c>
      <c r="AO65" s="108" t="s">
        <v>127</v>
      </c>
      <c r="AP65" s="108" t="s">
        <v>276</v>
      </c>
      <c r="AQ65" s="109">
        <v>789925320</v>
      </c>
      <c r="AR65" s="109">
        <v>328498550.55000001</v>
      </c>
      <c r="AS65" s="109">
        <v>281529384</v>
      </c>
      <c r="AT65" s="109">
        <v>59237173.68</v>
      </c>
      <c r="AU65" s="109">
        <v>28152960</v>
      </c>
      <c r="AV65" s="110">
        <v>13385146.85</v>
      </c>
    </row>
    <row r="66" spans="1:48" x14ac:dyDescent="0.2">
      <c r="A66" s="6">
        <v>55</v>
      </c>
      <c r="B66" s="199">
        <v>60395</v>
      </c>
      <c r="C66" s="680" t="s">
        <v>157</v>
      </c>
      <c r="D66" s="173" t="s">
        <v>136</v>
      </c>
      <c r="E66" s="173" t="s">
        <v>136</v>
      </c>
      <c r="F66" s="174" t="s">
        <v>113</v>
      </c>
      <c r="G66" s="179" t="s">
        <v>4</v>
      </c>
      <c r="H66" s="179" t="s">
        <v>294</v>
      </c>
      <c r="I66" s="182" t="s">
        <v>8</v>
      </c>
      <c r="J66" s="181" t="s">
        <v>136</v>
      </c>
      <c r="K66" s="200" t="b">
        <v>0</v>
      </c>
      <c r="L66" s="650">
        <v>265500</v>
      </c>
      <c r="M66" s="89">
        <v>0</v>
      </c>
      <c r="N66" s="89">
        <f t="shared" si="22"/>
        <v>8018.1</v>
      </c>
      <c r="O66" s="89">
        <v>7716.12</v>
      </c>
      <c r="P66" s="89">
        <f t="shared" si="9"/>
        <v>801.81000000000006</v>
      </c>
      <c r="Q66" s="651">
        <v>7148.16</v>
      </c>
      <c r="R66" s="650">
        <v>281500</v>
      </c>
      <c r="S66" s="89">
        <v>15145.07</v>
      </c>
      <c r="T66" s="89">
        <f t="shared" si="23"/>
        <v>88559.9</v>
      </c>
      <c r="U66" s="89">
        <v>15145.07</v>
      </c>
      <c r="V66" s="89">
        <f t="shared" si="10"/>
        <v>8855.99</v>
      </c>
      <c r="W66" s="347">
        <v>3135.54</v>
      </c>
      <c r="X66" s="256">
        <v>3.0200000000000001E-2</v>
      </c>
      <c r="Y66" s="256">
        <v>0.31459999999999999</v>
      </c>
      <c r="Z66" s="648">
        <v>0.1686</v>
      </c>
      <c r="AA66" s="89">
        <f t="shared" si="41"/>
        <v>547000</v>
      </c>
      <c r="AB66" s="89">
        <f t="shared" si="42"/>
        <v>15145.07</v>
      </c>
      <c r="AC66" s="257">
        <f t="shared" si="43"/>
        <v>0.1686</v>
      </c>
      <c r="AD66" s="90">
        <f t="shared" si="44"/>
        <v>92224.2</v>
      </c>
      <c r="AE66" s="89">
        <f t="shared" si="45"/>
        <v>22861.19</v>
      </c>
      <c r="AF66" s="89">
        <f t="shared" si="46"/>
        <v>10283.700000000001</v>
      </c>
      <c r="AG66" s="270">
        <f t="shared" si="17"/>
        <v>1.3843756855575866</v>
      </c>
      <c r="AH66" s="271">
        <f t="shared" si="18"/>
        <v>14.873226333218396</v>
      </c>
      <c r="AI66" s="240">
        <f t="shared" si="19"/>
        <v>16.257602018775984</v>
      </c>
      <c r="AJ66" s="316">
        <v>18.048929672063551</v>
      </c>
      <c r="AK66" s="672">
        <f t="shared" si="24"/>
        <v>-1.791327653287567</v>
      </c>
      <c r="AL66">
        <f t="shared" si="48"/>
        <v>54</v>
      </c>
      <c r="AM66" s="821"/>
      <c r="AN66" s="108">
        <v>14</v>
      </c>
      <c r="AO66" s="108" t="s">
        <v>128</v>
      </c>
      <c r="AP66" s="108" t="s">
        <v>277</v>
      </c>
      <c r="AQ66" s="109">
        <v>163010400</v>
      </c>
      <c r="AR66" s="109">
        <v>114309737.93000001</v>
      </c>
      <c r="AS66" s="109">
        <v>130408800</v>
      </c>
      <c r="AT66" s="109">
        <v>81432395.099999994</v>
      </c>
      <c r="AU66" s="109">
        <v>13040400</v>
      </c>
      <c r="AV66" s="110">
        <v>9505906.0700000003</v>
      </c>
    </row>
    <row r="67" spans="1:48" x14ac:dyDescent="0.2">
      <c r="A67" s="6">
        <v>56</v>
      </c>
      <c r="B67" s="199">
        <v>60402</v>
      </c>
      <c r="C67" s="680" t="s">
        <v>158</v>
      </c>
      <c r="D67" s="173" t="s">
        <v>136</v>
      </c>
      <c r="E67" s="173" t="s">
        <v>136</v>
      </c>
      <c r="F67" s="174" t="s">
        <v>113</v>
      </c>
      <c r="G67" s="179" t="s">
        <v>4</v>
      </c>
      <c r="H67" s="179" t="s">
        <v>294</v>
      </c>
      <c r="I67" s="180" t="s">
        <v>11</v>
      </c>
      <c r="J67" s="181" t="s">
        <v>136</v>
      </c>
      <c r="K67" s="200" t="b">
        <v>0</v>
      </c>
      <c r="L67" s="650">
        <v>251000</v>
      </c>
      <c r="M67" s="89">
        <v>0</v>
      </c>
      <c r="N67" s="89">
        <f t="shared" si="22"/>
        <v>60290.2</v>
      </c>
      <c r="O67" s="89">
        <v>37219.919999999998</v>
      </c>
      <c r="P67" s="89">
        <f t="shared" si="9"/>
        <v>6029.02</v>
      </c>
      <c r="Q67" s="651">
        <v>33411.54</v>
      </c>
      <c r="R67" s="650">
        <v>51500</v>
      </c>
      <c r="S67" s="89">
        <v>0</v>
      </c>
      <c r="T67" s="89">
        <f t="shared" si="23"/>
        <v>4959.45</v>
      </c>
      <c r="U67" s="89">
        <v>0</v>
      </c>
      <c r="V67" s="89">
        <f t="shared" si="10"/>
        <v>495.94499999999999</v>
      </c>
      <c r="W67" s="347">
        <v>0</v>
      </c>
      <c r="X67" s="256">
        <v>0.2402</v>
      </c>
      <c r="Y67" s="256">
        <v>9.6299999999999997E-2</v>
      </c>
      <c r="Z67" s="648">
        <v>0.1734</v>
      </c>
      <c r="AA67" s="89">
        <f t="shared" si="41"/>
        <v>302500</v>
      </c>
      <c r="AB67" s="89">
        <f t="shared" si="42"/>
        <v>0</v>
      </c>
      <c r="AC67" s="257">
        <f t="shared" si="43"/>
        <v>0.1734</v>
      </c>
      <c r="AD67" s="90">
        <f t="shared" si="44"/>
        <v>52453.5</v>
      </c>
      <c r="AE67" s="89">
        <f t="shared" si="45"/>
        <v>37219.919999999998</v>
      </c>
      <c r="AF67" s="89">
        <f t="shared" si="46"/>
        <v>33411.54</v>
      </c>
      <c r="AG67" s="270">
        <f t="shared" si="17"/>
        <v>0</v>
      </c>
      <c r="AH67" s="271">
        <f t="shared" si="18"/>
        <v>42.574760502159052</v>
      </c>
      <c r="AI67" s="240">
        <f t="shared" si="19"/>
        <v>42.574760502159052</v>
      </c>
      <c r="AJ67" s="316">
        <v>4.6318872987477642</v>
      </c>
      <c r="AK67" s="672">
        <f t="shared" si="24"/>
        <v>37.942873203411288</v>
      </c>
      <c r="AL67">
        <f t="shared" si="48"/>
        <v>55</v>
      </c>
      <c r="AM67" s="821"/>
      <c r="AN67" s="108">
        <v>15</v>
      </c>
      <c r="AO67" s="108" t="s">
        <v>131</v>
      </c>
      <c r="AP67" s="108" t="s">
        <v>278</v>
      </c>
      <c r="AQ67" s="109">
        <v>177337680</v>
      </c>
      <c r="AR67" s="109">
        <v>247534855.83000001</v>
      </c>
      <c r="AS67" s="109">
        <v>61412040</v>
      </c>
      <c r="AT67" s="109">
        <v>243579732.68000001</v>
      </c>
      <c r="AU67" s="109">
        <v>6141240</v>
      </c>
      <c r="AV67" s="110">
        <v>1077131.6100000001</v>
      </c>
    </row>
    <row r="68" spans="1:48" x14ac:dyDescent="0.2">
      <c r="A68" s="6">
        <v>57</v>
      </c>
      <c r="B68" s="199">
        <v>60403</v>
      </c>
      <c r="C68" s="680" t="s">
        <v>159</v>
      </c>
      <c r="D68" s="173" t="s">
        <v>136</v>
      </c>
      <c r="E68" s="173" t="s">
        <v>136</v>
      </c>
      <c r="F68" s="174" t="s">
        <v>113</v>
      </c>
      <c r="G68" s="179" t="s">
        <v>4</v>
      </c>
      <c r="H68" s="179" t="s">
        <v>294</v>
      </c>
      <c r="I68" s="182" t="s">
        <v>9</v>
      </c>
      <c r="J68" s="181" t="s">
        <v>136</v>
      </c>
      <c r="K68" s="200" t="b">
        <v>0</v>
      </c>
      <c r="L68" s="650">
        <v>815270</v>
      </c>
      <c r="M68" s="89">
        <v>0</v>
      </c>
      <c r="N68" s="89">
        <f t="shared" si="22"/>
        <v>33426.07</v>
      </c>
      <c r="O68" s="89">
        <v>29166.84</v>
      </c>
      <c r="P68" s="89">
        <f t="shared" si="9"/>
        <v>3342.607</v>
      </c>
      <c r="Q68" s="651">
        <v>39793.379999999997</v>
      </c>
      <c r="R68" s="650">
        <v>879000</v>
      </c>
      <c r="S68" s="89">
        <v>80196.67</v>
      </c>
      <c r="T68" s="89">
        <f t="shared" si="23"/>
        <v>348435.6</v>
      </c>
      <c r="U68" s="89">
        <v>80110.7</v>
      </c>
      <c r="V68" s="89">
        <f t="shared" si="10"/>
        <v>34843.56</v>
      </c>
      <c r="W68" s="347">
        <v>36498.01</v>
      </c>
      <c r="X68" s="256">
        <v>4.1000000000000002E-2</v>
      </c>
      <c r="Y68" s="256">
        <v>0.39639999999999997</v>
      </c>
      <c r="Z68" s="648">
        <v>0.2059</v>
      </c>
      <c r="AA68" s="89">
        <f t="shared" si="41"/>
        <v>1694270</v>
      </c>
      <c r="AB68" s="89">
        <f t="shared" si="42"/>
        <v>80196.67</v>
      </c>
      <c r="AC68" s="257">
        <f t="shared" si="43"/>
        <v>0.2059</v>
      </c>
      <c r="AD68" s="90">
        <f t="shared" si="44"/>
        <v>348850.19300000003</v>
      </c>
      <c r="AE68" s="89">
        <f t="shared" si="45"/>
        <v>109277.54</v>
      </c>
      <c r="AF68" s="89">
        <f t="shared" si="46"/>
        <v>76291.39</v>
      </c>
      <c r="AG68" s="270">
        <f t="shared" si="17"/>
        <v>2.3667027687440609</v>
      </c>
      <c r="AH68" s="271">
        <f t="shared" si="18"/>
        <v>18.795037329963577</v>
      </c>
      <c r="AI68" s="240">
        <f t="shared" si="19"/>
        <v>21.161740098707639</v>
      </c>
      <c r="AJ68" s="316">
        <v>72.830157518769411</v>
      </c>
      <c r="AK68" s="672">
        <f t="shared" si="24"/>
        <v>-51.668417420061772</v>
      </c>
      <c r="AM68" s="821"/>
      <c r="AN68" s="103">
        <v>19</v>
      </c>
      <c r="AO68" s="103" t="s">
        <v>133</v>
      </c>
      <c r="AP68" s="103" t="s">
        <v>279</v>
      </c>
      <c r="AQ68" s="104">
        <v>1261197600</v>
      </c>
      <c r="AR68" s="104">
        <v>562490815.80999994</v>
      </c>
      <c r="AS68" s="104">
        <v>2284800</v>
      </c>
      <c r="AT68" s="104">
        <v>0</v>
      </c>
      <c r="AU68" s="104">
        <v>228120</v>
      </c>
      <c r="AV68" s="105">
        <v>0</v>
      </c>
    </row>
    <row r="69" spans="1:48" x14ac:dyDescent="0.2">
      <c r="A69" s="6">
        <v>58</v>
      </c>
      <c r="B69" s="199">
        <v>60404</v>
      </c>
      <c r="C69" s="680" t="s">
        <v>160</v>
      </c>
      <c r="D69" s="173" t="s">
        <v>136</v>
      </c>
      <c r="E69" s="173" t="s">
        <v>136</v>
      </c>
      <c r="F69" s="174" t="s">
        <v>113</v>
      </c>
      <c r="G69" s="179" t="s">
        <v>4</v>
      </c>
      <c r="H69" s="179" t="s">
        <v>294</v>
      </c>
      <c r="I69" s="180" t="s">
        <v>9</v>
      </c>
      <c r="J69" s="181" t="s">
        <v>136</v>
      </c>
      <c r="K69" s="200" t="b">
        <v>0</v>
      </c>
      <c r="L69" s="650">
        <v>448700</v>
      </c>
      <c r="M69" s="89">
        <v>0</v>
      </c>
      <c r="N69" s="89">
        <f t="shared" si="22"/>
        <v>30018.03</v>
      </c>
      <c r="O69" s="89">
        <v>28048.62</v>
      </c>
      <c r="P69" s="89">
        <f t="shared" si="9"/>
        <v>3001.8029999999999</v>
      </c>
      <c r="Q69" s="651">
        <v>19348.8</v>
      </c>
      <c r="R69" s="650">
        <v>710400</v>
      </c>
      <c r="S69" s="89">
        <v>98207.12</v>
      </c>
      <c r="T69" s="89">
        <f t="shared" si="23"/>
        <v>284302.08000000002</v>
      </c>
      <c r="U69" s="89">
        <v>94088.74</v>
      </c>
      <c r="V69" s="89">
        <f t="shared" si="10"/>
        <v>28430.208000000002</v>
      </c>
      <c r="W69" s="347">
        <v>15977.09</v>
      </c>
      <c r="X69" s="256">
        <v>6.6900000000000001E-2</v>
      </c>
      <c r="Y69" s="256">
        <v>0.4002</v>
      </c>
      <c r="Z69" s="648">
        <v>0.2596</v>
      </c>
      <c r="AA69" s="89">
        <f t="shared" si="41"/>
        <v>1159100</v>
      </c>
      <c r="AB69" s="89">
        <f t="shared" si="42"/>
        <v>98207.12</v>
      </c>
      <c r="AC69" s="257">
        <f t="shared" si="43"/>
        <v>0.2596</v>
      </c>
      <c r="AD69" s="90">
        <f t="shared" si="44"/>
        <v>300902.36</v>
      </c>
      <c r="AE69" s="89">
        <f t="shared" si="45"/>
        <v>122137.36</v>
      </c>
      <c r="AF69" s="89">
        <f t="shared" si="46"/>
        <v>35325.89</v>
      </c>
      <c r="AG69" s="270">
        <f t="shared" si="17"/>
        <v>4.2363523423345697</v>
      </c>
      <c r="AH69" s="271">
        <f t="shared" si="18"/>
        <v>24.354217760206335</v>
      </c>
      <c r="AI69" s="240">
        <f t="shared" si="19"/>
        <v>28.590570102540905</v>
      </c>
      <c r="AJ69" s="316">
        <v>0</v>
      </c>
      <c r="AK69" s="672">
        <f t="shared" si="24"/>
        <v>28.590570102540905</v>
      </c>
      <c r="AM69" s="822"/>
      <c r="AN69" s="111">
        <v>20</v>
      </c>
      <c r="AO69" s="111" t="s">
        <v>134</v>
      </c>
      <c r="AP69" s="111" t="s">
        <v>280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3">
        <v>0</v>
      </c>
    </row>
    <row r="70" spans="1:48" x14ac:dyDescent="0.2">
      <c r="A70" s="6">
        <v>59</v>
      </c>
      <c r="B70" s="199">
        <v>60406</v>
      </c>
      <c r="C70" s="680" t="s">
        <v>161</v>
      </c>
      <c r="D70" s="173" t="s">
        <v>136</v>
      </c>
      <c r="E70" s="173" t="s">
        <v>136</v>
      </c>
      <c r="F70" s="174" t="s">
        <v>113</v>
      </c>
      <c r="G70" s="179" t="s">
        <v>4</v>
      </c>
      <c r="H70" s="179" t="s">
        <v>294</v>
      </c>
      <c r="I70" s="182" t="s">
        <v>9</v>
      </c>
      <c r="J70" s="181" t="s">
        <v>136</v>
      </c>
      <c r="K70" s="200" t="b">
        <v>0</v>
      </c>
      <c r="L70" s="650">
        <v>910674</v>
      </c>
      <c r="M70" s="89">
        <v>717483.78</v>
      </c>
      <c r="N70" s="89">
        <f t="shared" si="22"/>
        <v>38430.442800000004</v>
      </c>
      <c r="O70" s="89">
        <v>25863.54</v>
      </c>
      <c r="P70" s="89">
        <f t="shared" si="9"/>
        <v>3843.0442800000005</v>
      </c>
      <c r="Q70" s="651">
        <v>33702.480000000003</v>
      </c>
      <c r="R70" s="650">
        <v>1005000</v>
      </c>
      <c r="S70" s="89">
        <v>82587.66</v>
      </c>
      <c r="T70" s="89">
        <f t="shared" si="23"/>
        <v>475566</v>
      </c>
      <c r="U70" s="89">
        <v>67611.91</v>
      </c>
      <c r="V70" s="89">
        <f t="shared" si="10"/>
        <v>47556.600000000006</v>
      </c>
      <c r="W70" s="347">
        <v>23245.24</v>
      </c>
      <c r="X70" s="256">
        <v>4.2200000000000001E-2</v>
      </c>
      <c r="Y70" s="256">
        <v>0.47320000000000001</v>
      </c>
      <c r="Z70" s="648">
        <v>0.26829999999999998</v>
      </c>
      <c r="AA70" s="89">
        <f t="shared" si="41"/>
        <v>1915674</v>
      </c>
      <c r="AB70" s="89">
        <f t="shared" si="42"/>
        <v>800071.44000000006</v>
      </c>
      <c r="AC70" s="257">
        <f t="shared" si="43"/>
        <v>0.26829999999999998</v>
      </c>
      <c r="AD70" s="90">
        <f t="shared" si="44"/>
        <v>513975.33419999998</v>
      </c>
      <c r="AE70" s="89">
        <f t="shared" si="45"/>
        <v>93475.450000000012</v>
      </c>
      <c r="AF70" s="89">
        <f t="shared" si="46"/>
        <v>56947.72</v>
      </c>
      <c r="AG70" s="270">
        <f t="shared" si="17"/>
        <v>20.882244056138987</v>
      </c>
      <c r="AH70" s="271">
        <f t="shared" si="18"/>
        <v>10.912054775409883</v>
      </c>
      <c r="AI70" s="240">
        <f t="shared" si="19"/>
        <v>31.794298831548872</v>
      </c>
      <c r="AJ70" s="316">
        <v>13.000916786280298</v>
      </c>
      <c r="AK70" s="672">
        <f t="shared" si="24"/>
        <v>18.793382045268572</v>
      </c>
      <c r="AM70" s="820">
        <v>2014</v>
      </c>
      <c r="AN70" s="99">
        <v>1</v>
      </c>
      <c r="AO70" s="99" t="s">
        <v>123</v>
      </c>
      <c r="AP70" s="99" t="s">
        <v>269</v>
      </c>
      <c r="AQ70" s="384">
        <v>308911732.31999999</v>
      </c>
      <c r="AR70" s="101">
        <v>281953006.68000001</v>
      </c>
      <c r="AS70" s="101">
        <v>125784432</v>
      </c>
      <c r="AT70" s="101">
        <v>91851245.670000002</v>
      </c>
      <c r="AU70" s="101">
        <v>12578448</v>
      </c>
      <c r="AV70" s="102">
        <v>26555549.190000001</v>
      </c>
    </row>
    <row r="71" spans="1:48" x14ac:dyDescent="0.2">
      <c r="A71" s="6">
        <v>60</v>
      </c>
      <c r="B71" s="199">
        <v>60407</v>
      </c>
      <c r="C71" s="680" t="s">
        <v>162</v>
      </c>
      <c r="D71" s="173" t="s">
        <v>136</v>
      </c>
      <c r="E71" s="173" t="s">
        <v>136</v>
      </c>
      <c r="F71" s="174" t="s">
        <v>113</v>
      </c>
      <c r="G71" s="179" t="s">
        <v>4</v>
      </c>
      <c r="H71" s="179" t="s">
        <v>294</v>
      </c>
      <c r="I71" s="180" t="s">
        <v>7</v>
      </c>
      <c r="J71" s="181" t="s">
        <v>136</v>
      </c>
      <c r="K71" s="200" t="b">
        <v>0</v>
      </c>
      <c r="L71" s="650">
        <v>222344</v>
      </c>
      <c r="M71" s="89">
        <v>41217.910000000003</v>
      </c>
      <c r="N71" s="89">
        <f t="shared" si="22"/>
        <v>64012.837599999999</v>
      </c>
      <c r="O71" s="89">
        <v>79246.44</v>
      </c>
      <c r="P71" s="89">
        <f t="shared" si="9"/>
        <v>6401.2837600000003</v>
      </c>
      <c r="Q71" s="651">
        <v>57365.82</v>
      </c>
      <c r="R71" s="650">
        <v>299037.5</v>
      </c>
      <c r="S71" s="89">
        <v>153791.57999999999</v>
      </c>
      <c r="T71" s="89">
        <f t="shared" si="23"/>
        <v>76942.34874999999</v>
      </c>
      <c r="U71" s="89">
        <v>60396.84</v>
      </c>
      <c r="V71" s="89">
        <f t="shared" si="10"/>
        <v>7694.2348749999992</v>
      </c>
      <c r="W71" s="347">
        <v>12569.88</v>
      </c>
      <c r="X71" s="256">
        <v>0.28789999999999999</v>
      </c>
      <c r="Y71" s="256">
        <v>0.25729999999999997</v>
      </c>
      <c r="Z71" s="648">
        <v>0.27110000000000001</v>
      </c>
      <c r="AA71" s="89">
        <f t="shared" si="41"/>
        <v>521381.5</v>
      </c>
      <c r="AB71" s="89">
        <f t="shared" si="42"/>
        <v>195009.49</v>
      </c>
      <c r="AC71" s="257">
        <f t="shared" si="43"/>
        <v>0.27110000000000001</v>
      </c>
      <c r="AD71" s="90">
        <f t="shared" si="44"/>
        <v>141346.52465000001</v>
      </c>
      <c r="AE71" s="89">
        <f t="shared" si="45"/>
        <v>139643.28</v>
      </c>
      <c r="AF71" s="89">
        <f t="shared" si="46"/>
        <v>69935.7</v>
      </c>
      <c r="AG71" s="270">
        <f t="shared" si="17"/>
        <v>18.701228371163914</v>
      </c>
      <c r="AH71" s="271">
        <f t="shared" si="18"/>
        <v>59.276991922843145</v>
      </c>
      <c r="AI71" s="240">
        <f t="shared" si="19"/>
        <v>77.978220294007059</v>
      </c>
      <c r="AJ71" s="316">
        <v>45.22963693972801</v>
      </c>
      <c r="AK71" s="672">
        <f t="shared" si="24"/>
        <v>32.748583354279049</v>
      </c>
      <c r="AL71" t="str">
        <f t="shared" ref="AL71:AL105" si="49">IF($M70=AL$11,$A70,"")</f>
        <v/>
      </c>
      <c r="AM71" s="821"/>
      <c r="AN71" s="103">
        <v>2</v>
      </c>
      <c r="AO71" s="103" t="s">
        <v>124</v>
      </c>
      <c r="AP71" s="103" t="s">
        <v>270</v>
      </c>
      <c r="AQ71" s="361">
        <v>55971891.789999977</v>
      </c>
      <c r="AR71" s="104">
        <v>48377738.109999999</v>
      </c>
      <c r="AS71" s="104">
        <v>45129432</v>
      </c>
      <c r="AT71" s="104">
        <v>50467147.200000003</v>
      </c>
      <c r="AU71" s="104">
        <v>4512948</v>
      </c>
      <c r="AV71" s="105">
        <v>8906342.0399999991</v>
      </c>
    </row>
    <row r="72" spans="1:48" x14ac:dyDescent="0.2">
      <c r="A72" s="6">
        <v>61</v>
      </c>
      <c r="B72" s="199">
        <v>60416</v>
      </c>
      <c r="C72" s="680" t="s">
        <v>163</v>
      </c>
      <c r="D72" s="173" t="s">
        <v>136</v>
      </c>
      <c r="E72" s="173" t="s">
        <v>136</v>
      </c>
      <c r="F72" s="174" t="s">
        <v>113</v>
      </c>
      <c r="G72" s="179" t="s">
        <v>4</v>
      </c>
      <c r="H72" s="179" t="s">
        <v>294</v>
      </c>
      <c r="I72" s="180" t="s">
        <v>39</v>
      </c>
      <c r="J72" s="181" t="s">
        <v>136</v>
      </c>
      <c r="K72" s="200" t="b">
        <v>0</v>
      </c>
      <c r="L72" s="650">
        <v>139200</v>
      </c>
      <c r="M72" s="89">
        <v>0</v>
      </c>
      <c r="N72" s="89">
        <f t="shared" si="22"/>
        <v>28814.399999999998</v>
      </c>
      <c r="O72" s="89">
        <v>22536.36</v>
      </c>
      <c r="P72" s="89">
        <f t="shared" si="9"/>
        <v>2881.44</v>
      </c>
      <c r="Q72" s="651">
        <v>6564.6</v>
      </c>
      <c r="R72" s="650">
        <v>362750</v>
      </c>
      <c r="S72" s="89">
        <v>0</v>
      </c>
      <c r="T72" s="89">
        <f t="shared" si="23"/>
        <v>55682.125</v>
      </c>
      <c r="U72" s="89">
        <v>0</v>
      </c>
      <c r="V72" s="89">
        <f t="shared" si="10"/>
        <v>5568.2125000000005</v>
      </c>
      <c r="W72" s="347">
        <v>0</v>
      </c>
      <c r="X72" s="256">
        <v>0.20699999999999999</v>
      </c>
      <c r="Y72" s="256">
        <v>0.1535</v>
      </c>
      <c r="Z72" s="648">
        <v>0.1948</v>
      </c>
      <c r="AA72" s="89">
        <f t="shared" si="41"/>
        <v>501950</v>
      </c>
      <c r="AB72" s="89">
        <f t="shared" si="42"/>
        <v>0</v>
      </c>
      <c r="AC72" s="257">
        <f t="shared" si="43"/>
        <v>0.1948</v>
      </c>
      <c r="AD72" s="90">
        <f t="shared" si="44"/>
        <v>97779.86</v>
      </c>
      <c r="AE72" s="89">
        <f t="shared" si="45"/>
        <v>22536.36</v>
      </c>
      <c r="AF72" s="89">
        <f t="shared" si="46"/>
        <v>6564.6</v>
      </c>
      <c r="AG72" s="270">
        <f t="shared" si="17"/>
        <v>0</v>
      </c>
      <c r="AH72" s="271">
        <f t="shared" si="18"/>
        <v>13.828835508662008</v>
      </c>
      <c r="AI72" s="240">
        <f t="shared" si="19"/>
        <v>13.828835508662008</v>
      </c>
      <c r="AJ72" s="316">
        <v>34.463251191836797</v>
      </c>
      <c r="AK72" s="672">
        <f t="shared" si="24"/>
        <v>-20.634415683174787</v>
      </c>
      <c r="AL72" t="str">
        <f t="shared" si="49"/>
        <v/>
      </c>
      <c r="AM72" s="821"/>
      <c r="AN72" s="103">
        <v>3</v>
      </c>
      <c r="AO72" s="103" t="s">
        <v>125</v>
      </c>
      <c r="AP72" s="103" t="s">
        <v>271</v>
      </c>
      <c r="AQ72" s="361">
        <v>119777594.76000005</v>
      </c>
      <c r="AR72" s="104">
        <v>76509002.430000007</v>
      </c>
      <c r="AS72" s="104">
        <v>37298580</v>
      </c>
      <c r="AT72" s="104">
        <v>4237067.04</v>
      </c>
      <c r="AU72" s="104">
        <v>3729864</v>
      </c>
      <c r="AV72" s="105">
        <v>10722959.4</v>
      </c>
    </row>
    <row r="73" spans="1:48" x14ac:dyDescent="0.2">
      <c r="A73" s="6">
        <v>62</v>
      </c>
      <c r="B73" s="199">
        <v>60417</v>
      </c>
      <c r="C73" s="680" t="s">
        <v>164</v>
      </c>
      <c r="D73" s="173" t="s">
        <v>136</v>
      </c>
      <c r="E73" s="173" t="s">
        <v>136</v>
      </c>
      <c r="F73" s="174" t="s">
        <v>113</v>
      </c>
      <c r="G73" s="179" t="s">
        <v>4</v>
      </c>
      <c r="H73" s="179" t="s">
        <v>294</v>
      </c>
      <c r="I73" s="180" t="s">
        <v>41</v>
      </c>
      <c r="J73" s="181" t="s">
        <v>136</v>
      </c>
      <c r="K73" s="200" t="b">
        <v>0</v>
      </c>
      <c r="L73" s="650">
        <v>230500</v>
      </c>
      <c r="M73" s="89">
        <v>0</v>
      </c>
      <c r="N73" s="89">
        <f t="shared" si="22"/>
        <v>82472.900000000009</v>
      </c>
      <c r="O73" s="89">
        <v>73373.16</v>
      </c>
      <c r="P73" s="89">
        <f t="shared" si="9"/>
        <v>8247.2900000000009</v>
      </c>
      <c r="Q73" s="651">
        <v>54093.72</v>
      </c>
      <c r="R73" s="650">
        <v>267180</v>
      </c>
      <c r="S73" s="89">
        <v>78240.53</v>
      </c>
      <c r="T73" s="89">
        <f t="shared" si="23"/>
        <v>82558.62</v>
      </c>
      <c r="U73" s="89">
        <v>42509.31</v>
      </c>
      <c r="V73" s="89">
        <f t="shared" si="10"/>
        <v>8255.8619999999992</v>
      </c>
      <c r="W73" s="347">
        <v>2643.79</v>
      </c>
      <c r="X73" s="256">
        <v>0.35780000000000001</v>
      </c>
      <c r="Y73" s="256">
        <v>0.309</v>
      </c>
      <c r="Z73" s="648">
        <v>0.3286</v>
      </c>
      <c r="AA73" s="89">
        <f t="shared" si="41"/>
        <v>497680</v>
      </c>
      <c r="AB73" s="89">
        <f t="shared" si="42"/>
        <v>78240.53</v>
      </c>
      <c r="AC73" s="257">
        <f t="shared" si="43"/>
        <v>0.3286</v>
      </c>
      <c r="AD73" s="90">
        <f t="shared" si="44"/>
        <v>163537.64800000002</v>
      </c>
      <c r="AE73" s="89">
        <f t="shared" si="45"/>
        <v>115882.47</v>
      </c>
      <c r="AF73" s="89">
        <f t="shared" si="46"/>
        <v>56737.51</v>
      </c>
      <c r="AG73" s="270">
        <f t="shared" si="17"/>
        <v>7.8605258398971225</v>
      </c>
      <c r="AH73" s="271">
        <f t="shared" si="18"/>
        <v>42.515887228609273</v>
      </c>
      <c r="AI73" s="240">
        <f t="shared" si="19"/>
        <v>50.376413068506395</v>
      </c>
      <c r="AJ73" s="316">
        <v>45.211471971808365</v>
      </c>
      <c r="AK73" s="672">
        <f t="shared" si="24"/>
        <v>5.1649410966980298</v>
      </c>
      <c r="AL73">
        <f t="shared" si="49"/>
        <v>61</v>
      </c>
      <c r="AM73" s="821"/>
      <c r="AN73" s="103">
        <v>4</v>
      </c>
      <c r="AO73" s="103" t="s">
        <v>132</v>
      </c>
      <c r="AP73" s="103" t="s">
        <v>272</v>
      </c>
      <c r="AQ73" s="361">
        <v>1351355000.8399997</v>
      </c>
      <c r="AR73" s="104">
        <v>1311454274.9200001</v>
      </c>
      <c r="AS73" s="104">
        <v>271060080</v>
      </c>
      <c r="AT73" s="104">
        <v>46029739.659999996</v>
      </c>
      <c r="AU73" s="104">
        <v>27106008</v>
      </c>
      <c r="AV73" s="105">
        <v>10898749.16</v>
      </c>
    </row>
    <row r="74" spans="1:48" x14ac:dyDescent="0.2">
      <c r="A74" s="6">
        <v>63</v>
      </c>
      <c r="B74" s="199">
        <v>61109</v>
      </c>
      <c r="C74" s="680" t="s">
        <v>165</v>
      </c>
      <c r="D74" s="173" t="s">
        <v>136</v>
      </c>
      <c r="E74" s="173" t="s">
        <v>136</v>
      </c>
      <c r="F74" s="174" t="s">
        <v>113</v>
      </c>
      <c r="G74" s="179" t="s">
        <v>4</v>
      </c>
      <c r="H74" s="179" t="s">
        <v>294</v>
      </c>
      <c r="I74" s="182" t="s">
        <v>42</v>
      </c>
      <c r="J74" s="181" t="s">
        <v>136</v>
      </c>
      <c r="K74" s="200" t="b">
        <v>0</v>
      </c>
      <c r="L74" s="650">
        <v>157500</v>
      </c>
      <c r="M74" s="89">
        <v>0</v>
      </c>
      <c r="N74" s="89">
        <f t="shared" si="22"/>
        <v>35736.75</v>
      </c>
      <c r="O74" s="89">
        <v>32418.78</v>
      </c>
      <c r="P74" s="89">
        <f t="shared" si="9"/>
        <v>3573.6750000000002</v>
      </c>
      <c r="Q74" s="651">
        <v>27133.439999999999</v>
      </c>
      <c r="R74" s="650">
        <v>170000</v>
      </c>
      <c r="S74" s="89">
        <v>2641.18</v>
      </c>
      <c r="T74" s="89">
        <f t="shared" si="23"/>
        <v>52428</v>
      </c>
      <c r="U74" s="89">
        <v>2510.9699999999998</v>
      </c>
      <c r="V74" s="89">
        <f t="shared" si="10"/>
        <v>5242.8</v>
      </c>
      <c r="W74" s="347">
        <v>582.07000000000005</v>
      </c>
      <c r="X74" s="256">
        <v>0.22689999999999999</v>
      </c>
      <c r="Y74" s="256">
        <v>0.30840000000000001</v>
      </c>
      <c r="Z74" s="648">
        <v>0.2747</v>
      </c>
      <c r="AA74" s="89">
        <f t="shared" si="41"/>
        <v>327500</v>
      </c>
      <c r="AB74" s="89">
        <f t="shared" si="42"/>
        <v>2641.18</v>
      </c>
      <c r="AC74" s="257">
        <f t="shared" si="43"/>
        <v>0.2747</v>
      </c>
      <c r="AD74" s="90">
        <f t="shared" si="44"/>
        <v>89964.25</v>
      </c>
      <c r="AE74" s="89">
        <f t="shared" si="45"/>
        <v>34929.75</v>
      </c>
      <c r="AF74" s="89">
        <f t="shared" si="46"/>
        <v>27715.51</v>
      </c>
      <c r="AG74" s="270">
        <f t="shared" si="17"/>
        <v>0.40323358778625951</v>
      </c>
      <c r="AH74" s="271">
        <f t="shared" si="18"/>
        <v>23.295753591009763</v>
      </c>
      <c r="AI74" s="240">
        <f t="shared" si="19"/>
        <v>23.698987178796024</v>
      </c>
      <c r="AJ74" s="316">
        <v>38.217898926810442</v>
      </c>
      <c r="AK74" s="672">
        <f t="shared" si="24"/>
        <v>-14.518911748014418</v>
      </c>
      <c r="AL74">
        <f t="shared" si="49"/>
        <v>62</v>
      </c>
      <c r="AM74" s="821"/>
      <c r="AN74" s="40">
        <v>5</v>
      </c>
      <c r="AO74" s="40" t="s">
        <v>126</v>
      </c>
      <c r="AP74" s="40" t="s">
        <v>273</v>
      </c>
      <c r="AQ74" s="361">
        <v>227851272.59999999</v>
      </c>
      <c r="AR74" s="122">
        <v>38237857.780000001</v>
      </c>
      <c r="AS74" s="122">
        <v>20615028</v>
      </c>
      <c r="AT74" s="122">
        <v>0</v>
      </c>
      <c r="AU74" s="122">
        <v>2061504</v>
      </c>
      <c r="AV74" s="167">
        <v>0</v>
      </c>
    </row>
    <row r="75" spans="1:48" x14ac:dyDescent="0.2">
      <c r="A75" s="6">
        <v>64</v>
      </c>
      <c r="B75" s="199">
        <v>60421</v>
      </c>
      <c r="C75" s="680" t="s">
        <v>166</v>
      </c>
      <c r="D75" s="173" t="s">
        <v>136</v>
      </c>
      <c r="E75" s="173" t="s">
        <v>136</v>
      </c>
      <c r="F75" s="174" t="s">
        <v>113</v>
      </c>
      <c r="G75" s="179" t="s">
        <v>4</v>
      </c>
      <c r="H75" s="179" t="s">
        <v>294</v>
      </c>
      <c r="I75" s="182" t="s">
        <v>10</v>
      </c>
      <c r="J75" s="181" t="s">
        <v>136</v>
      </c>
      <c r="K75" s="200" t="b">
        <v>0</v>
      </c>
      <c r="L75" s="650">
        <v>579000</v>
      </c>
      <c r="M75" s="89">
        <v>8110</v>
      </c>
      <c r="N75" s="89">
        <f t="shared" si="22"/>
        <v>26691.9</v>
      </c>
      <c r="O75" s="89">
        <v>16803.18</v>
      </c>
      <c r="P75" s="89">
        <f t="shared" si="9"/>
        <v>2669.1900000000005</v>
      </c>
      <c r="Q75" s="651">
        <v>19104.78</v>
      </c>
      <c r="R75" s="650">
        <v>623439.85</v>
      </c>
      <c r="S75" s="89">
        <v>555574.49</v>
      </c>
      <c r="T75" s="89">
        <f t="shared" si="23"/>
        <v>248440.78022499999</v>
      </c>
      <c r="U75" s="89">
        <v>257002.39</v>
      </c>
      <c r="V75" s="89">
        <f t="shared" si="10"/>
        <v>24844.078022500002</v>
      </c>
      <c r="W75" s="347">
        <v>74621.850000000006</v>
      </c>
      <c r="X75" s="256">
        <v>4.6100000000000002E-2</v>
      </c>
      <c r="Y75" s="256">
        <v>0.39850000000000002</v>
      </c>
      <c r="Z75" s="648">
        <v>0.23039999999999999</v>
      </c>
      <c r="AA75" s="89">
        <f t="shared" ref="AA75:AA106" si="50">IF(jakaKS=1,L75+R75,IF(jakaKS=2,L75,IF(jakaKS=3,R75,0)))</f>
        <v>1202439.8500000001</v>
      </c>
      <c r="AB75" s="89">
        <f t="shared" ref="AB75:AB106" si="51">IF(jakaKS=1,M75+S75,IF(jakaKS=2,M75,IF(jakaKS=3,S75,0)))+IF(uspora="A",IF(jakaKS=1,Q75+W75,IF(jakaKS=2,Q75,IF(jakaKS=3,W75,0))),0)</f>
        <v>563684.49</v>
      </c>
      <c r="AC75" s="257">
        <f t="shared" ref="AC75:AC106" si="52">IF(jakaKS=1,Z75,IF(jakaKS=2,X75,IF(jakaKS=3,Y75,0)))</f>
        <v>0.23039999999999999</v>
      </c>
      <c r="AD75" s="90">
        <f t="shared" ref="AD75:AD106" si="53">IF(jakaKS=1,AA75*Z75,IF(jakaKS=2,N75,IF(jakaKS=3,T75,0)))</f>
        <v>277042.14144000004</v>
      </c>
      <c r="AE75" s="89">
        <f t="shared" ref="AE75:AE106" si="54">IF(jakaKS=1,O75+U75,IF(jakaKS=2,O75,IF(jakaKS=3,U75,0)))+IF(uspora="A",IF(jakaKS=1,Q75+W75,IF(jakaKS=2,Q75,IF(jakaKS=3,W75,0))),0)</f>
        <v>273805.57</v>
      </c>
      <c r="AF75" s="89">
        <f t="shared" ref="AF75:AF106" si="55">IF(jakaKS=1,Q75+W75,IF(jakaKS=2,Q75,IF(jakaKS=3,W75,0)))</f>
        <v>93726.63</v>
      </c>
      <c r="AG75" s="270">
        <f t="shared" ref="AG75:AG138" si="56">IF((AB75/(AA75*$O$6)*vahaE)&gt;vahaE,vahaE,AB75/(AA75*$O$6)*vahaE)</f>
        <v>23.439196979374891</v>
      </c>
      <c r="AH75" s="271">
        <f t="shared" ref="AH75:AH138" si="57">IF((AE75/AD75*vahaD)&gt;vahaD,vahaD,AE75/AD75*vahaD)</f>
        <v>59.299044234243119</v>
      </c>
      <c r="AI75" s="240">
        <f t="shared" ref="AI75:AI138" si="58">IF((AB75/(AA75*$O$6)*vahaE)&gt;vahaE,vahaE,AB75/(AA75*$O$6)*vahaE)+IF((AE75/AD75*vahaD)&gt;vahaD,vahaD,AE75/AD75*vahaD)</f>
        <v>82.738241213618011</v>
      </c>
      <c r="AJ75" s="316">
        <v>80.695534568491752</v>
      </c>
      <c r="AK75" s="672">
        <f t="shared" si="24"/>
        <v>2.042706645126259</v>
      </c>
      <c r="AL75">
        <f t="shared" si="49"/>
        <v>63</v>
      </c>
      <c r="AM75" s="821"/>
      <c r="AN75" s="108">
        <v>11</v>
      </c>
      <c r="AO75" s="108" t="s">
        <v>129</v>
      </c>
      <c r="AP75" s="108" t="s">
        <v>274</v>
      </c>
      <c r="AQ75" s="361">
        <v>122196146.13</v>
      </c>
      <c r="AR75" s="109">
        <v>172236689.91</v>
      </c>
      <c r="AS75" s="109">
        <v>83056980</v>
      </c>
      <c r="AT75" s="109">
        <v>4599082.3600000003</v>
      </c>
      <c r="AU75" s="109">
        <v>8305704</v>
      </c>
      <c r="AV75" s="110">
        <v>1160084.3600000001</v>
      </c>
    </row>
    <row r="76" spans="1:48" x14ac:dyDescent="0.2">
      <c r="A76" s="6">
        <v>65</v>
      </c>
      <c r="B76" s="199">
        <v>60422</v>
      </c>
      <c r="C76" s="680" t="s">
        <v>167</v>
      </c>
      <c r="D76" s="173" t="s">
        <v>136</v>
      </c>
      <c r="E76" s="173" t="s">
        <v>136</v>
      </c>
      <c r="F76" s="174" t="s">
        <v>113</v>
      </c>
      <c r="G76" s="179" t="s">
        <v>4</v>
      </c>
      <c r="H76" s="179" t="s">
        <v>294</v>
      </c>
      <c r="I76" s="182" t="s">
        <v>10</v>
      </c>
      <c r="J76" s="181" t="s">
        <v>136</v>
      </c>
      <c r="K76" s="200" t="b">
        <v>0</v>
      </c>
      <c r="L76" s="650">
        <v>600000</v>
      </c>
      <c r="M76" s="89">
        <v>1675.26</v>
      </c>
      <c r="N76" s="89">
        <f t="shared" si="22"/>
        <v>112920</v>
      </c>
      <c r="O76" s="89">
        <v>117389.75999999999</v>
      </c>
      <c r="P76" s="89">
        <f t="shared" ref="P76:P139" si="59">N76*planUspor</f>
        <v>11292</v>
      </c>
      <c r="Q76" s="651">
        <v>86137.02</v>
      </c>
      <c r="R76" s="650">
        <v>940000</v>
      </c>
      <c r="S76" s="89">
        <v>467036.32</v>
      </c>
      <c r="T76" s="89">
        <f t="shared" si="23"/>
        <v>415198</v>
      </c>
      <c r="U76" s="89">
        <v>438371.71</v>
      </c>
      <c r="V76" s="89">
        <f t="shared" ref="V76:V139" si="60">T76*planUspor</f>
        <v>41519.800000000003</v>
      </c>
      <c r="W76" s="347">
        <v>89434.43</v>
      </c>
      <c r="X76" s="256">
        <v>0.18820000000000001</v>
      </c>
      <c r="Y76" s="256">
        <v>0.44169999999999998</v>
      </c>
      <c r="Z76" s="648">
        <v>0.35039999999999999</v>
      </c>
      <c r="AA76" s="89">
        <f t="shared" si="50"/>
        <v>1540000</v>
      </c>
      <c r="AB76" s="89">
        <f t="shared" si="51"/>
        <v>468711.58</v>
      </c>
      <c r="AC76" s="257">
        <f t="shared" si="52"/>
        <v>0.35039999999999999</v>
      </c>
      <c r="AD76" s="90">
        <f t="shared" si="53"/>
        <v>539616</v>
      </c>
      <c r="AE76" s="89">
        <f t="shared" si="54"/>
        <v>555761.47</v>
      </c>
      <c r="AF76" s="89">
        <f t="shared" si="55"/>
        <v>175571.45</v>
      </c>
      <c r="AG76" s="270">
        <f t="shared" si="56"/>
        <v>15.217908441558443</v>
      </c>
      <c r="AH76" s="271">
        <f t="shared" si="57"/>
        <v>60</v>
      </c>
      <c r="AI76" s="240">
        <f t="shared" si="58"/>
        <v>75.21790844155845</v>
      </c>
      <c r="AJ76" s="316">
        <v>39.541375986166642</v>
      </c>
      <c r="AK76" s="672">
        <f t="shared" ref="AK76:AK139" si="61">AI76-AJ76</f>
        <v>35.676532455391808</v>
      </c>
      <c r="AL76" t="str">
        <f t="shared" si="49"/>
        <v/>
      </c>
      <c r="AM76" s="821"/>
      <c r="AN76" s="108">
        <v>12</v>
      </c>
      <c r="AO76" s="108" t="s">
        <v>130</v>
      </c>
      <c r="AP76" s="108" t="s">
        <v>275</v>
      </c>
      <c r="AQ76" s="361">
        <v>182420428.81999996</v>
      </c>
      <c r="AR76" s="109">
        <v>160936370.72</v>
      </c>
      <c r="AS76" s="109">
        <v>90831036</v>
      </c>
      <c r="AT76" s="109">
        <v>6137630.2000000002</v>
      </c>
      <c r="AU76" s="109">
        <v>9083100</v>
      </c>
      <c r="AV76" s="110">
        <v>1972430.06</v>
      </c>
    </row>
    <row r="77" spans="1:48" x14ac:dyDescent="0.2">
      <c r="A77" s="6">
        <v>66</v>
      </c>
      <c r="B77" s="199">
        <v>60423</v>
      </c>
      <c r="C77" s="680" t="s">
        <v>168</v>
      </c>
      <c r="D77" s="173" t="s">
        <v>136</v>
      </c>
      <c r="E77" s="173" t="s">
        <v>136</v>
      </c>
      <c r="F77" s="174" t="s">
        <v>113</v>
      </c>
      <c r="G77" s="179" t="s">
        <v>4</v>
      </c>
      <c r="H77" s="179" t="s">
        <v>294</v>
      </c>
      <c r="I77" s="182" t="s">
        <v>10</v>
      </c>
      <c r="J77" s="181" t="s">
        <v>136</v>
      </c>
      <c r="K77" s="200" t="b">
        <v>0</v>
      </c>
      <c r="L77" s="650">
        <v>736500</v>
      </c>
      <c r="M77" s="89">
        <v>366627.01</v>
      </c>
      <c r="N77" s="89">
        <f t="shared" ref="N77:N140" si="62">L77*X77</f>
        <v>26587.65</v>
      </c>
      <c r="O77" s="89">
        <v>21734.880000000001</v>
      </c>
      <c r="P77" s="89">
        <f t="shared" si="59"/>
        <v>2658.7650000000003</v>
      </c>
      <c r="Q77" s="651">
        <v>19178.099999999999</v>
      </c>
      <c r="R77" s="650">
        <v>952500</v>
      </c>
      <c r="S77" s="89">
        <v>492700.04</v>
      </c>
      <c r="T77" s="89">
        <f t="shared" ref="T77:T140" si="63">R77*Y77</f>
        <v>366712.5</v>
      </c>
      <c r="U77" s="89">
        <v>492373.44</v>
      </c>
      <c r="V77" s="89">
        <f t="shared" si="60"/>
        <v>36671.25</v>
      </c>
      <c r="W77" s="347">
        <v>88716.47</v>
      </c>
      <c r="X77" s="256">
        <v>3.61E-2</v>
      </c>
      <c r="Y77" s="256">
        <v>0.38500000000000001</v>
      </c>
      <c r="Z77" s="648">
        <v>0.24890000000000001</v>
      </c>
      <c r="AA77" s="89">
        <f t="shared" si="50"/>
        <v>1689000</v>
      </c>
      <c r="AB77" s="89">
        <f t="shared" si="51"/>
        <v>859327.05</v>
      </c>
      <c r="AC77" s="257">
        <f t="shared" si="52"/>
        <v>0.24890000000000001</v>
      </c>
      <c r="AD77" s="90">
        <f t="shared" si="53"/>
        <v>420392.10000000003</v>
      </c>
      <c r="AE77" s="89">
        <f t="shared" si="54"/>
        <v>514108.32</v>
      </c>
      <c r="AF77" s="89">
        <f t="shared" si="55"/>
        <v>107894.57</v>
      </c>
      <c r="AG77" s="270">
        <f t="shared" si="56"/>
        <v>25.438929840142098</v>
      </c>
      <c r="AH77" s="271">
        <f t="shared" si="57"/>
        <v>60</v>
      </c>
      <c r="AI77" s="240">
        <f t="shared" si="58"/>
        <v>85.438929840142094</v>
      </c>
      <c r="AJ77" s="316">
        <v>51.010115984605271</v>
      </c>
      <c r="AK77" s="672">
        <f t="shared" si="61"/>
        <v>34.428813855536823</v>
      </c>
      <c r="AL77" t="str">
        <f t="shared" si="49"/>
        <v/>
      </c>
      <c r="AM77" s="821"/>
      <c r="AN77" s="108">
        <v>13</v>
      </c>
      <c r="AO77" s="108" t="s">
        <v>127</v>
      </c>
      <c r="AP77" s="108" t="s">
        <v>276</v>
      </c>
      <c r="AQ77" s="361">
        <v>706043988.63</v>
      </c>
      <c r="AR77" s="109">
        <v>367185031.41000003</v>
      </c>
      <c r="AS77" s="109">
        <v>240625896</v>
      </c>
      <c r="AT77" s="361">
        <f>62781849.41+541842</f>
        <v>63323691.409999996</v>
      </c>
      <c r="AU77" s="109">
        <v>24062592</v>
      </c>
      <c r="AV77" s="110">
        <v>10388877.85</v>
      </c>
    </row>
    <row r="78" spans="1:48" x14ac:dyDescent="0.2">
      <c r="A78" s="6">
        <v>67</v>
      </c>
      <c r="B78" s="199">
        <v>60424</v>
      </c>
      <c r="C78" s="680" t="s">
        <v>169</v>
      </c>
      <c r="D78" s="173" t="s">
        <v>136</v>
      </c>
      <c r="E78" s="173" t="s">
        <v>136</v>
      </c>
      <c r="F78" s="174" t="s">
        <v>113</v>
      </c>
      <c r="G78" s="179" t="s">
        <v>4</v>
      </c>
      <c r="H78" s="179" t="s">
        <v>294</v>
      </c>
      <c r="I78" s="182" t="s">
        <v>10</v>
      </c>
      <c r="J78" s="181" t="s">
        <v>136</v>
      </c>
      <c r="K78" s="200" t="b">
        <v>0</v>
      </c>
      <c r="L78" s="650">
        <v>932500</v>
      </c>
      <c r="M78" s="89">
        <v>1041518.7</v>
      </c>
      <c r="N78" s="89">
        <f t="shared" si="62"/>
        <v>14360.5</v>
      </c>
      <c r="O78" s="89">
        <v>13546.68</v>
      </c>
      <c r="P78" s="89">
        <f t="shared" si="59"/>
        <v>1436.0500000000002</v>
      </c>
      <c r="Q78" s="651">
        <v>15886.08</v>
      </c>
      <c r="R78" s="650">
        <v>489500</v>
      </c>
      <c r="S78" s="89">
        <v>646218.77</v>
      </c>
      <c r="T78" s="89">
        <f t="shared" si="63"/>
        <v>189240.7</v>
      </c>
      <c r="U78" s="89">
        <v>171926.14</v>
      </c>
      <c r="V78" s="89">
        <f t="shared" si="60"/>
        <v>18924.070000000003</v>
      </c>
      <c r="W78" s="347">
        <v>31702.27</v>
      </c>
      <c r="X78" s="256">
        <v>1.54E-2</v>
      </c>
      <c r="Y78" s="256">
        <v>0.3866</v>
      </c>
      <c r="Z78" s="648">
        <v>0.14960000000000001</v>
      </c>
      <c r="AA78" s="89">
        <f t="shared" si="50"/>
        <v>1422000</v>
      </c>
      <c r="AB78" s="89">
        <f t="shared" si="51"/>
        <v>1687737.47</v>
      </c>
      <c r="AC78" s="257">
        <f t="shared" si="52"/>
        <v>0.14960000000000001</v>
      </c>
      <c r="AD78" s="90">
        <f t="shared" si="53"/>
        <v>212731.2</v>
      </c>
      <c r="AE78" s="89">
        <f t="shared" si="54"/>
        <v>185472.82</v>
      </c>
      <c r="AF78" s="89">
        <f t="shared" si="55"/>
        <v>47588.35</v>
      </c>
      <c r="AG78" s="270">
        <f t="shared" si="56"/>
        <v>40</v>
      </c>
      <c r="AH78" s="271">
        <f t="shared" si="57"/>
        <v>52.311880908865277</v>
      </c>
      <c r="AI78" s="240">
        <f t="shared" si="58"/>
        <v>92.311880908865277</v>
      </c>
      <c r="AJ78" s="316">
        <v>31.804881117985254</v>
      </c>
      <c r="AK78" s="672">
        <f t="shared" si="61"/>
        <v>60.506999790880023</v>
      </c>
      <c r="AL78" t="str">
        <f t="shared" si="49"/>
        <v/>
      </c>
      <c r="AM78" s="821"/>
      <c r="AN78" s="108">
        <v>14</v>
      </c>
      <c r="AO78" s="108" t="s">
        <v>128</v>
      </c>
      <c r="AP78" s="108" t="s">
        <v>277</v>
      </c>
      <c r="AQ78" s="361">
        <v>198115498.8900001</v>
      </c>
      <c r="AR78" s="109">
        <v>118735526.41</v>
      </c>
      <c r="AS78" s="109">
        <v>132727032</v>
      </c>
      <c r="AT78" s="109">
        <v>85072868.980000004</v>
      </c>
      <c r="AU78" s="109">
        <v>13272708</v>
      </c>
      <c r="AV78" s="110">
        <v>22009744.27</v>
      </c>
    </row>
    <row r="79" spans="1:48" x14ac:dyDescent="0.2">
      <c r="A79" s="6">
        <v>68</v>
      </c>
      <c r="B79" s="199">
        <v>60425</v>
      </c>
      <c r="C79" s="680" t="s">
        <v>170</v>
      </c>
      <c r="D79" s="173" t="s">
        <v>136</v>
      </c>
      <c r="E79" s="173" t="s">
        <v>136</v>
      </c>
      <c r="F79" s="174" t="s">
        <v>113</v>
      </c>
      <c r="G79" s="179" t="s">
        <v>4</v>
      </c>
      <c r="H79" s="179" t="s">
        <v>294</v>
      </c>
      <c r="I79" s="182" t="s">
        <v>10</v>
      </c>
      <c r="J79" s="181" t="s">
        <v>136</v>
      </c>
      <c r="K79" s="200" t="b">
        <v>0</v>
      </c>
      <c r="L79" s="650">
        <v>749500</v>
      </c>
      <c r="M79" s="89">
        <v>0</v>
      </c>
      <c r="N79" s="89">
        <f t="shared" si="62"/>
        <v>32678.2</v>
      </c>
      <c r="O79" s="89">
        <v>20388.54</v>
      </c>
      <c r="P79" s="89">
        <f t="shared" si="59"/>
        <v>3267.82</v>
      </c>
      <c r="Q79" s="651">
        <v>19977</v>
      </c>
      <c r="R79" s="650">
        <v>981500</v>
      </c>
      <c r="S79" s="89">
        <v>405980.73</v>
      </c>
      <c r="T79" s="89">
        <f t="shared" si="63"/>
        <v>413604.1</v>
      </c>
      <c r="U79" s="89">
        <v>372454.75</v>
      </c>
      <c r="V79" s="89">
        <f t="shared" si="60"/>
        <v>41360.410000000003</v>
      </c>
      <c r="W79" s="347">
        <v>72854.86</v>
      </c>
      <c r="X79" s="256">
        <v>4.36E-2</v>
      </c>
      <c r="Y79" s="256">
        <v>0.4214</v>
      </c>
      <c r="Z79" s="648">
        <v>0.27629999999999999</v>
      </c>
      <c r="AA79" s="89">
        <f t="shared" si="50"/>
        <v>1731000</v>
      </c>
      <c r="AB79" s="89">
        <f t="shared" si="51"/>
        <v>405980.73</v>
      </c>
      <c r="AC79" s="257">
        <f t="shared" si="52"/>
        <v>0.27629999999999999</v>
      </c>
      <c r="AD79" s="90">
        <f t="shared" si="53"/>
        <v>478275.3</v>
      </c>
      <c r="AE79" s="89">
        <f t="shared" si="54"/>
        <v>392843.29</v>
      </c>
      <c r="AF79" s="89">
        <f t="shared" si="55"/>
        <v>92831.86</v>
      </c>
      <c r="AG79" s="270">
        <f t="shared" si="56"/>
        <v>11.72676863084922</v>
      </c>
      <c r="AH79" s="271">
        <f t="shared" si="57"/>
        <v>49.282489394706353</v>
      </c>
      <c r="AI79" s="240">
        <f t="shared" si="58"/>
        <v>61.009258025555575</v>
      </c>
      <c r="AJ79" s="316">
        <v>100</v>
      </c>
      <c r="AK79" s="672">
        <f t="shared" si="61"/>
        <v>-38.990741974444425</v>
      </c>
      <c r="AL79" t="str">
        <f t="shared" si="49"/>
        <v/>
      </c>
      <c r="AM79" s="821"/>
      <c r="AN79" s="108">
        <v>15</v>
      </c>
      <c r="AO79" s="108" t="s">
        <v>131</v>
      </c>
      <c r="AP79" s="108" t="s">
        <v>278</v>
      </c>
      <c r="AQ79" s="361">
        <v>219442532.79999992</v>
      </c>
      <c r="AR79" s="109">
        <v>223361533.21000001</v>
      </c>
      <c r="AS79" s="109">
        <v>76544664</v>
      </c>
      <c r="AT79" s="109">
        <v>219508307.16999999</v>
      </c>
      <c r="AU79" s="109">
        <v>7654464</v>
      </c>
      <c r="AV79" s="110">
        <v>3156792.08</v>
      </c>
    </row>
    <row r="80" spans="1:48" x14ac:dyDescent="0.2">
      <c r="A80" s="6">
        <v>69</v>
      </c>
      <c r="B80" s="199">
        <v>60426</v>
      </c>
      <c r="C80" s="680" t="s">
        <v>171</v>
      </c>
      <c r="D80" s="173" t="s">
        <v>136</v>
      </c>
      <c r="E80" s="173" t="s">
        <v>136</v>
      </c>
      <c r="F80" s="174" t="s">
        <v>113</v>
      </c>
      <c r="G80" s="179" t="s">
        <v>4</v>
      </c>
      <c r="H80" s="179" t="s">
        <v>294</v>
      </c>
      <c r="I80" s="180" t="s">
        <v>10</v>
      </c>
      <c r="J80" s="181" t="s">
        <v>136</v>
      </c>
      <c r="K80" s="200" t="b">
        <v>0</v>
      </c>
      <c r="L80" s="650">
        <v>668500</v>
      </c>
      <c r="M80" s="89">
        <v>0</v>
      </c>
      <c r="N80" s="89">
        <f t="shared" si="62"/>
        <v>31018.399999999998</v>
      </c>
      <c r="O80" s="89">
        <v>18876.419999999998</v>
      </c>
      <c r="P80" s="89">
        <f t="shared" si="59"/>
        <v>3101.84</v>
      </c>
      <c r="Q80" s="651">
        <v>21653.759999999998</v>
      </c>
      <c r="R80" s="650">
        <v>1004500</v>
      </c>
      <c r="S80" s="89">
        <v>465796.25</v>
      </c>
      <c r="T80" s="89">
        <f t="shared" si="63"/>
        <v>351675.45</v>
      </c>
      <c r="U80" s="89">
        <v>141562.34</v>
      </c>
      <c r="V80" s="89">
        <f t="shared" si="60"/>
        <v>35167.545000000006</v>
      </c>
      <c r="W80" s="347">
        <v>20692.46</v>
      </c>
      <c r="X80" s="256">
        <v>4.6399999999999997E-2</v>
      </c>
      <c r="Y80" s="256">
        <v>0.35010000000000002</v>
      </c>
      <c r="Z80" s="648">
        <v>0.23119999999999999</v>
      </c>
      <c r="AA80" s="89">
        <f t="shared" si="50"/>
        <v>1673000</v>
      </c>
      <c r="AB80" s="89">
        <f t="shared" si="51"/>
        <v>465796.25</v>
      </c>
      <c r="AC80" s="257">
        <f t="shared" si="52"/>
        <v>0.23119999999999999</v>
      </c>
      <c r="AD80" s="90">
        <f t="shared" si="53"/>
        <v>386797.6</v>
      </c>
      <c r="AE80" s="89">
        <f t="shared" si="54"/>
        <v>160438.76</v>
      </c>
      <c r="AF80" s="89">
        <f t="shared" si="55"/>
        <v>42346.22</v>
      </c>
      <c r="AG80" s="270">
        <f t="shared" si="56"/>
        <v>13.92098774656306</v>
      </c>
      <c r="AH80" s="271">
        <f t="shared" si="57"/>
        <v>24.887242320014398</v>
      </c>
      <c r="AI80" s="240">
        <f t="shared" si="58"/>
        <v>38.808230066577458</v>
      </c>
      <c r="AJ80" s="316">
        <v>70.498590273169427</v>
      </c>
      <c r="AK80" s="672">
        <f t="shared" si="61"/>
        <v>-31.690360206591969</v>
      </c>
      <c r="AL80">
        <f t="shared" si="49"/>
        <v>68</v>
      </c>
      <c r="AM80" s="821"/>
      <c r="AN80" s="103">
        <v>19</v>
      </c>
      <c r="AO80" s="103" t="s">
        <v>133</v>
      </c>
      <c r="AP80" s="103" t="s">
        <v>279</v>
      </c>
      <c r="AQ80" s="361">
        <v>338980085</v>
      </c>
      <c r="AR80" s="104">
        <v>267671394.75999999</v>
      </c>
      <c r="AS80" s="104">
        <v>1262268</v>
      </c>
      <c r="AT80" s="104">
        <v>0</v>
      </c>
      <c r="AU80" s="104">
        <v>126228</v>
      </c>
      <c r="AV80" s="105">
        <v>0</v>
      </c>
    </row>
    <row r="81" spans="1:48" x14ac:dyDescent="0.2">
      <c r="A81" s="6">
        <v>70</v>
      </c>
      <c r="B81" s="199">
        <v>60427</v>
      </c>
      <c r="C81" s="680" t="s">
        <v>172</v>
      </c>
      <c r="D81" s="173" t="s">
        <v>136</v>
      </c>
      <c r="E81" s="173" t="s">
        <v>136</v>
      </c>
      <c r="F81" s="174" t="s">
        <v>113</v>
      </c>
      <c r="G81" s="179" t="s">
        <v>4</v>
      </c>
      <c r="H81" s="179" t="s">
        <v>294</v>
      </c>
      <c r="I81" s="180" t="s">
        <v>10</v>
      </c>
      <c r="J81" s="181" t="s">
        <v>136</v>
      </c>
      <c r="K81" s="200" t="b">
        <v>0</v>
      </c>
      <c r="L81" s="650">
        <v>410195</v>
      </c>
      <c r="M81" s="89">
        <v>271467.87</v>
      </c>
      <c r="N81" s="89">
        <f t="shared" si="62"/>
        <v>16325.761</v>
      </c>
      <c r="O81" s="89">
        <v>11102.76</v>
      </c>
      <c r="P81" s="89">
        <f t="shared" si="59"/>
        <v>1632.5761000000002</v>
      </c>
      <c r="Q81" s="651">
        <v>8719.32</v>
      </c>
      <c r="R81" s="650">
        <v>561000</v>
      </c>
      <c r="S81" s="89">
        <v>438482.89</v>
      </c>
      <c r="T81" s="89">
        <f t="shared" si="63"/>
        <v>200613.59999999998</v>
      </c>
      <c r="U81" s="89">
        <v>185555.47</v>
      </c>
      <c r="V81" s="89">
        <f t="shared" si="60"/>
        <v>20061.36</v>
      </c>
      <c r="W81" s="347">
        <v>40629.199999999997</v>
      </c>
      <c r="X81" s="256">
        <v>3.9800000000000002E-2</v>
      </c>
      <c r="Y81" s="256">
        <v>0.35759999999999997</v>
      </c>
      <c r="Z81" s="648">
        <v>0.25240000000000001</v>
      </c>
      <c r="AA81" s="89">
        <f t="shared" si="50"/>
        <v>971195</v>
      </c>
      <c r="AB81" s="89">
        <f t="shared" si="51"/>
        <v>709950.76</v>
      </c>
      <c r="AC81" s="257">
        <f t="shared" si="52"/>
        <v>0.25240000000000001</v>
      </c>
      <c r="AD81" s="90">
        <f t="shared" si="53"/>
        <v>245129.61800000002</v>
      </c>
      <c r="AE81" s="89">
        <f t="shared" si="54"/>
        <v>196658.23</v>
      </c>
      <c r="AF81" s="89">
        <f t="shared" si="55"/>
        <v>49348.52</v>
      </c>
      <c r="AG81" s="270">
        <f t="shared" si="56"/>
        <v>36.550371449605898</v>
      </c>
      <c r="AH81" s="271">
        <f t="shared" si="57"/>
        <v>48.135732826867127</v>
      </c>
      <c r="AI81" s="240">
        <f t="shared" si="58"/>
        <v>84.686104276473031</v>
      </c>
      <c r="AJ81" s="316">
        <v>81.263050581595621</v>
      </c>
      <c r="AK81" s="672">
        <f t="shared" si="61"/>
        <v>3.4230536948774102</v>
      </c>
      <c r="AL81">
        <f t="shared" si="49"/>
        <v>69</v>
      </c>
      <c r="AM81" s="822"/>
      <c r="AN81" s="111">
        <v>20</v>
      </c>
      <c r="AO81" s="111" t="s">
        <v>134</v>
      </c>
      <c r="AP81" s="111" t="s">
        <v>280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3">
        <v>0</v>
      </c>
    </row>
    <row r="82" spans="1:48" ht="11.25" customHeight="1" x14ac:dyDescent="0.2">
      <c r="A82" s="6">
        <v>71</v>
      </c>
      <c r="B82" s="199">
        <v>60428</v>
      </c>
      <c r="C82" s="680" t="s">
        <v>173</v>
      </c>
      <c r="D82" s="173" t="s">
        <v>136</v>
      </c>
      <c r="E82" s="173" t="s">
        <v>136</v>
      </c>
      <c r="F82" s="174" t="s">
        <v>113</v>
      </c>
      <c r="G82" s="179" t="s">
        <v>4</v>
      </c>
      <c r="H82" s="179" t="s">
        <v>294</v>
      </c>
      <c r="I82" s="180" t="s">
        <v>10</v>
      </c>
      <c r="J82" s="181" t="s">
        <v>136</v>
      </c>
      <c r="K82" s="200" t="b">
        <v>0</v>
      </c>
      <c r="L82" s="650">
        <v>502500</v>
      </c>
      <c r="M82" s="89">
        <v>501415.16</v>
      </c>
      <c r="N82" s="89">
        <f t="shared" si="62"/>
        <v>23517</v>
      </c>
      <c r="O82" s="89">
        <v>18781.080000000002</v>
      </c>
      <c r="P82" s="89">
        <f t="shared" si="59"/>
        <v>2351.7000000000003</v>
      </c>
      <c r="Q82" s="651">
        <v>25549.38</v>
      </c>
      <c r="R82" s="650">
        <v>675000</v>
      </c>
      <c r="S82" s="89">
        <v>819754.45</v>
      </c>
      <c r="T82" s="89">
        <f t="shared" si="63"/>
        <v>274185</v>
      </c>
      <c r="U82" s="89">
        <v>204480.41</v>
      </c>
      <c r="V82" s="89">
        <f t="shared" si="60"/>
        <v>27418.5</v>
      </c>
      <c r="W82" s="347">
        <v>55685.09</v>
      </c>
      <c r="X82" s="256">
        <v>4.6800000000000001E-2</v>
      </c>
      <c r="Y82" s="256">
        <v>0.40620000000000001</v>
      </c>
      <c r="Z82" s="648">
        <v>0.25750000000000001</v>
      </c>
      <c r="AA82" s="89">
        <f t="shared" si="50"/>
        <v>1177500</v>
      </c>
      <c r="AB82" s="89">
        <f t="shared" si="51"/>
        <v>1321169.6099999999</v>
      </c>
      <c r="AC82" s="257">
        <f t="shared" si="52"/>
        <v>0.25750000000000001</v>
      </c>
      <c r="AD82" s="90">
        <f t="shared" si="53"/>
        <v>303206.25</v>
      </c>
      <c r="AE82" s="89">
        <f t="shared" si="54"/>
        <v>223261.49</v>
      </c>
      <c r="AF82" s="89">
        <f t="shared" si="55"/>
        <v>81234.47</v>
      </c>
      <c r="AG82" s="270">
        <f t="shared" si="56"/>
        <v>40</v>
      </c>
      <c r="AH82" s="271">
        <f t="shared" si="57"/>
        <v>44.180122936120213</v>
      </c>
      <c r="AI82" s="240">
        <f t="shared" si="58"/>
        <v>84.180122936120213</v>
      </c>
      <c r="AJ82" s="316">
        <v>95.887905815603943</v>
      </c>
      <c r="AK82" s="672">
        <f t="shared" si="61"/>
        <v>-11.70778287948373</v>
      </c>
      <c r="AL82" t="str">
        <f t="shared" si="49"/>
        <v/>
      </c>
      <c r="AM82" s="820">
        <v>2015</v>
      </c>
      <c r="AN82" s="99">
        <v>1</v>
      </c>
      <c r="AO82" s="99" t="s">
        <v>123</v>
      </c>
      <c r="AP82" s="99" t="s">
        <v>269</v>
      </c>
      <c r="AQ82" s="101">
        <v>2270940797.3499985</v>
      </c>
      <c r="AR82" s="101">
        <v>276317968.82999998</v>
      </c>
      <c r="AS82" s="101">
        <v>140966376</v>
      </c>
      <c r="AT82" s="101">
        <v>82506109.469999999</v>
      </c>
      <c r="AU82" s="101">
        <v>14096640</v>
      </c>
      <c r="AV82" s="102">
        <v>29744181.239999998</v>
      </c>
    </row>
    <row r="83" spans="1:48" ht="11.25" customHeight="1" x14ac:dyDescent="0.2">
      <c r="A83" s="6">
        <v>72</v>
      </c>
      <c r="B83" s="199">
        <v>60429</v>
      </c>
      <c r="C83" s="680" t="s">
        <v>174</v>
      </c>
      <c r="D83" s="173" t="s">
        <v>136</v>
      </c>
      <c r="E83" s="173" t="s">
        <v>136</v>
      </c>
      <c r="F83" s="174" t="s">
        <v>113</v>
      </c>
      <c r="G83" s="179" t="s">
        <v>4</v>
      </c>
      <c r="H83" s="179" t="s">
        <v>294</v>
      </c>
      <c r="I83" s="180" t="s">
        <v>11</v>
      </c>
      <c r="J83" s="181" t="s">
        <v>136</v>
      </c>
      <c r="K83" s="200" t="b">
        <v>0</v>
      </c>
      <c r="L83" s="650">
        <v>337250</v>
      </c>
      <c r="M83" s="89">
        <v>0</v>
      </c>
      <c r="N83" s="89">
        <f t="shared" si="62"/>
        <v>83975.25</v>
      </c>
      <c r="O83" s="89">
        <v>99339.6</v>
      </c>
      <c r="P83" s="89">
        <f t="shared" si="59"/>
        <v>8397.5249999999996</v>
      </c>
      <c r="Q83" s="651">
        <v>75503.64</v>
      </c>
      <c r="R83" s="650">
        <v>605600</v>
      </c>
      <c r="S83" s="89">
        <v>15799.92</v>
      </c>
      <c r="T83" s="89">
        <f t="shared" si="63"/>
        <v>238121.91999999998</v>
      </c>
      <c r="U83" s="89">
        <v>15442.73</v>
      </c>
      <c r="V83" s="89">
        <f t="shared" si="60"/>
        <v>23812.191999999999</v>
      </c>
      <c r="W83" s="347">
        <v>4674.46</v>
      </c>
      <c r="X83" s="256">
        <v>0.249</v>
      </c>
      <c r="Y83" s="256">
        <v>0.39319999999999999</v>
      </c>
      <c r="Z83" s="648">
        <v>0.3372</v>
      </c>
      <c r="AA83" s="89">
        <f t="shared" si="50"/>
        <v>942850</v>
      </c>
      <c r="AB83" s="89">
        <f t="shared" si="51"/>
        <v>15799.92</v>
      </c>
      <c r="AC83" s="257">
        <f t="shared" si="52"/>
        <v>0.3372</v>
      </c>
      <c r="AD83" s="90">
        <f t="shared" si="53"/>
        <v>317929.02</v>
      </c>
      <c r="AE83" s="89">
        <f t="shared" si="54"/>
        <v>114782.33</v>
      </c>
      <c r="AF83" s="89">
        <f t="shared" si="55"/>
        <v>80178.100000000006</v>
      </c>
      <c r="AG83" s="270">
        <f t="shared" si="56"/>
        <v>0.83788089303706847</v>
      </c>
      <c r="AH83" s="271">
        <f t="shared" si="57"/>
        <v>21.661878490991477</v>
      </c>
      <c r="AI83" s="240">
        <f t="shared" si="58"/>
        <v>22.499759384028543</v>
      </c>
      <c r="AJ83" s="316">
        <v>49.375670593955306</v>
      </c>
      <c r="AK83" s="672">
        <f t="shared" si="61"/>
        <v>-26.875911209926763</v>
      </c>
      <c r="AL83" t="str">
        <f t="shared" si="49"/>
        <v/>
      </c>
      <c r="AM83" s="821"/>
      <c r="AN83" s="103">
        <v>2</v>
      </c>
      <c r="AO83" s="103" t="s">
        <v>124</v>
      </c>
      <c r="AP83" s="103" t="s">
        <v>270</v>
      </c>
      <c r="AQ83" s="104"/>
      <c r="AR83" s="104">
        <v>52951999.920000002</v>
      </c>
      <c r="AS83" s="104">
        <v>53405688</v>
      </c>
      <c r="AT83" s="104">
        <v>57422942.520000003</v>
      </c>
      <c r="AU83" s="104">
        <v>5340564</v>
      </c>
      <c r="AV83" s="105">
        <v>20119023.09</v>
      </c>
    </row>
    <row r="84" spans="1:48" ht="11.25" customHeight="1" x14ac:dyDescent="0.2">
      <c r="A84" s="6">
        <v>73</v>
      </c>
      <c r="B84" s="199">
        <v>60433</v>
      </c>
      <c r="C84" s="680" t="s">
        <v>175</v>
      </c>
      <c r="D84" s="173" t="s">
        <v>136</v>
      </c>
      <c r="E84" s="173" t="s">
        <v>136</v>
      </c>
      <c r="F84" s="174" t="s">
        <v>113</v>
      </c>
      <c r="G84" s="179" t="s">
        <v>4</v>
      </c>
      <c r="H84" s="179" t="s">
        <v>294</v>
      </c>
      <c r="I84" s="180" t="s">
        <v>46</v>
      </c>
      <c r="J84" s="181" t="s">
        <v>136</v>
      </c>
      <c r="K84" s="200" t="b">
        <v>0</v>
      </c>
      <c r="L84" s="650">
        <v>519000</v>
      </c>
      <c r="M84" s="89">
        <v>0</v>
      </c>
      <c r="N84" s="89">
        <f t="shared" si="62"/>
        <v>15414.300000000001</v>
      </c>
      <c r="O84" s="89">
        <v>10203.36</v>
      </c>
      <c r="P84" s="89">
        <f t="shared" si="59"/>
        <v>1541.4300000000003</v>
      </c>
      <c r="Q84" s="651">
        <v>8272.86</v>
      </c>
      <c r="R84" s="650">
        <v>256500</v>
      </c>
      <c r="S84" s="89">
        <v>2209.42</v>
      </c>
      <c r="T84" s="89">
        <f t="shared" si="63"/>
        <v>55173.15</v>
      </c>
      <c r="U84" s="89">
        <v>2209.42</v>
      </c>
      <c r="V84" s="89">
        <f t="shared" si="60"/>
        <v>5517.3150000000005</v>
      </c>
      <c r="W84" s="347">
        <v>409.88</v>
      </c>
      <c r="X84" s="256">
        <v>2.9700000000000001E-2</v>
      </c>
      <c r="Y84" s="256">
        <v>0.21510000000000001</v>
      </c>
      <c r="Z84" s="648">
        <v>0.1142</v>
      </c>
      <c r="AA84" s="89">
        <f t="shared" si="50"/>
        <v>775500</v>
      </c>
      <c r="AB84" s="89">
        <f t="shared" si="51"/>
        <v>2209.42</v>
      </c>
      <c r="AC84" s="257">
        <f t="shared" si="52"/>
        <v>0.1142</v>
      </c>
      <c r="AD84" s="90">
        <f t="shared" si="53"/>
        <v>88562.099999999991</v>
      </c>
      <c r="AE84" s="89">
        <f t="shared" si="54"/>
        <v>12412.78</v>
      </c>
      <c r="AF84" s="89">
        <f t="shared" si="55"/>
        <v>8682.74</v>
      </c>
      <c r="AG84" s="270">
        <f t="shared" si="56"/>
        <v>0.1424513217279175</v>
      </c>
      <c r="AH84" s="271">
        <f t="shared" si="57"/>
        <v>8.4095431341397742</v>
      </c>
      <c r="AI84" s="240">
        <f t="shared" si="58"/>
        <v>8.5519944558676908</v>
      </c>
      <c r="AJ84" s="316">
        <v>59.539681367872518</v>
      </c>
      <c r="AK84" s="672">
        <f t="shared" si="61"/>
        <v>-50.987686912004826</v>
      </c>
      <c r="AL84">
        <f t="shared" si="49"/>
        <v>72</v>
      </c>
      <c r="AM84" s="821"/>
      <c r="AN84" s="103">
        <v>3</v>
      </c>
      <c r="AO84" s="103" t="s">
        <v>125</v>
      </c>
      <c r="AP84" s="103" t="s">
        <v>271</v>
      </c>
      <c r="AQ84" s="104"/>
      <c r="AR84" s="104">
        <v>80560178.040000007</v>
      </c>
      <c r="AS84" s="104">
        <v>26668824</v>
      </c>
      <c r="AT84" s="104">
        <v>4280138.68</v>
      </c>
      <c r="AU84" s="104">
        <v>2666880</v>
      </c>
      <c r="AV84" s="105">
        <v>10902533.92</v>
      </c>
    </row>
    <row r="85" spans="1:48" ht="11.25" customHeight="1" x14ac:dyDescent="0.2">
      <c r="A85" s="6">
        <v>74</v>
      </c>
      <c r="B85" s="199">
        <v>60434</v>
      </c>
      <c r="C85" s="680" t="s">
        <v>176</v>
      </c>
      <c r="D85" s="173" t="s">
        <v>136</v>
      </c>
      <c r="E85" s="173" t="s">
        <v>136</v>
      </c>
      <c r="F85" s="174" t="s">
        <v>113</v>
      </c>
      <c r="G85" s="179" t="s">
        <v>4</v>
      </c>
      <c r="H85" s="179" t="s">
        <v>294</v>
      </c>
      <c r="I85" s="180" t="s">
        <v>49</v>
      </c>
      <c r="J85" s="181" t="s">
        <v>136</v>
      </c>
      <c r="K85" s="200" t="b">
        <v>0</v>
      </c>
      <c r="L85" s="650">
        <v>603000</v>
      </c>
      <c r="M85" s="89">
        <v>0</v>
      </c>
      <c r="N85" s="89">
        <f t="shared" si="62"/>
        <v>176558.4</v>
      </c>
      <c r="O85" s="89">
        <v>146243.94</v>
      </c>
      <c r="P85" s="89">
        <f t="shared" si="59"/>
        <v>17655.84</v>
      </c>
      <c r="Q85" s="651">
        <v>109686.66</v>
      </c>
      <c r="R85" s="650">
        <v>370750</v>
      </c>
      <c r="S85" s="89">
        <v>12996.13</v>
      </c>
      <c r="T85" s="89">
        <f t="shared" si="63"/>
        <v>65845.2</v>
      </c>
      <c r="U85" s="89">
        <v>12463.41</v>
      </c>
      <c r="V85" s="89">
        <f t="shared" si="60"/>
        <v>6584.52</v>
      </c>
      <c r="W85" s="347">
        <v>3097.43</v>
      </c>
      <c r="X85" s="256">
        <v>0.2928</v>
      </c>
      <c r="Y85" s="256">
        <v>0.17760000000000001</v>
      </c>
      <c r="Z85" s="648">
        <v>0.26200000000000001</v>
      </c>
      <c r="AA85" s="89">
        <f t="shared" si="50"/>
        <v>973750</v>
      </c>
      <c r="AB85" s="89">
        <f t="shared" si="51"/>
        <v>12996.13</v>
      </c>
      <c r="AC85" s="257">
        <f t="shared" si="52"/>
        <v>0.26200000000000001</v>
      </c>
      <c r="AD85" s="90">
        <f t="shared" si="53"/>
        <v>255122.5</v>
      </c>
      <c r="AE85" s="89">
        <f t="shared" si="54"/>
        <v>158707.35</v>
      </c>
      <c r="AF85" s="89">
        <f t="shared" si="55"/>
        <v>112784.09</v>
      </c>
      <c r="AG85" s="270">
        <f t="shared" si="56"/>
        <v>0.66732374839537867</v>
      </c>
      <c r="AH85" s="271">
        <f t="shared" si="57"/>
        <v>37.324975256984388</v>
      </c>
      <c r="AI85" s="240">
        <f t="shared" si="58"/>
        <v>37.992299005379763</v>
      </c>
      <c r="AJ85" s="316">
        <v>73.235669260542181</v>
      </c>
      <c r="AK85" s="672">
        <f t="shared" si="61"/>
        <v>-35.243370255162418</v>
      </c>
      <c r="AL85">
        <f t="shared" si="49"/>
        <v>73</v>
      </c>
      <c r="AM85" s="821"/>
      <c r="AN85" s="103">
        <v>4</v>
      </c>
      <c r="AO85" s="103" t="s">
        <v>132</v>
      </c>
      <c r="AP85" s="103" t="s">
        <v>272</v>
      </c>
      <c r="AQ85" s="104"/>
      <c r="AR85" s="104">
        <v>911577000.38</v>
      </c>
      <c r="AS85" s="104">
        <v>262713084</v>
      </c>
      <c r="AT85" s="104">
        <v>87725453.989999995</v>
      </c>
      <c r="AU85" s="104">
        <v>26271312</v>
      </c>
      <c r="AV85" s="105">
        <v>18401259.07</v>
      </c>
    </row>
    <row r="86" spans="1:48" ht="11.25" customHeight="1" x14ac:dyDescent="0.2">
      <c r="A86" s="6">
        <v>75</v>
      </c>
      <c r="B86" s="199">
        <v>60396</v>
      </c>
      <c r="C86" s="680" t="s">
        <v>177</v>
      </c>
      <c r="D86" s="173" t="s">
        <v>136</v>
      </c>
      <c r="E86" s="173" t="s">
        <v>136</v>
      </c>
      <c r="F86" s="174" t="s">
        <v>113</v>
      </c>
      <c r="G86" s="179" t="s">
        <v>4</v>
      </c>
      <c r="H86" s="179" t="s">
        <v>294</v>
      </c>
      <c r="I86" s="180" t="s">
        <v>8</v>
      </c>
      <c r="J86" s="181" t="s">
        <v>136</v>
      </c>
      <c r="K86" s="200" t="b">
        <v>0</v>
      </c>
      <c r="L86" s="650">
        <v>298500</v>
      </c>
      <c r="M86" s="89">
        <v>0</v>
      </c>
      <c r="N86" s="89">
        <f t="shared" si="62"/>
        <v>83878.500000000015</v>
      </c>
      <c r="O86" s="89">
        <v>70003.5</v>
      </c>
      <c r="P86" s="89">
        <f t="shared" si="59"/>
        <v>8387.8500000000022</v>
      </c>
      <c r="Q86" s="651">
        <v>55393.38</v>
      </c>
      <c r="R86" s="650">
        <v>205000</v>
      </c>
      <c r="S86" s="89">
        <v>0</v>
      </c>
      <c r="T86" s="89">
        <f t="shared" si="63"/>
        <v>29007.499999999996</v>
      </c>
      <c r="U86" s="89">
        <v>0</v>
      </c>
      <c r="V86" s="89">
        <f t="shared" si="60"/>
        <v>2900.75</v>
      </c>
      <c r="W86" s="347">
        <v>0</v>
      </c>
      <c r="X86" s="256">
        <v>0.28100000000000003</v>
      </c>
      <c r="Y86" s="256">
        <v>0.14149999999999999</v>
      </c>
      <c r="Z86" s="648">
        <v>0.24</v>
      </c>
      <c r="AA86" s="89">
        <f t="shared" si="50"/>
        <v>503500</v>
      </c>
      <c r="AB86" s="89">
        <f t="shared" si="51"/>
        <v>0</v>
      </c>
      <c r="AC86" s="257">
        <f t="shared" si="52"/>
        <v>0.24</v>
      </c>
      <c r="AD86" s="90">
        <f t="shared" si="53"/>
        <v>120840</v>
      </c>
      <c r="AE86" s="89">
        <f t="shared" si="54"/>
        <v>70003.5</v>
      </c>
      <c r="AF86" s="89">
        <f t="shared" si="55"/>
        <v>55393.38</v>
      </c>
      <c r="AG86" s="270">
        <f t="shared" si="56"/>
        <v>0</v>
      </c>
      <c r="AH86" s="271">
        <f t="shared" si="57"/>
        <v>34.758440913604773</v>
      </c>
      <c r="AI86" s="240">
        <f t="shared" si="58"/>
        <v>34.758440913604773</v>
      </c>
      <c r="AJ86" s="316">
        <v>89.19066340039987</v>
      </c>
      <c r="AK86" s="672">
        <f t="shared" si="61"/>
        <v>-54.432222486795098</v>
      </c>
      <c r="AL86">
        <f t="shared" si="49"/>
        <v>74</v>
      </c>
      <c r="AM86" s="821"/>
      <c r="AN86" s="40">
        <v>5</v>
      </c>
      <c r="AO86" s="40" t="s">
        <v>126</v>
      </c>
      <c r="AP86" s="40" t="s">
        <v>273</v>
      </c>
      <c r="AQ86" s="122"/>
      <c r="AR86" s="122">
        <v>44647722.619999997</v>
      </c>
      <c r="AS86" s="122">
        <v>21540972</v>
      </c>
      <c r="AT86" s="122">
        <v>0</v>
      </c>
      <c r="AU86" s="122">
        <v>2154096</v>
      </c>
      <c r="AV86" s="167">
        <v>0</v>
      </c>
    </row>
    <row r="87" spans="1:48" ht="11.25" customHeight="1" x14ac:dyDescent="0.2">
      <c r="A87" s="6">
        <v>76</v>
      </c>
      <c r="B87" s="199">
        <v>60419</v>
      </c>
      <c r="C87" s="680" t="s">
        <v>178</v>
      </c>
      <c r="D87" s="173" t="s">
        <v>136</v>
      </c>
      <c r="E87" s="173" t="s">
        <v>136</v>
      </c>
      <c r="F87" s="174" t="s">
        <v>113</v>
      </c>
      <c r="G87" s="179" t="s">
        <v>4</v>
      </c>
      <c r="H87" s="179" t="s">
        <v>294</v>
      </c>
      <c r="I87" s="182" t="s">
        <v>43</v>
      </c>
      <c r="J87" s="181" t="s">
        <v>136</v>
      </c>
      <c r="K87" s="200" t="b">
        <v>0</v>
      </c>
      <c r="L87" s="650">
        <v>318415.5</v>
      </c>
      <c r="M87" s="89">
        <v>0</v>
      </c>
      <c r="N87" s="89">
        <f t="shared" si="62"/>
        <v>21238.313849999999</v>
      </c>
      <c r="O87" s="89">
        <v>27120.3</v>
      </c>
      <c r="P87" s="89">
        <f t="shared" si="59"/>
        <v>2123.831385</v>
      </c>
      <c r="Q87" s="651">
        <v>23362.14</v>
      </c>
      <c r="R87" s="650">
        <v>556000</v>
      </c>
      <c r="S87" s="89">
        <v>14241.96</v>
      </c>
      <c r="T87" s="89">
        <f t="shared" si="63"/>
        <v>210501.6</v>
      </c>
      <c r="U87" s="89">
        <v>14241.96</v>
      </c>
      <c r="V87" s="89">
        <f t="shared" si="60"/>
        <v>21050.160000000003</v>
      </c>
      <c r="W87" s="347">
        <v>2731.59</v>
      </c>
      <c r="X87" s="256">
        <v>6.6699999999999995E-2</v>
      </c>
      <c r="Y87" s="256">
        <v>0.37859999999999999</v>
      </c>
      <c r="Z87" s="648">
        <v>0.23899999999999999</v>
      </c>
      <c r="AA87" s="89">
        <f t="shared" si="50"/>
        <v>874415.5</v>
      </c>
      <c r="AB87" s="89">
        <f t="shared" si="51"/>
        <v>14241.96</v>
      </c>
      <c r="AC87" s="257">
        <f t="shared" si="52"/>
        <v>0.23899999999999999</v>
      </c>
      <c r="AD87" s="90">
        <f t="shared" si="53"/>
        <v>208985.3045</v>
      </c>
      <c r="AE87" s="89">
        <f t="shared" si="54"/>
        <v>41362.259999999995</v>
      </c>
      <c r="AF87" s="89">
        <f t="shared" si="55"/>
        <v>26093.73</v>
      </c>
      <c r="AG87" s="270">
        <f t="shared" si="56"/>
        <v>0.81437028506470888</v>
      </c>
      <c r="AH87" s="271">
        <f t="shared" si="57"/>
        <v>11.875167997757469</v>
      </c>
      <c r="AI87" s="240">
        <f t="shared" si="58"/>
        <v>12.689538282822177</v>
      </c>
      <c r="AJ87" s="316">
        <v>21.720061791560333</v>
      </c>
      <c r="AK87" s="672">
        <f t="shared" si="61"/>
        <v>-9.0305235087381561</v>
      </c>
      <c r="AL87">
        <f t="shared" si="49"/>
        <v>75</v>
      </c>
      <c r="AM87" s="821"/>
      <c r="AN87" s="108">
        <v>11</v>
      </c>
      <c r="AO87" s="108" t="s">
        <v>129</v>
      </c>
      <c r="AP87" s="108" t="s">
        <v>274</v>
      </c>
      <c r="AQ87" s="109">
        <v>1443314003.3900011</v>
      </c>
      <c r="AR87" s="109">
        <v>171921837.71000001</v>
      </c>
      <c r="AS87" s="109">
        <v>79944552</v>
      </c>
      <c r="AT87" s="109">
        <v>3114599.02</v>
      </c>
      <c r="AU87" s="109">
        <v>7994460</v>
      </c>
      <c r="AV87" s="110">
        <v>1058966.94</v>
      </c>
    </row>
    <row r="88" spans="1:48" ht="11.25" customHeight="1" x14ac:dyDescent="0.2">
      <c r="A88" s="6">
        <v>77</v>
      </c>
      <c r="B88" s="199">
        <v>60397</v>
      </c>
      <c r="C88" s="680" t="s">
        <v>179</v>
      </c>
      <c r="D88" s="173" t="s">
        <v>136</v>
      </c>
      <c r="E88" s="173" t="s">
        <v>136</v>
      </c>
      <c r="F88" s="174" t="s">
        <v>113</v>
      </c>
      <c r="G88" s="179" t="s">
        <v>4</v>
      </c>
      <c r="H88" s="179" t="s">
        <v>294</v>
      </c>
      <c r="I88" s="180" t="s">
        <v>8</v>
      </c>
      <c r="J88" s="181" t="s">
        <v>136</v>
      </c>
      <c r="K88" s="200" t="b">
        <v>0</v>
      </c>
      <c r="L88" s="650">
        <v>401000</v>
      </c>
      <c r="M88" s="89">
        <v>0</v>
      </c>
      <c r="N88" s="89">
        <f t="shared" si="62"/>
        <v>11588.9</v>
      </c>
      <c r="O88" s="89">
        <v>10120.92</v>
      </c>
      <c r="P88" s="89">
        <f t="shared" si="59"/>
        <v>1158.8900000000001</v>
      </c>
      <c r="Q88" s="651">
        <v>12417.18</v>
      </c>
      <c r="R88" s="650">
        <v>323000</v>
      </c>
      <c r="S88" s="89">
        <v>4455.84</v>
      </c>
      <c r="T88" s="89">
        <f t="shared" si="63"/>
        <v>102035.70000000001</v>
      </c>
      <c r="U88" s="89">
        <v>4455.84</v>
      </c>
      <c r="V88" s="89">
        <f t="shared" si="60"/>
        <v>10203.570000000002</v>
      </c>
      <c r="W88" s="347">
        <v>835.29</v>
      </c>
      <c r="X88" s="256">
        <v>2.8899999999999999E-2</v>
      </c>
      <c r="Y88" s="256">
        <v>0.31590000000000001</v>
      </c>
      <c r="Z88" s="648">
        <v>0.1484</v>
      </c>
      <c r="AA88" s="89">
        <f t="shared" si="50"/>
        <v>724000</v>
      </c>
      <c r="AB88" s="89">
        <f t="shared" si="51"/>
        <v>4455.84</v>
      </c>
      <c r="AC88" s="257">
        <f t="shared" si="52"/>
        <v>0.1484</v>
      </c>
      <c r="AD88" s="90">
        <f t="shared" si="53"/>
        <v>107441.60000000001</v>
      </c>
      <c r="AE88" s="89">
        <f t="shared" si="54"/>
        <v>14576.76</v>
      </c>
      <c r="AF88" s="89">
        <f t="shared" si="55"/>
        <v>13252.470000000001</v>
      </c>
      <c r="AG88" s="270">
        <f t="shared" si="56"/>
        <v>0.30772375690607734</v>
      </c>
      <c r="AH88" s="271">
        <f t="shared" si="57"/>
        <v>8.1402883054608264</v>
      </c>
      <c r="AI88" s="240">
        <f t="shared" si="58"/>
        <v>8.4480120623669031</v>
      </c>
      <c r="AJ88" s="316">
        <v>11.377072690497386</v>
      </c>
      <c r="AK88" s="672">
        <f t="shared" si="61"/>
        <v>-2.9290606281304825</v>
      </c>
      <c r="AL88">
        <f t="shared" si="49"/>
        <v>76</v>
      </c>
      <c r="AM88" s="821"/>
      <c r="AN88" s="108">
        <v>12</v>
      </c>
      <c r="AO88" s="108" t="s">
        <v>130</v>
      </c>
      <c r="AP88" s="108" t="s">
        <v>275</v>
      </c>
      <c r="AQ88" s="109"/>
      <c r="AR88" s="109">
        <v>7140946.29</v>
      </c>
      <c r="AS88" s="109">
        <v>89237004</v>
      </c>
      <c r="AT88" s="109">
        <v>2922392.58</v>
      </c>
      <c r="AU88" s="109">
        <v>8923704</v>
      </c>
      <c r="AV88" s="110">
        <v>958064.9</v>
      </c>
    </row>
    <row r="89" spans="1:48" ht="11.25" customHeight="1" x14ac:dyDescent="0.2">
      <c r="A89" s="6">
        <v>78</v>
      </c>
      <c r="B89" s="199">
        <v>60413</v>
      </c>
      <c r="C89" s="680" t="s">
        <v>180</v>
      </c>
      <c r="D89" s="173" t="s">
        <v>136</v>
      </c>
      <c r="E89" s="173" t="s">
        <v>136</v>
      </c>
      <c r="F89" s="174" t="s">
        <v>113</v>
      </c>
      <c r="G89" s="179" t="s">
        <v>4</v>
      </c>
      <c r="H89" s="179" t="s">
        <v>294</v>
      </c>
      <c r="I89" s="180" t="s">
        <v>38</v>
      </c>
      <c r="J89" s="181" t="s">
        <v>136</v>
      </c>
      <c r="K89" s="200" t="b">
        <v>0</v>
      </c>
      <c r="L89" s="650">
        <v>299750</v>
      </c>
      <c r="M89" s="89">
        <v>0</v>
      </c>
      <c r="N89" s="89">
        <f t="shared" si="62"/>
        <v>80123.174999999988</v>
      </c>
      <c r="O89" s="89">
        <v>60658.74</v>
      </c>
      <c r="P89" s="89">
        <f t="shared" si="59"/>
        <v>8012.3174999999992</v>
      </c>
      <c r="Q89" s="651">
        <v>44163.6</v>
      </c>
      <c r="R89" s="650">
        <v>57650</v>
      </c>
      <c r="S89" s="89">
        <v>0</v>
      </c>
      <c r="T89" s="89">
        <f t="shared" si="63"/>
        <v>11530</v>
      </c>
      <c r="U89" s="89">
        <v>0</v>
      </c>
      <c r="V89" s="89">
        <f t="shared" si="60"/>
        <v>1153</v>
      </c>
      <c r="W89" s="347">
        <v>0</v>
      </c>
      <c r="X89" s="256">
        <v>0.26729999999999998</v>
      </c>
      <c r="Y89" s="256">
        <v>0.2</v>
      </c>
      <c r="Z89" s="648">
        <v>0.26350000000000001</v>
      </c>
      <c r="AA89" s="89">
        <f t="shared" si="50"/>
        <v>357400</v>
      </c>
      <c r="AB89" s="89">
        <f t="shared" si="51"/>
        <v>0</v>
      </c>
      <c r="AC89" s="257">
        <f t="shared" si="52"/>
        <v>0.26350000000000001</v>
      </c>
      <c r="AD89" s="90">
        <f t="shared" si="53"/>
        <v>94174.900000000009</v>
      </c>
      <c r="AE89" s="89">
        <f t="shared" si="54"/>
        <v>60658.74</v>
      </c>
      <c r="AF89" s="89">
        <f t="shared" si="55"/>
        <v>44163.6</v>
      </c>
      <c r="AG89" s="270">
        <f t="shared" si="56"/>
        <v>0</v>
      </c>
      <c r="AH89" s="271">
        <f t="shared" si="57"/>
        <v>38.646437638903777</v>
      </c>
      <c r="AI89" s="240">
        <f t="shared" si="58"/>
        <v>38.646437638903777</v>
      </c>
      <c r="AJ89" s="316">
        <v>56.972196990080157</v>
      </c>
      <c r="AK89" s="672">
        <f t="shared" si="61"/>
        <v>-18.32575935117638</v>
      </c>
      <c r="AL89">
        <f t="shared" si="49"/>
        <v>77</v>
      </c>
      <c r="AM89" s="821"/>
      <c r="AN89" s="108">
        <v>13</v>
      </c>
      <c r="AO89" s="108" t="s">
        <v>127</v>
      </c>
      <c r="AP89" s="108" t="s">
        <v>276</v>
      </c>
      <c r="AQ89" s="109"/>
      <c r="AR89" s="109">
        <v>367189594.75</v>
      </c>
      <c r="AS89" s="109">
        <v>218449308</v>
      </c>
      <c r="AT89" s="109">
        <v>59551046.93</v>
      </c>
      <c r="AU89" s="109">
        <v>21844932</v>
      </c>
      <c r="AV89" s="110">
        <v>8428075.9800000004</v>
      </c>
    </row>
    <row r="90" spans="1:48" ht="11.25" customHeight="1" x14ac:dyDescent="0.2">
      <c r="A90" s="6">
        <v>79</v>
      </c>
      <c r="B90" s="199">
        <v>60435</v>
      </c>
      <c r="C90" s="680" t="s">
        <v>181</v>
      </c>
      <c r="D90" s="173" t="s">
        <v>136</v>
      </c>
      <c r="E90" s="173" t="s">
        <v>136</v>
      </c>
      <c r="F90" s="174" t="s">
        <v>113</v>
      </c>
      <c r="G90" s="179" t="s">
        <v>4</v>
      </c>
      <c r="H90" s="179" t="s">
        <v>294</v>
      </c>
      <c r="I90" s="180" t="s">
        <v>9</v>
      </c>
      <c r="J90" s="181" t="s">
        <v>136</v>
      </c>
      <c r="K90" s="200" t="b">
        <v>0</v>
      </c>
      <c r="L90" s="650">
        <v>684674</v>
      </c>
      <c r="M90" s="89">
        <v>432511.5</v>
      </c>
      <c r="N90" s="89">
        <f t="shared" si="62"/>
        <v>26702.286</v>
      </c>
      <c r="O90" s="89">
        <v>21916.5</v>
      </c>
      <c r="P90" s="89">
        <f t="shared" si="59"/>
        <v>2670.2286000000004</v>
      </c>
      <c r="Q90" s="651">
        <v>26680.080000000002</v>
      </c>
      <c r="R90" s="650">
        <v>821650</v>
      </c>
      <c r="S90" s="89">
        <v>87454.13</v>
      </c>
      <c r="T90" s="89">
        <f t="shared" si="63"/>
        <v>373439.92499999999</v>
      </c>
      <c r="U90" s="89">
        <v>87454.13</v>
      </c>
      <c r="V90" s="89">
        <f t="shared" si="60"/>
        <v>37343.9925</v>
      </c>
      <c r="W90" s="347">
        <v>23381.69</v>
      </c>
      <c r="X90" s="256">
        <v>3.9E-2</v>
      </c>
      <c r="Y90" s="256">
        <v>0.45450000000000002</v>
      </c>
      <c r="Z90" s="648">
        <v>0.2737</v>
      </c>
      <c r="AA90" s="89">
        <f t="shared" si="50"/>
        <v>1506324</v>
      </c>
      <c r="AB90" s="89">
        <f t="shared" si="51"/>
        <v>519965.63</v>
      </c>
      <c r="AC90" s="257">
        <f t="shared" si="52"/>
        <v>0.2737</v>
      </c>
      <c r="AD90" s="90">
        <f t="shared" si="53"/>
        <v>412280.87880000001</v>
      </c>
      <c r="AE90" s="89">
        <f t="shared" si="54"/>
        <v>109370.63</v>
      </c>
      <c r="AF90" s="89">
        <f t="shared" si="55"/>
        <v>50061.770000000004</v>
      </c>
      <c r="AG90" s="270">
        <f t="shared" si="56"/>
        <v>17.259421943751811</v>
      </c>
      <c r="AH90" s="271">
        <f t="shared" si="57"/>
        <v>15.916910381825836</v>
      </c>
      <c r="AI90" s="240">
        <f t="shared" si="58"/>
        <v>33.176332325577647</v>
      </c>
      <c r="AJ90" s="316">
        <v>48.591830923248061</v>
      </c>
      <c r="AK90" s="672">
        <f t="shared" si="61"/>
        <v>-15.415498597670414</v>
      </c>
      <c r="AL90">
        <f t="shared" si="49"/>
        <v>78</v>
      </c>
      <c r="AM90" s="821"/>
      <c r="AN90" s="108">
        <v>14</v>
      </c>
      <c r="AO90" s="108" t="s">
        <v>128</v>
      </c>
      <c r="AP90" s="108" t="s">
        <v>277</v>
      </c>
      <c r="AQ90" s="109"/>
      <c r="AR90" s="109">
        <v>116409094.25</v>
      </c>
      <c r="AS90" s="109">
        <v>140655276</v>
      </c>
      <c r="AT90" s="109">
        <v>82840686.849999994</v>
      </c>
      <c r="AU90" s="109">
        <v>14065524</v>
      </c>
      <c r="AV90" s="110">
        <v>28436541.52</v>
      </c>
    </row>
    <row r="91" spans="1:48" ht="11.25" customHeight="1" x14ac:dyDescent="0.2">
      <c r="A91" s="6">
        <v>80</v>
      </c>
      <c r="B91" s="199">
        <v>60398</v>
      </c>
      <c r="C91" s="680" t="s">
        <v>182</v>
      </c>
      <c r="D91" s="173" t="s">
        <v>136</v>
      </c>
      <c r="E91" s="173" t="s">
        <v>136</v>
      </c>
      <c r="F91" s="174" t="s">
        <v>113</v>
      </c>
      <c r="G91" s="179" t="s">
        <v>4</v>
      </c>
      <c r="H91" s="179" t="s">
        <v>294</v>
      </c>
      <c r="I91" s="182" t="s">
        <v>8</v>
      </c>
      <c r="J91" s="181" t="s">
        <v>136</v>
      </c>
      <c r="K91" s="200" t="b">
        <v>0</v>
      </c>
      <c r="L91" s="650">
        <v>272000</v>
      </c>
      <c r="M91" s="89">
        <v>0</v>
      </c>
      <c r="N91" s="89">
        <f t="shared" si="62"/>
        <v>4569.5999999999995</v>
      </c>
      <c r="O91" s="89">
        <v>4178.28</v>
      </c>
      <c r="P91" s="89">
        <f t="shared" si="59"/>
        <v>456.96</v>
      </c>
      <c r="Q91" s="651">
        <v>6167.1</v>
      </c>
      <c r="R91" s="650">
        <v>288000</v>
      </c>
      <c r="S91" s="89">
        <v>0</v>
      </c>
      <c r="T91" s="89">
        <f t="shared" si="63"/>
        <v>73440</v>
      </c>
      <c r="U91" s="89">
        <v>0</v>
      </c>
      <c r="V91" s="89">
        <f t="shared" si="60"/>
        <v>7344</v>
      </c>
      <c r="W91" s="347">
        <v>0</v>
      </c>
      <c r="X91" s="256">
        <v>1.6799999999999999E-2</v>
      </c>
      <c r="Y91" s="256">
        <v>0.255</v>
      </c>
      <c r="Z91" s="648">
        <v>0.14030000000000001</v>
      </c>
      <c r="AA91" s="89">
        <f t="shared" si="50"/>
        <v>560000</v>
      </c>
      <c r="AB91" s="89">
        <f t="shared" si="51"/>
        <v>0</v>
      </c>
      <c r="AC91" s="257">
        <f t="shared" si="52"/>
        <v>0.14030000000000001</v>
      </c>
      <c r="AD91" s="90">
        <f t="shared" si="53"/>
        <v>78568</v>
      </c>
      <c r="AE91" s="89">
        <f t="shared" si="54"/>
        <v>4178.28</v>
      </c>
      <c r="AF91" s="89">
        <f t="shared" si="55"/>
        <v>6167.1</v>
      </c>
      <c r="AG91" s="270">
        <f t="shared" si="56"/>
        <v>0</v>
      </c>
      <c r="AH91" s="271">
        <f t="shared" si="57"/>
        <v>3.1908257814886469</v>
      </c>
      <c r="AI91" s="240">
        <f t="shared" si="58"/>
        <v>3.1908257814886469</v>
      </c>
      <c r="AJ91" s="316">
        <v>11.809518222609679</v>
      </c>
      <c r="AK91" s="672">
        <f t="shared" si="61"/>
        <v>-8.6186924411210324</v>
      </c>
      <c r="AL91" t="str">
        <f t="shared" si="49"/>
        <v/>
      </c>
      <c r="AM91" s="821"/>
      <c r="AN91" s="108">
        <v>15</v>
      </c>
      <c r="AO91" s="108" t="s">
        <v>131</v>
      </c>
      <c r="AP91" s="108" t="s">
        <v>278</v>
      </c>
      <c r="AQ91" s="109"/>
      <c r="AR91" s="109">
        <v>177706452.24000001</v>
      </c>
      <c r="AS91" s="109">
        <v>81458628</v>
      </c>
      <c r="AT91" s="109">
        <v>174884187.38999999</v>
      </c>
      <c r="AU91" s="109">
        <v>8145864</v>
      </c>
      <c r="AV91" s="110">
        <v>1157251.05</v>
      </c>
    </row>
    <row r="92" spans="1:48" ht="11.25" customHeight="1" x14ac:dyDescent="0.2">
      <c r="A92" s="6">
        <v>81</v>
      </c>
      <c r="B92" s="199">
        <v>60925</v>
      </c>
      <c r="C92" s="680" t="s">
        <v>183</v>
      </c>
      <c r="D92" s="173" t="s">
        <v>136</v>
      </c>
      <c r="E92" s="173" t="s">
        <v>136</v>
      </c>
      <c r="F92" s="174" t="s">
        <v>113</v>
      </c>
      <c r="G92" s="179" t="s">
        <v>4</v>
      </c>
      <c r="H92" s="179" t="s">
        <v>294</v>
      </c>
      <c r="I92" s="180" t="s">
        <v>8</v>
      </c>
      <c r="J92" s="181" t="s">
        <v>136</v>
      </c>
      <c r="K92" s="200" t="b">
        <v>0</v>
      </c>
      <c r="L92" s="650">
        <v>254500</v>
      </c>
      <c r="M92" s="89">
        <v>0</v>
      </c>
      <c r="N92" s="89">
        <f t="shared" si="62"/>
        <v>12877.699999999999</v>
      </c>
      <c r="O92" s="89">
        <v>9933.18</v>
      </c>
      <c r="P92" s="89">
        <f t="shared" si="59"/>
        <v>1287.77</v>
      </c>
      <c r="Q92" s="651">
        <v>8859.9</v>
      </c>
      <c r="R92" s="650">
        <v>281000</v>
      </c>
      <c r="S92" s="89">
        <v>0</v>
      </c>
      <c r="T92" s="89">
        <f t="shared" si="63"/>
        <v>90004.299999999988</v>
      </c>
      <c r="U92" s="89">
        <v>0</v>
      </c>
      <c r="V92" s="89">
        <f t="shared" si="60"/>
        <v>9000.4299999999985</v>
      </c>
      <c r="W92" s="347">
        <v>0</v>
      </c>
      <c r="X92" s="256">
        <v>5.0599999999999999E-2</v>
      </c>
      <c r="Y92" s="256">
        <v>0.32029999999999997</v>
      </c>
      <c r="Z92" s="648">
        <v>0.18729999999999999</v>
      </c>
      <c r="AA92" s="89">
        <f t="shared" si="50"/>
        <v>535500</v>
      </c>
      <c r="AB92" s="89">
        <f t="shared" si="51"/>
        <v>0</v>
      </c>
      <c r="AC92" s="257">
        <f t="shared" si="52"/>
        <v>0.18729999999999999</v>
      </c>
      <c r="AD92" s="90">
        <f t="shared" si="53"/>
        <v>100299.15</v>
      </c>
      <c r="AE92" s="89">
        <f t="shared" si="54"/>
        <v>9933.18</v>
      </c>
      <c r="AF92" s="89">
        <f t="shared" si="55"/>
        <v>8859.9</v>
      </c>
      <c r="AG92" s="270">
        <f t="shared" si="56"/>
        <v>0</v>
      </c>
      <c r="AH92" s="271">
        <f t="shared" si="57"/>
        <v>5.942132111787588</v>
      </c>
      <c r="AI92" s="240">
        <f t="shared" si="58"/>
        <v>5.942132111787588</v>
      </c>
      <c r="AJ92" s="316">
        <v>14.946690417874494</v>
      </c>
      <c r="AK92" s="672">
        <f t="shared" si="61"/>
        <v>-9.0045583060869063</v>
      </c>
      <c r="AL92">
        <f t="shared" si="49"/>
        <v>80</v>
      </c>
      <c r="AM92" s="821"/>
      <c r="AN92" s="103">
        <v>19</v>
      </c>
      <c r="AO92" s="103" t="s">
        <v>133</v>
      </c>
      <c r="AP92" s="103" t="s">
        <v>279</v>
      </c>
      <c r="AQ92" s="104"/>
      <c r="AR92" s="104">
        <v>504269769.35000002</v>
      </c>
      <c r="AS92" s="104">
        <v>1728948</v>
      </c>
      <c r="AT92" s="104">
        <v>0</v>
      </c>
      <c r="AU92" s="104">
        <v>172896</v>
      </c>
      <c r="AV92" s="105">
        <v>0</v>
      </c>
    </row>
    <row r="93" spans="1:48" ht="11.25" customHeight="1" x14ac:dyDescent="0.2">
      <c r="A93" s="6">
        <v>82</v>
      </c>
      <c r="B93" s="199">
        <v>60359</v>
      </c>
      <c r="C93" s="680" t="s">
        <v>438</v>
      </c>
      <c r="D93" s="173" t="s">
        <v>136</v>
      </c>
      <c r="E93" s="173" t="s">
        <v>136</v>
      </c>
      <c r="F93" s="174" t="s">
        <v>113</v>
      </c>
      <c r="G93" s="179" t="s">
        <v>4</v>
      </c>
      <c r="H93" s="179" t="s">
        <v>294</v>
      </c>
      <c r="I93" s="182" t="s">
        <v>7</v>
      </c>
      <c r="J93" s="181" t="s">
        <v>136</v>
      </c>
      <c r="K93" s="200" t="b">
        <v>0</v>
      </c>
      <c r="L93" s="650">
        <v>162194.32500000001</v>
      </c>
      <c r="M93" s="89">
        <v>0</v>
      </c>
      <c r="N93" s="89">
        <f t="shared" si="62"/>
        <v>4298.1496125000003</v>
      </c>
      <c r="O93" s="89">
        <v>4106.7</v>
      </c>
      <c r="P93" s="89">
        <f t="shared" si="59"/>
        <v>429.81496125000007</v>
      </c>
      <c r="Q93" s="651">
        <v>733.32</v>
      </c>
      <c r="R93" s="650">
        <v>137592.5</v>
      </c>
      <c r="S93" s="89">
        <v>0</v>
      </c>
      <c r="T93" s="89">
        <f t="shared" si="63"/>
        <v>14942.5455</v>
      </c>
      <c r="U93" s="89">
        <v>0</v>
      </c>
      <c r="V93" s="89">
        <f t="shared" si="60"/>
        <v>1494.2545500000001</v>
      </c>
      <c r="W93" s="347">
        <v>0</v>
      </c>
      <c r="X93" s="256">
        <v>2.6499999999999999E-2</v>
      </c>
      <c r="Y93" s="256">
        <v>0.1086</v>
      </c>
      <c r="Z93" s="648">
        <v>5.67E-2</v>
      </c>
      <c r="AA93" s="89">
        <f t="shared" si="50"/>
        <v>299786.82500000001</v>
      </c>
      <c r="AB93" s="89">
        <f t="shared" si="51"/>
        <v>0</v>
      </c>
      <c r="AC93" s="257">
        <f t="shared" si="52"/>
        <v>5.67E-2</v>
      </c>
      <c r="AD93" s="90">
        <f t="shared" si="53"/>
        <v>16997.9129775</v>
      </c>
      <c r="AE93" s="89">
        <f t="shared" si="54"/>
        <v>4106.7</v>
      </c>
      <c r="AF93" s="89">
        <f t="shared" si="55"/>
        <v>733.32</v>
      </c>
      <c r="AG93" s="270">
        <f t="shared" si="56"/>
        <v>0</v>
      </c>
      <c r="AH93" s="271">
        <f t="shared" si="57"/>
        <v>14.496014912310725</v>
      </c>
      <c r="AI93" s="240">
        <f t="shared" si="58"/>
        <v>14.496014912310725</v>
      </c>
      <c r="AJ93" s="316">
        <v>42.909055400100783</v>
      </c>
      <c r="AK93" s="672">
        <f t="shared" si="61"/>
        <v>-28.413040487790056</v>
      </c>
      <c r="AL93">
        <f t="shared" si="49"/>
        <v>81</v>
      </c>
      <c r="AM93" s="822"/>
      <c r="AN93" s="111">
        <v>20</v>
      </c>
      <c r="AO93" s="111" t="s">
        <v>134</v>
      </c>
      <c r="AP93" s="111" t="s">
        <v>280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3">
        <v>0</v>
      </c>
    </row>
    <row r="94" spans="1:48" x14ac:dyDescent="0.2">
      <c r="A94" s="6">
        <v>83</v>
      </c>
      <c r="B94" s="199">
        <v>60400</v>
      </c>
      <c r="C94" s="680" t="s">
        <v>184</v>
      </c>
      <c r="D94" s="173" t="s">
        <v>136</v>
      </c>
      <c r="E94" s="173" t="s">
        <v>136</v>
      </c>
      <c r="F94" s="174" t="s">
        <v>113</v>
      </c>
      <c r="G94" s="179" t="s">
        <v>4</v>
      </c>
      <c r="H94" s="179" t="s">
        <v>294</v>
      </c>
      <c r="I94" s="182" t="s">
        <v>8</v>
      </c>
      <c r="J94" s="181" t="s">
        <v>136</v>
      </c>
      <c r="K94" s="200" t="b">
        <v>0</v>
      </c>
      <c r="L94" s="650">
        <v>413000</v>
      </c>
      <c r="M94" s="89">
        <v>418168.34</v>
      </c>
      <c r="N94" s="89">
        <f t="shared" si="62"/>
        <v>13876.8</v>
      </c>
      <c r="O94" s="89">
        <v>11665.02</v>
      </c>
      <c r="P94" s="89">
        <f t="shared" si="59"/>
        <v>1387.68</v>
      </c>
      <c r="Q94" s="651">
        <v>9707.58</v>
      </c>
      <c r="R94" s="650">
        <v>377500</v>
      </c>
      <c r="S94" s="89">
        <v>406997.91</v>
      </c>
      <c r="T94" s="89">
        <f t="shared" si="63"/>
        <v>157606.25</v>
      </c>
      <c r="U94" s="89">
        <v>39478.080000000002</v>
      </c>
      <c r="V94" s="89">
        <f t="shared" si="60"/>
        <v>15760.625</v>
      </c>
      <c r="W94" s="347">
        <v>8260.7999999999993</v>
      </c>
      <c r="X94" s="256">
        <v>3.3599999999999998E-2</v>
      </c>
      <c r="Y94" s="256">
        <v>0.41749999999999998</v>
      </c>
      <c r="Z94" s="648">
        <v>0.19120000000000001</v>
      </c>
      <c r="AA94" s="89">
        <f t="shared" si="50"/>
        <v>790500</v>
      </c>
      <c r="AB94" s="89">
        <f t="shared" si="51"/>
        <v>825166.25</v>
      </c>
      <c r="AC94" s="257">
        <f t="shared" si="52"/>
        <v>0.19120000000000001</v>
      </c>
      <c r="AD94" s="90">
        <f t="shared" si="53"/>
        <v>151143.6</v>
      </c>
      <c r="AE94" s="89">
        <f t="shared" si="54"/>
        <v>51143.100000000006</v>
      </c>
      <c r="AF94" s="89">
        <f t="shared" si="55"/>
        <v>17968.379999999997</v>
      </c>
      <c r="AG94" s="270">
        <f t="shared" si="56"/>
        <v>40</v>
      </c>
      <c r="AH94" s="271">
        <f t="shared" si="57"/>
        <v>20.302454090017708</v>
      </c>
      <c r="AI94" s="240">
        <f t="shared" si="58"/>
        <v>60.302454090017704</v>
      </c>
      <c r="AJ94" s="316">
        <v>12.729769933092967</v>
      </c>
      <c r="AK94" s="672">
        <f t="shared" si="61"/>
        <v>47.572684156924737</v>
      </c>
      <c r="AL94">
        <f t="shared" si="49"/>
        <v>82</v>
      </c>
      <c r="AM94" s="820">
        <v>2016</v>
      </c>
      <c r="AN94" s="99">
        <v>1</v>
      </c>
      <c r="AO94" s="99" t="s">
        <v>123</v>
      </c>
      <c r="AP94" s="99" t="s">
        <v>269</v>
      </c>
      <c r="AQ94" s="101">
        <v>164257548</v>
      </c>
      <c r="AR94" s="101">
        <v>61557903.189999998</v>
      </c>
      <c r="AS94" s="101">
        <v>0</v>
      </c>
      <c r="AT94" s="101">
        <v>29835715.440000001</v>
      </c>
      <c r="AU94" s="101">
        <v>0</v>
      </c>
      <c r="AV94" s="102">
        <v>13368048.66</v>
      </c>
    </row>
    <row r="95" spans="1:48" x14ac:dyDescent="0.2">
      <c r="A95" s="6">
        <v>84</v>
      </c>
      <c r="B95" s="199">
        <v>60436</v>
      </c>
      <c r="C95" s="680" t="s">
        <v>185</v>
      </c>
      <c r="D95" s="173" t="s">
        <v>136</v>
      </c>
      <c r="E95" s="173" t="s">
        <v>136</v>
      </c>
      <c r="F95" s="174" t="s">
        <v>113</v>
      </c>
      <c r="G95" s="179" t="s">
        <v>4</v>
      </c>
      <c r="H95" s="179" t="s">
        <v>294</v>
      </c>
      <c r="I95" s="182" t="s">
        <v>9</v>
      </c>
      <c r="J95" s="181" t="s">
        <v>136</v>
      </c>
      <c r="K95" s="200" t="b">
        <v>0</v>
      </c>
      <c r="L95" s="650">
        <v>920500</v>
      </c>
      <c r="M95" s="89">
        <v>0</v>
      </c>
      <c r="N95" s="89">
        <f t="shared" si="62"/>
        <v>23196.6</v>
      </c>
      <c r="O95" s="89">
        <v>32922.720000000001</v>
      </c>
      <c r="P95" s="89">
        <f t="shared" si="59"/>
        <v>2319.66</v>
      </c>
      <c r="Q95" s="651">
        <v>24916.74</v>
      </c>
      <c r="R95" s="650">
        <v>965000</v>
      </c>
      <c r="S95" s="89">
        <v>24614.46</v>
      </c>
      <c r="T95" s="89">
        <f t="shared" si="63"/>
        <v>410318</v>
      </c>
      <c r="U95" s="89">
        <v>24614.46</v>
      </c>
      <c r="V95" s="89">
        <f t="shared" si="60"/>
        <v>41031.800000000003</v>
      </c>
      <c r="W95" s="347">
        <v>6770.01</v>
      </c>
      <c r="X95" s="256">
        <v>2.52E-2</v>
      </c>
      <c r="Y95" s="256">
        <v>0.42520000000000002</v>
      </c>
      <c r="Z95" s="648">
        <v>0.20949999999999999</v>
      </c>
      <c r="AA95" s="89">
        <f t="shared" si="50"/>
        <v>1885500</v>
      </c>
      <c r="AB95" s="89">
        <f t="shared" si="51"/>
        <v>24614.46</v>
      </c>
      <c r="AC95" s="257">
        <f t="shared" si="52"/>
        <v>0.20949999999999999</v>
      </c>
      <c r="AD95" s="90">
        <f t="shared" si="53"/>
        <v>395012.25</v>
      </c>
      <c r="AE95" s="89">
        <f t="shared" si="54"/>
        <v>57537.18</v>
      </c>
      <c r="AF95" s="89">
        <f t="shared" si="55"/>
        <v>31686.75</v>
      </c>
      <c r="AG95" s="270">
        <f t="shared" si="56"/>
        <v>0.65273031026252981</v>
      </c>
      <c r="AH95" s="271">
        <f t="shared" si="57"/>
        <v>8.7395537733323447</v>
      </c>
      <c r="AI95" s="240">
        <f t="shared" si="58"/>
        <v>9.3922840835948751</v>
      </c>
      <c r="AJ95" s="316">
        <v>4.0156697467793707</v>
      </c>
      <c r="AK95" s="672">
        <f t="shared" si="61"/>
        <v>5.3766143368155044</v>
      </c>
      <c r="AL95" t="str">
        <f t="shared" si="49"/>
        <v/>
      </c>
      <c r="AM95" s="821"/>
      <c r="AN95" s="103">
        <v>2</v>
      </c>
      <c r="AO95" s="103" t="s">
        <v>124</v>
      </c>
      <c r="AP95" s="103" t="s">
        <v>270</v>
      </c>
      <c r="AQ95" s="104">
        <v>50097474</v>
      </c>
      <c r="AR95" s="104">
        <v>15282313</v>
      </c>
      <c r="AS95" s="104">
        <v>0</v>
      </c>
      <c r="AT95" s="104">
        <v>37262408.460000001</v>
      </c>
      <c r="AU95" s="104">
        <v>0</v>
      </c>
      <c r="AV95" s="105">
        <v>17311569.719999999</v>
      </c>
    </row>
    <row r="96" spans="1:48" x14ac:dyDescent="0.2">
      <c r="A96" s="6">
        <v>85</v>
      </c>
      <c r="B96" s="199">
        <v>60437</v>
      </c>
      <c r="C96" s="680" t="s">
        <v>186</v>
      </c>
      <c r="D96" s="173" t="s">
        <v>136</v>
      </c>
      <c r="E96" s="173" t="s">
        <v>136</v>
      </c>
      <c r="F96" s="174" t="s">
        <v>113</v>
      </c>
      <c r="G96" s="179" t="s">
        <v>4</v>
      </c>
      <c r="H96" s="179" t="s">
        <v>294</v>
      </c>
      <c r="I96" s="182" t="s">
        <v>9</v>
      </c>
      <c r="J96" s="181" t="s">
        <v>136</v>
      </c>
      <c r="K96" s="200" t="b">
        <v>0</v>
      </c>
      <c r="L96" s="650">
        <v>914750</v>
      </c>
      <c r="M96" s="89">
        <v>0</v>
      </c>
      <c r="N96" s="89">
        <f t="shared" si="62"/>
        <v>97420.875</v>
      </c>
      <c r="O96" s="89">
        <v>98638.44</v>
      </c>
      <c r="P96" s="89">
        <f t="shared" si="59"/>
        <v>9742.0874999999996</v>
      </c>
      <c r="Q96" s="651">
        <v>66884.28</v>
      </c>
      <c r="R96" s="650">
        <v>1275500</v>
      </c>
      <c r="S96" s="89">
        <v>30060.23</v>
      </c>
      <c r="T96" s="89">
        <f t="shared" si="63"/>
        <v>597826.85</v>
      </c>
      <c r="U96" s="89">
        <v>6643.36</v>
      </c>
      <c r="V96" s="89">
        <f t="shared" si="60"/>
        <v>59782.684999999998</v>
      </c>
      <c r="W96" s="347">
        <v>734.09</v>
      </c>
      <c r="X96" s="256">
        <v>0.1065</v>
      </c>
      <c r="Y96" s="256">
        <v>0.46870000000000001</v>
      </c>
      <c r="Z96" s="648">
        <v>0.29199999999999998</v>
      </c>
      <c r="AA96" s="89">
        <f t="shared" si="50"/>
        <v>2190250</v>
      </c>
      <c r="AB96" s="89">
        <f t="shared" si="51"/>
        <v>30060.23</v>
      </c>
      <c r="AC96" s="257">
        <f t="shared" si="52"/>
        <v>0.29199999999999998</v>
      </c>
      <c r="AD96" s="90">
        <f t="shared" si="53"/>
        <v>639553</v>
      </c>
      <c r="AE96" s="89">
        <f t="shared" si="54"/>
        <v>105281.8</v>
      </c>
      <c r="AF96" s="89">
        <f t="shared" si="55"/>
        <v>67618.37</v>
      </c>
      <c r="AG96" s="270">
        <f t="shared" si="56"/>
        <v>0.68622828444241524</v>
      </c>
      <c r="AH96" s="271">
        <f t="shared" si="57"/>
        <v>9.8770672641673176</v>
      </c>
      <c r="AI96" s="240">
        <f t="shared" si="58"/>
        <v>10.563295548609734</v>
      </c>
      <c r="AJ96" s="316">
        <v>7.0417167911757197</v>
      </c>
      <c r="AK96" s="672">
        <f t="shared" si="61"/>
        <v>3.5215787574340141</v>
      </c>
      <c r="AL96">
        <f t="shared" si="49"/>
        <v>84</v>
      </c>
      <c r="AM96" s="821"/>
      <c r="AN96" s="103">
        <v>3</v>
      </c>
      <c r="AO96" s="103" t="s">
        <v>125</v>
      </c>
      <c r="AP96" s="103" t="s">
        <v>271</v>
      </c>
      <c r="AQ96" s="104">
        <v>141759090</v>
      </c>
      <c r="AR96" s="104">
        <v>20492894.059999999</v>
      </c>
      <c r="AS96" s="104">
        <v>0</v>
      </c>
      <c r="AT96" s="104">
        <v>2117967.2400000002</v>
      </c>
      <c r="AU96" s="104">
        <v>0</v>
      </c>
      <c r="AV96" s="105">
        <v>5353368.0599999996</v>
      </c>
    </row>
    <row r="97" spans="1:48" x14ac:dyDescent="0.2">
      <c r="A97" s="6">
        <v>86</v>
      </c>
      <c r="B97" s="199">
        <v>69165</v>
      </c>
      <c r="C97" s="680" t="s">
        <v>589</v>
      </c>
      <c r="D97" s="173" t="s">
        <v>136</v>
      </c>
      <c r="E97" s="173" t="s">
        <v>136</v>
      </c>
      <c r="F97" s="174" t="s">
        <v>113</v>
      </c>
      <c r="G97" s="179" t="s">
        <v>4</v>
      </c>
      <c r="H97" s="179" t="s">
        <v>294</v>
      </c>
      <c r="I97" s="182" t="s">
        <v>12</v>
      </c>
      <c r="J97" s="181" t="s">
        <v>136</v>
      </c>
      <c r="K97" s="200" t="b">
        <v>0</v>
      </c>
      <c r="L97" s="650">
        <v>515500</v>
      </c>
      <c r="M97" s="89">
        <v>0</v>
      </c>
      <c r="N97" s="89">
        <f t="shared" si="62"/>
        <v>17217.7</v>
      </c>
      <c r="O97" s="89">
        <v>0</v>
      </c>
      <c r="P97" s="89">
        <f t="shared" si="59"/>
        <v>1721.7700000000002</v>
      </c>
      <c r="Q97" s="651">
        <v>0</v>
      </c>
      <c r="R97" s="650">
        <v>204750</v>
      </c>
      <c r="S97" s="89">
        <v>0</v>
      </c>
      <c r="T97" s="89">
        <f t="shared" si="63"/>
        <v>20904.974999999999</v>
      </c>
      <c r="U97" s="89">
        <v>0</v>
      </c>
      <c r="V97" s="89">
        <f t="shared" si="60"/>
        <v>2090.4974999999999</v>
      </c>
      <c r="W97" s="347">
        <v>0</v>
      </c>
      <c r="X97" s="256">
        <v>3.3399999999999999E-2</v>
      </c>
      <c r="Y97" s="256">
        <v>0.1021</v>
      </c>
      <c r="Z97" s="648">
        <v>5.2900000000000003E-2</v>
      </c>
      <c r="AA97" s="89">
        <f t="shared" si="50"/>
        <v>720250</v>
      </c>
      <c r="AB97" s="89">
        <f t="shared" si="51"/>
        <v>0</v>
      </c>
      <c r="AC97" s="257">
        <f t="shared" si="52"/>
        <v>5.2900000000000003E-2</v>
      </c>
      <c r="AD97" s="90">
        <f t="shared" si="53"/>
        <v>38101.224999999999</v>
      </c>
      <c r="AE97" s="89">
        <f t="shared" si="54"/>
        <v>0</v>
      </c>
      <c r="AF97" s="89">
        <f t="shared" si="55"/>
        <v>0</v>
      </c>
      <c r="AG97" s="270">
        <f t="shared" si="56"/>
        <v>0</v>
      </c>
      <c r="AH97" s="271">
        <f t="shared" si="57"/>
        <v>0</v>
      </c>
      <c r="AI97" s="240">
        <f t="shared" si="58"/>
        <v>0</v>
      </c>
      <c r="AJ97" s="316">
        <v>63.596549042840749</v>
      </c>
      <c r="AK97" s="672">
        <f t="shared" si="61"/>
        <v>-63.596549042840749</v>
      </c>
      <c r="AL97">
        <f t="shared" si="49"/>
        <v>85</v>
      </c>
      <c r="AM97" s="821"/>
      <c r="AN97" s="103">
        <v>4</v>
      </c>
      <c r="AO97" s="103" t="s">
        <v>132</v>
      </c>
      <c r="AP97" s="103" t="s">
        <v>272</v>
      </c>
      <c r="AQ97" s="104">
        <v>605221812</v>
      </c>
      <c r="AR97" s="104">
        <v>396606657.44999999</v>
      </c>
      <c r="AS97" s="104">
        <v>0</v>
      </c>
      <c r="AT97" s="104">
        <v>54125881.710000001</v>
      </c>
      <c r="AU97" s="104">
        <v>0</v>
      </c>
      <c r="AV97" s="105">
        <v>12179119.699999999</v>
      </c>
    </row>
    <row r="98" spans="1:48" x14ac:dyDescent="0.2">
      <c r="A98" s="6">
        <v>87</v>
      </c>
      <c r="B98" s="199">
        <v>60411</v>
      </c>
      <c r="C98" s="680" t="s">
        <v>187</v>
      </c>
      <c r="D98" s="173" t="s">
        <v>136</v>
      </c>
      <c r="E98" s="173" t="s">
        <v>136</v>
      </c>
      <c r="F98" s="174" t="s">
        <v>113</v>
      </c>
      <c r="G98" s="179" t="s">
        <v>4</v>
      </c>
      <c r="H98" s="179" t="s">
        <v>294</v>
      </c>
      <c r="I98" s="182" t="s">
        <v>7</v>
      </c>
      <c r="J98" s="181" t="s">
        <v>136</v>
      </c>
      <c r="K98" s="200" t="b">
        <v>0</v>
      </c>
      <c r="L98" s="650">
        <v>468500</v>
      </c>
      <c r="M98" s="89">
        <v>711.48</v>
      </c>
      <c r="N98" s="89">
        <f t="shared" si="62"/>
        <v>50035.8</v>
      </c>
      <c r="O98" s="89">
        <v>37925.160000000003</v>
      </c>
      <c r="P98" s="89">
        <f t="shared" si="59"/>
        <v>5003.5800000000008</v>
      </c>
      <c r="Q98" s="651">
        <v>18088.98</v>
      </c>
      <c r="R98" s="650">
        <v>468250</v>
      </c>
      <c r="S98" s="89">
        <v>233897.55</v>
      </c>
      <c r="T98" s="89">
        <f t="shared" si="63"/>
        <v>127270.34999999999</v>
      </c>
      <c r="U98" s="89">
        <v>186370.81</v>
      </c>
      <c r="V98" s="89">
        <f t="shared" si="60"/>
        <v>12727.035</v>
      </c>
      <c r="W98" s="347">
        <v>41377.03</v>
      </c>
      <c r="X98" s="256">
        <v>0.10680000000000001</v>
      </c>
      <c r="Y98" s="256">
        <v>0.27179999999999999</v>
      </c>
      <c r="Z98" s="648">
        <v>0.2046</v>
      </c>
      <c r="AA98" s="89">
        <f t="shared" si="50"/>
        <v>936750</v>
      </c>
      <c r="AB98" s="89">
        <f t="shared" si="51"/>
        <v>234609.03</v>
      </c>
      <c r="AC98" s="257">
        <f t="shared" si="52"/>
        <v>0.2046</v>
      </c>
      <c r="AD98" s="90">
        <f t="shared" si="53"/>
        <v>191659.05000000002</v>
      </c>
      <c r="AE98" s="89">
        <f t="shared" si="54"/>
        <v>224295.97</v>
      </c>
      <c r="AF98" s="89">
        <f t="shared" si="55"/>
        <v>59466.009999999995</v>
      </c>
      <c r="AG98" s="270">
        <f t="shared" si="56"/>
        <v>12.522499599679744</v>
      </c>
      <c r="AH98" s="271">
        <f t="shared" si="57"/>
        <v>60</v>
      </c>
      <c r="AI98" s="240">
        <f t="shared" si="58"/>
        <v>72.522499599679747</v>
      </c>
      <c r="AJ98" s="316">
        <v>11.385289492878156</v>
      </c>
      <c r="AK98" s="672">
        <f t="shared" si="61"/>
        <v>61.137210106801589</v>
      </c>
      <c r="AL98">
        <f t="shared" si="49"/>
        <v>86</v>
      </c>
      <c r="AM98" s="821"/>
      <c r="AN98" s="40">
        <v>5</v>
      </c>
      <c r="AO98" s="40" t="s">
        <v>126</v>
      </c>
      <c r="AP98" s="40" t="s">
        <v>273</v>
      </c>
      <c r="AQ98" s="122">
        <v>149616162</v>
      </c>
      <c r="AR98" s="122">
        <v>6351757.96</v>
      </c>
      <c r="AS98" s="122">
        <v>0</v>
      </c>
      <c r="AT98" s="122">
        <v>0</v>
      </c>
      <c r="AU98" s="122">
        <v>0</v>
      </c>
      <c r="AV98" s="167">
        <v>0</v>
      </c>
    </row>
    <row r="99" spans="1:48" x14ac:dyDescent="0.2">
      <c r="A99" s="6">
        <v>88</v>
      </c>
      <c r="B99" s="199">
        <v>60440</v>
      </c>
      <c r="C99" s="680" t="s">
        <v>590</v>
      </c>
      <c r="D99" s="173" t="s">
        <v>136</v>
      </c>
      <c r="E99" s="173" t="s">
        <v>136</v>
      </c>
      <c r="F99" s="174" t="s">
        <v>14</v>
      </c>
      <c r="G99" s="179" t="s">
        <v>1</v>
      </c>
      <c r="H99" s="179" t="s">
        <v>444</v>
      </c>
      <c r="I99" s="180" t="s">
        <v>0</v>
      </c>
      <c r="J99" s="181" t="s">
        <v>136</v>
      </c>
      <c r="K99" s="200" t="b">
        <v>0</v>
      </c>
      <c r="L99" s="650">
        <v>5777636</v>
      </c>
      <c r="M99" s="89">
        <v>5525861.1900000004</v>
      </c>
      <c r="N99" s="89">
        <f t="shared" si="62"/>
        <v>577763.6</v>
      </c>
      <c r="O99" s="89">
        <v>68455.98</v>
      </c>
      <c r="P99" s="89">
        <f t="shared" si="59"/>
        <v>57776.36</v>
      </c>
      <c r="Q99" s="651">
        <v>99955.199999999997</v>
      </c>
      <c r="R99" s="650">
        <v>19980250</v>
      </c>
      <c r="S99" s="89">
        <v>20080063.75</v>
      </c>
      <c r="T99" s="89">
        <f t="shared" si="63"/>
        <v>199802.5</v>
      </c>
      <c r="U99" s="89">
        <v>18405.650000000001</v>
      </c>
      <c r="V99" s="89">
        <f t="shared" si="60"/>
        <v>19980.25</v>
      </c>
      <c r="W99" s="347">
        <v>4180.3500000000004</v>
      </c>
      <c r="X99" s="256">
        <v>0.1</v>
      </c>
      <c r="Y99" s="256">
        <v>0.01</v>
      </c>
      <c r="Z99" s="648">
        <v>0.03</v>
      </c>
      <c r="AA99" s="89">
        <f t="shared" si="50"/>
        <v>25757886</v>
      </c>
      <c r="AB99" s="89">
        <f t="shared" si="51"/>
        <v>25605924.940000001</v>
      </c>
      <c r="AC99" s="257">
        <f t="shared" si="52"/>
        <v>0.03</v>
      </c>
      <c r="AD99" s="90">
        <f t="shared" si="53"/>
        <v>772736.58</v>
      </c>
      <c r="AE99" s="89">
        <f t="shared" si="54"/>
        <v>86861.63</v>
      </c>
      <c r="AF99" s="89">
        <f t="shared" si="55"/>
        <v>104135.55</v>
      </c>
      <c r="AG99" s="270">
        <f t="shared" si="56"/>
        <v>40</v>
      </c>
      <c r="AH99" s="271">
        <f t="shared" si="57"/>
        <v>6.7444688589739084</v>
      </c>
      <c r="AI99" s="240">
        <f t="shared" si="58"/>
        <v>46.74446885897391</v>
      </c>
      <c r="AJ99" s="316">
        <v>13.024061339638987</v>
      </c>
      <c r="AK99" s="672">
        <f t="shared" si="61"/>
        <v>33.720407519334927</v>
      </c>
      <c r="AL99" t="str">
        <f t="shared" si="49"/>
        <v/>
      </c>
      <c r="AM99" s="821"/>
      <c r="AN99" s="108">
        <v>11</v>
      </c>
      <c r="AO99" s="108" t="s">
        <v>129</v>
      </c>
      <c r="AP99" s="108" t="s">
        <v>274</v>
      </c>
      <c r="AQ99" s="109">
        <v>59534658</v>
      </c>
      <c r="AR99" s="109">
        <v>88505021.840000004</v>
      </c>
      <c r="AS99" s="109">
        <v>0</v>
      </c>
      <c r="AT99" s="109">
        <v>1696444.44</v>
      </c>
      <c r="AU99" s="109">
        <v>0</v>
      </c>
      <c r="AV99" s="110">
        <v>576792.48</v>
      </c>
    </row>
    <row r="100" spans="1:48" x14ac:dyDescent="0.2">
      <c r="A100" s="6">
        <v>89</v>
      </c>
      <c r="B100" s="199">
        <v>60441</v>
      </c>
      <c r="C100" s="680" t="s">
        <v>566</v>
      </c>
      <c r="D100" s="173" t="s">
        <v>136</v>
      </c>
      <c r="E100" s="173" t="s">
        <v>136</v>
      </c>
      <c r="F100" s="174" t="s">
        <v>113</v>
      </c>
      <c r="G100" s="179" t="s">
        <v>2</v>
      </c>
      <c r="H100" s="179" t="s">
        <v>577</v>
      </c>
      <c r="I100" s="180" t="s">
        <v>0</v>
      </c>
      <c r="J100" s="181" t="s">
        <v>136</v>
      </c>
      <c r="K100" s="200" t="b">
        <v>0</v>
      </c>
      <c r="L100" s="650">
        <v>1440000</v>
      </c>
      <c r="M100" s="89">
        <v>926223.82</v>
      </c>
      <c r="N100" s="89">
        <f t="shared" si="62"/>
        <v>224677.40188943493</v>
      </c>
      <c r="O100" s="89">
        <v>257883</v>
      </c>
      <c r="P100" s="89">
        <f t="shared" si="59"/>
        <v>22467.740188943495</v>
      </c>
      <c r="Q100" s="651">
        <v>205791.66</v>
      </c>
      <c r="R100" s="650">
        <v>304000</v>
      </c>
      <c r="S100" s="89">
        <v>221549.23</v>
      </c>
      <c r="T100" s="89">
        <f t="shared" si="63"/>
        <v>17190.297187494718</v>
      </c>
      <c r="U100" s="89">
        <v>19074.61</v>
      </c>
      <c r="V100" s="89">
        <f t="shared" si="60"/>
        <v>1719.0297187494718</v>
      </c>
      <c r="W100" s="347">
        <v>3712.01</v>
      </c>
      <c r="X100" s="256">
        <v>0.15602597353432981</v>
      </c>
      <c r="Y100" s="256">
        <v>5.6547030222022093E-2</v>
      </c>
      <c r="Z100" s="648">
        <v>0.14015691912963066</v>
      </c>
      <c r="AA100" s="89">
        <f t="shared" si="50"/>
        <v>1744000</v>
      </c>
      <c r="AB100" s="89">
        <f t="shared" si="51"/>
        <v>1147773.05</v>
      </c>
      <c r="AC100" s="257">
        <f t="shared" si="52"/>
        <v>0.14015691912963066</v>
      </c>
      <c r="AD100" s="90">
        <f t="shared" si="53"/>
        <v>244433.66696207586</v>
      </c>
      <c r="AE100" s="89">
        <f t="shared" si="54"/>
        <v>276957.61</v>
      </c>
      <c r="AF100" s="89">
        <f t="shared" si="55"/>
        <v>209503.67</v>
      </c>
      <c r="AG100" s="270">
        <f t="shared" si="56"/>
        <v>32.906337442660551</v>
      </c>
      <c r="AH100" s="271">
        <f t="shared" si="57"/>
        <v>60</v>
      </c>
      <c r="AI100" s="240">
        <f t="shared" si="58"/>
        <v>92.906337442660544</v>
      </c>
      <c r="AJ100" s="316">
        <v>69.42785623905003</v>
      </c>
      <c r="AK100" s="672">
        <f t="shared" si="61"/>
        <v>23.478481203610514</v>
      </c>
      <c r="AL100" t="str">
        <f t="shared" si="49"/>
        <v/>
      </c>
      <c r="AM100" s="821"/>
      <c r="AN100" s="108">
        <v>12</v>
      </c>
      <c r="AO100" s="108" t="s">
        <v>130</v>
      </c>
      <c r="AP100" s="108" t="s">
        <v>275</v>
      </c>
      <c r="AQ100" s="109">
        <v>86541084</v>
      </c>
      <c r="AR100" s="109">
        <v>2009933.37</v>
      </c>
      <c r="AS100" s="109">
        <v>0</v>
      </c>
      <c r="AT100" s="109">
        <v>713730.17</v>
      </c>
      <c r="AU100" s="109">
        <v>0</v>
      </c>
      <c r="AV100" s="110">
        <v>121966.2</v>
      </c>
    </row>
    <row r="101" spans="1:48" x14ac:dyDescent="0.2">
      <c r="A101" s="6">
        <v>90</v>
      </c>
      <c r="B101" s="199">
        <v>60442</v>
      </c>
      <c r="C101" s="680" t="s">
        <v>591</v>
      </c>
      <c r="D101" s="173" t="s">
        <v>136</v>
      </c>
      <c r="E101" s="173" t="s">
        <v>136</v>
      </c>
      <c r="F101" s="174" t="s">
        <v>14</v>
      </c>
      <c r="G101" s="179" t="s">
        <v>1</v>
      </c>
      <c r="H101" s="179" t="s">
        <v>577</v>
      </c>
      <c r="I101" s="180" t="s">
        <v>0</v>
      </c>
      <c r="J101" s="181" t="s">
        <v>136</v>
      </c>
      <c r="K101" s="200" t="b">
        <v>0</v>
      </c>
      <c r="L101" s="650">
        <v>11178500</v>
      </c>
      <c r="M101" s="89">
        <v>2463517.9900000002</v>
      </c>
      <c r="N101" s="89">
        <f t="shared" si="62"/>
        <v>1453205</v>
      </c>
      <c r="O101" s="89">
        <v>1269270.8400000001</v>
      </c>
      <c r="P101" s="89">
        <f t="shared" si="59"/>
        <v>145320.5</v>
      </c>
      <c r="Q101" s="651">
        <v>738483.42</v>
      </c>
      <c r="R101" s="650">
        <v>806000</v>
      </c>
      <c r="S101" s="89">
        <v>392947.03</v>
      </c>
      <c r="T101" s="89">
        <f t="shared" si="63"/>
        <v>120900</v>
      </c>
      <c r="U101" s="89">
        <v>107851.74</v>
      </c>
      <c r="V101" s="89">
        <f t="shared" si="60"/>
        <v>12090</v>
      </c>
      <c r="W101" s="347">
        <v>15410.66</v>
      </c>
      <c r="X101" s="256">
        <v>0.13</v>
      </c>
      <c r="Y101" s="256">
        <v>0.15</v>
      </c>
      <c r="Z101" s="648">
        <v>0.13</v>
      </c>
      <c r="AA101" s="89">
        <f t="shared" si="50"/>
        <v>11984500</v>
      </c>
      <c r="AB101" s="89">
        <f t="shared" si="51"/>
        <v>2856465.0200000005</v>
      </c>
      <c r="AC101" s="257">
        <f t="shared" si="52"/>
        <v>0.13</v>
      </c>
      <c r="AD101" s="90">
        <f t="shared" si="53"/>
        <v>1557985</v>
      </c>
      <c r="AE101" s="89">
        <f t="shared" si="54"/>
        <v>1377122.58</v>
      </c>
      <c r="AF101" s="89">
        <f t="shared" si="55"/>
        <v>753894.08000000007</v>
      </c>
      <c r="AG101" s="270">
        <f t="shared" si="56"/>
        <v>11.917330802286287</v>
      </c>
      <c r="AH101" s="271">
        <f t="shared" si="57"/>
        <v>53.034756303815506</v>
      </c>
      <c r="AI101" s="240">
        <f t="shared" si="58"/>
        <v>64.9520871061018</v>
      </c>
      <c r="AJ101" s="316">
        <v>47.88798919884222</v>
      </c>
      <c r="AK101" s="672">
        <f t="shared" si="61"/>
        <v>17.06409790725958</v>
      </c>
      <c r="AL101" t="str">
        <f t="shared" si="49"/>
        <v/>
      </c>
      <c r="AM101" s="821"/>
      <c r="AN101" s="108">
        <v>13</v>
      </c>
      <c r="AO101" s="108" t="s">
        <v>127</v>
      </c>
      <c r="AP101" s="108" t="s">
        <v>276</v>
      </c>
      <c r="AQ101" s="109">
        <v>332071182</v>
      </c>
      <c r="AR101" s="109">
        <v>253258917.44999999</v>
      </c>
      <c r="AS101" s="109">
        <v>0</v>
      </c>
      <c r="AT101" s="109">
        <v>21626490.41</v>
      </c>
      <c r="AU101" s="109">
        <v>0</v>
      </c>
      <c r="AV101" s="110">
        <v>4277095.3600000003</v>
      </c>
    </row>
    <row r="102" spans="1:48" x14ac:dyDescent="0.2">
      <c r="A102" s="6">
        <v>91</v>
      </c>
      <c r="B102" s="199">
        <v>60443</v>
      </c>
      <c r="C102" s="680" t="s">
        <v>592</v>
      </c>
      <c r="D102" s="173" t="s">
        <v>136</v>
      </c>
      <c r="E102" s="173" t="s">
        <v>136</v>
      </c>
      <c r="F102" s="174" t="s">
        <v>14</v>
      </c>
      <c r="G102" s="179" t="s">
        <v>1</v>
      </c>
      <c r="H102" s="179" t="s">
        <v>5</v>
      </c>
      <c r="I102" s="182" t="s">
        <v>0</v>
      </c>
      <c r="J102" s="181" t="s">
        <v>136</v>
      </c>
      <c r="K102" s="200" t="b">
        <v>0</v>
      </c>
      <c r="L102" s="650">
        <v>1695500</v>
      </c>
      <c r="M102" s="89">
        <v>1551692.33</v>
      </c>
      <c r="N102" s="89">
        <f t="shared" si="62"/>
        <v>33910</v>
      </c>
      <c r="O102" s="89">
        <v>26559.360000000001</v>
      </c>
      <c r="P102" s="89">
        <f t="shared" si="59"/>
        <v>3391</v>
      </c>
      <c r="Q102" s="651">
        <v>49515.06</v>
      </c>
      <c r="R102" s="650">
        <v>1269850</v>
      </c>
      <c r="S102" s="89">
        <v>497632.67</v>
      </c>
      <c r="T102" s="89">
        <f t="shared" si="63"/>
        <v>330161</v>
      </c>
      <c r="U102" s="89">
        <v>9012.7800000000007</v>
      </c>
      <c r="V102" s="89">
        <f t="shared" si="60"/>
        <v>33016.1</v>
      </c>
      <c r="W102" s="347">
        <v>1617.52</v>
      </c>
      <c r="X102" s="256">
        <v>0.02</v>
      </c>
      <c r="Y102" s="256">
        <v>0.26</v>
      </c>
      <c r="Z102" s="648">
        <v>0.13</v>
      </c>
      <c r="AA102" s="89">
        <f t="shared" si="50"/>
        <v>2965350</v>
      </c>
      <c r="AB102" s="89">
        <f t="shared" si="51"/>
        <v>2049325</v>
      </c>
      <c r="AC102" s="257">
        <f t="shared" si="52"/>
        <v>0.13</v>
      </c>
      <c r="AD102" s="90">
        <f t="shared" si="53"/>
        <v>385495.5</v>
      </c>
      <c r="AE102" s="89">
        <f t="shared" si="54"/>
        <v>35572.14</v>
      </c>
      <c r="AF102" s="89">
        <f t="shared" si="55"/>
        <v>51132.579999999994</v>
      </c>
      <c r="AG102" s="270">
        <f t="shared" si="56"/>
        <v>34.55452138870622</v>
      </c>
      <c r="AH102" s="271">
        <f t="shared" si="57"/>
        <v>5.5365844737487206</v>
      </c>
      <c r="AI102" s="240">
        <f t="shared" si="58"/>
        <v>40.091105862454938</v>
      </c>
      <c r="AJ102" s="316">
        <v>95.94402034116294</v>
      </c>
      <c r="AK102" s="672">
        <f t="shared" si="61"/>
        <v>-55.852914478708001</v>
      </c>
      <c r="AL102" t="str">
        <f t="shared" si="49"/>
        <v/>
      </c>
      <c r="AM102" s="821"/>
      <c r="AN102" s="108">
        <v>14</v>
      </c>
      <c r="AO102" s="108" t="s">
        <v>128</v>
      </c>
      <c r="AP102" s="108" t="s">
        <v>277</v>
      </c>
      <c r="AQ102" s="109">
        <v>108179544</v>
      </c>
      <c r="AR102" s="109">
        <v>64324902.020000003</v>
      </c>
      <c r="AS102" s="109">
        <v>0</v>
      </c>
      <c r="AT102" s="109">
        <v>47757584.060000002</v>
      </c>
      <c r="AU102" s="109">
        <v>0</v>
      </c>
      <c r="AV102" s="110">
        <v>10916644.41</v>
      </c>
    </row>
    <row r="103" spans="1:48" x14ac:dyDescent="0.2">
      <c r="A103" s="6">
        <v>92</v>
      </c>
      <c r="B103" s="199">
        <v>60444</v>
      </c>
      <c r="C103" s="680" t="s">
        <v>593</v>
      </c>
      <c r="D103" s="173" t="s">
        <v>136</v>
      </c>
      <c r="E103" s="173" t="s">
        <v>136</v>
      </c>
      <c r="F103" s="174" t="s">
        <v>14</v>
      </c>
      <c r="G103" s="179" t="s">
        <v>1</v>
      </c>
      <c r="H103" s="179" t="s">
        <v>444</v>
      </c>
      <c r="I103" s="180" t="s">
        <v>0</v>
      </c>
      <c r="J103" s="181" t="s">
        <v>136</v>
      </c>
      <c r="K103" s="200" t="b">
        <v>0</v>
      </c>
      <c r="L103" s="650">
        <v>15308000</v>
      </c>
      <c r="M103" s="89">
        <v>0</v>
      </c>
      <c r="N103" s="89">
        <f t="shared" si="62"/>
        <v>306160</v>
      </c>
      <c r="O103" s="89">
        <v>247118.52</v>
      </c>
      <c r="P103" s="89">
        <f t="shared" si="59"/>
        <v>30616</v>
      </c>
      <c r="Q103" s="651">
        <v>163734.12</v>
      </c>
      <c r="R103" s="650">
        <v>458500</v>
      </c>
      <c r="S103" s="89">
        <v>21361.51</v>
      </c>
      <c r="T103" s="89">
        <f t="shared" si="63"/>
        <v>9170</v>
      </c>
      <c r="U103" s="89">
        <v>14333.2</v>
      </c>
      <c r="V103" s="89">
        <f t="shared" si="60"/>
        <v>917</v>
      </c>
      <c r="W103" s="347">
        <v>2522.6</v>
      </c>
      <c r="X103" s="256">
        <v>0.02</v>
      </c>
      <c r="Y103" s="256">
        <v>0.02</v>
      </c>
      <c r="Z103" s="648">
        <v>0.02</v>
      </c>
      <c r="AA103" s="89">
        <f t="shared" si="50"/>
        <v>15766500</v>
      </c>
      <c r="AB103" s="89">
        <f t="shared" si="51"/>
        <v>21361.51</v>
      </c>
      <c r="AC103" s="257">
        <f t="shared" si="52"/>
        <v>0.02</v>
      </c>
      <c r="AD103" s="90">
        <f t="shared" si="53"/>
        <v>315330</v>
      </c>
      <c r="AE103" s="89">
        <f t="shared" si="54"/>
        <v>261451.72</v>
      </c>
      <c r="AF103" s="89">
        <f t="shared" si="55"/>
        <v>166256.72</v>
      </c>
      <c r="AG103" s="270">
        <f t="shared" si="56"/>
        <v>6.7743348238353457E-2</v>
      </c>
      <c r="AH103" s="271">
        <f t="shared" si="57"/>
        <v>49.748210446199217</v>
      </c>
      <c r="AI103" s="240">
        <f t="shared" si="58"/>
        <v>49.815953794437569</v>
      </c>
      <c r="AJ103" s="316">
        <v>91.630965538185706</v>
      </c>
      <c r="AK103" s="672">
        <f t="shared" si="61"/>
        <v>-41.815011743748137</v>
      </c>
      <c r="AL103" t="str">
        <f t="shared" si="49"/>
        <v/>
      </c>
      <c r="AM103" s="821"/>
      <c r="AN103" s="108">
        <v>15</v>
      </c>
      <c r="AO103" s="108" t="s">
        <v>131</v>
      </c>
      <c r="AP103" s="108" t="s">
        <v>278</v>
      </c>
      <c r="AQ103" s="109">
        <v>61476630</v>
      </c>
      <c r="AR103" s="109">
        <v>52139414.210000001</v>
      </c>
      <c r="AS103" s="109">
        <v>0</v>
      </c>
      <c r="AT103" s="109">
        <v>51591261.549999997</v>
      </c>
      <c r="AU103" s="109">
        <v>0</v>
      </c>
      <c r="AV103" s="110">
        <v>1336881.7</v>
      </c>
    </row>
    <row r="104" spans="1:48" x14ac:dyDescent="0.2">
      <c r="A104" s="6">
        <v>93</v>
      </c>
      <c r="B104" s="199">
        <v>60446</v>
      </c>
      <c r="C104" s="680" t="s">
        <v>567</v>
      </c>
      <c r="D104" s="173" t="s">
        <v>136</v>
      </c>
      <c r="E104" s="173" t="s">
        <v>136</v>
      </c>
      <c r="F104" s="174" t="s">
        <v>113</v>
      </c>
      <c r="G104" s="179" t="s">
        <v>2</v>
      </c>
      <c r="H104" s="179" t="s">
        <v>582</v>
      </c>
      <c r="I104" s="180" t="s">
        <v>0</v>
      </c>
      <c r="J104" s="181" t="s">
        <v>136</v>
      </c>
      <c r="K104" s="200" t="b">
        <v>0</v>
      </c>
      <c r="L104" s="650">
        <v>1162500</v>
      </c>
      <c r="M104" s="89">
        <v>1085657.6499999999</v>
      </c>
      <c r="N104" s="89">
        <f t="shared" si="62"/>
        <v>34875</v>
      </c>
      <c r="O104" s="89">
        <v>33264.300000000003</v>
      </c>
      <c r="P104" s="89">
        <f t="shared" si="59"/>
        <v>3487.5</v>
      </c>
      <c r="Q104" s="651">
        <v>49345.14</v>
      </c>
      <c r="R104" s="650">
        <v>628500</v>
      </c>
      <c r="S104" s="89">
        <v>373653</v>
      </c>
      <c r="T104" s="89">
        <f t="shared" si="63"/>
        <v>75420</v>
      </c>
      <c r="U104" s="89">
        <v>144949.45000000001</v>
      </c>
      <c r="V104" s="89">
        <f t="shared" si="60"/>
        <v>7542</v>
      </c>
      <c r="W104" s="347">
        <v>31849.46</v>
      </c>
      <c r="X104" s="256">
        <v>0.03</v>
      </c>
      <c r="Y104" s="256">
        <v>0.12</v>
      </c>
      <c r="Z104" s="648">
        <v>0.06</v>
      </c>
      <c r="AA104" s="89">
        <f t="shared" si="50"/>
        <v>1791000</v>
      </c>
      <c r="AB104" s="89">
        <f t="shared" si="51"/>
        <v>1459310.65</v>
      </c>
      <c r="AC104" s="257">
        <f t="shared" si="52"/>
        <v>0.06</v>
      </c>
      <c r="AD104" s="90">
        <f t="shared" si="53"/>
        <v>107460</v>
      </c>
      <c r="AE104" s="89">
        <f t="shared" si="54"/>
        <v>178213.75</v>
      </c>
      <c r="AF104" s="89">
        <f t="shared" si="55"/>
        <v>81194.600000000006</v>
      </c>
      <c r="AG104" s="270">
        <f t="shared" si="56"/>
        <v>40</v>
      </c>
      <c r="AH104" s="271">
        <f t="shared" si="57"/>
        <v>60</v>
      </c>
      <c r="AI104" s="240">
        <f t="shared" si="58"/>
        <v>100</v>
      </c>
      <c r="AJ104" s="316">
        <v>40.865324685402676</v>
      </c>
      <c r="AK104" s="672">
        <f t="shared" si="61"/>
        <v>59.134675314597324</v>
      </c>
      <c r="AL104">
        <f t="shared" si="49"/>
        <v>92</v>
      </c>
      <c r="AM104" s="821"/>
      <c r="AN104" s="103">
        <v>19</v>
      </c>
      <c r="AO104" s="103" t="s">
        <v>133</v>
      </c>
      <c r="AP104" s="103" t="s">
        <v>279</v>
      </c>
      <c r="AQ104" s="104">
        <v>166928856</v>
      </c>
      <c r="AR104" s="104">
        <v>103591370.52</v>
      </c>
      <c r="AS104" s="104">
        <v>0</v>
      </c>
      <c r="AT104" s="104">
        <v>0</v>
      </c>
      <c r="AU104" s="104">
        <v>0</v>
      </c>
      <c r="AV104" s="105">
        <v>0</v>
      </c>
    </row>
    <row r="105" spans="1:48" x14ac:dyDescent="0.2">
      <c r="A105" s="6">
        <v>94</v>
      </c>
      <c r="B105" s="199">
        <v>60447</v>
      </c>
      <c r="C105" s="680" t="s">
        <v>568</v>
      </c>
      <c r="D105" s="173" t="s">
        <v>136</v>
      </c>
      <c r="E105" s="173" t="s">
        <v>136</v>
      </c>
      <c r="F105" s="174" t="s">
        <v>113</v>
      </c>
      <c r="G105" s="179" t="s">
        <v>2</v>
      </c>
      <c r="H105" s="179" t="s">
        <v>582</v>
      </c>
      <c r="I105" s="180" t="s">
        <v>0</v>
      </c>
      <c r="J105" s="181" t="s">
        <v>136</v>
      </c>
      <c r="K105" s="200" t="b">
        <v>0</v>
      </c>
      <c r="L105" s="650">
        <v>2338000</v>
      </c>
      <c r="M105" s="89">
        <v>1835366.93</v>
      </c>
      <c r="N105" s="89">
        <f t="shared" si="62"/>
        <v>350700</v>
      </c>
      <c r="O105" s="89">
        <v>403105.02</v>
      </c>
      <c r="P105" s="89">
        <f t="shared" si="59"/>
        <v>35070</v>
      </c>
      <c r="Q105" s="651">
        <v>183713.7</v>
      </c>
      <c r="R105" s="650">
        <v>407500</v>
      </c>
      <c r="S105" s="89">
        <v>350069.47</v>
      </c>
      <c r="T105" s="89">
        <f t="shared" si="63"/>
        <v>65200</v>
      </c>
      <c r="U105" s="89">
        <v>75497.649999999994</v>
      </c>
      <c r="V105" s="89">
        <f t="shared" si="60"/>
        <v>6520</v>
      </c>
      <c r="W105" s="347">
        <v>14201.84</v>
      </c>
      <c r="X105" s="256">
        <v>0.15</v>
      </c>
      <c r="Y105" s="256">
        <v>0.16</v>
      </c>
      <c r="Z105" s="648">
        <v>0.15</v>
      </c>
      <c r="AA105" s="89">
        <f t="shared" si="50"/>
        <v>2745500</v>
      </c>
      <c r="AB105" s="89">
        <f t="shared" si="51"/>
        <v>2185436.4</v>
      </c>
      <c r="AC105" s="257">
        <f t="shared" si="52"/>
        <v>0.15</v>
      </c>
      <c r="AD105" s="90">
        <f t="shared" si="53"/>
        <v>411825</v>
      </c>
      <c r="AE105" s="89">
        <f t="shared" si="54"/>
        <v>478602.67000000004</v>
      </c>
      <c r="AF105" s="89">
        <f t="shared" si="55"/>
        <v>197915.54</v>
      </c>
      <c r="AG105" s="270">
        <f t="shared" si="56"/>
        <v>39.800335093789833</v>
      </c>
      <c r="AH105" s="271">
        <f t="shared" si="57"/>
        <v>60</v>
      </c>
      <c r="AI105" s="240">
        <f t="shared" si="58"/>
        <v>99.80033509378984</v>
      </c>
      <c r="AJ105" s="316">
        <v>0.12953566999092475</v>
      </c>
      <c r="AK105" s="672">
        <f t="shared" si="61"/>
        <v>99.670799423798911</v>
      </c>
      <c r="AL105" t="str">
        <f t="shared" si="49"/>
        <v/>
      </c>
      <c r="AM105" s="822"/>
      <c r="AN105" s="111">
        <v>20</v>
      </c>
      <c r="AO105" s="111" t="s">
        <v>134</v>
      </c>
      <c r="AP105" s="111" t="s">
        <v>280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3">
        <v>0</v>
      </c>
    </row>
    <row r="106" spans="1:48" x14ac:dyDescent="0.2">
      <c r="A106" s="6">
        <v>95</v>
      </c>
      <c r="B106" s="199">
        <v>60448</v>
      </c>
      <c r="C106" s="680" t="s">
        <v>569</v>
      </c>
      <c r="D106" s="173" t="s">
        <v>136</v>
      </c>
      <c r="E106" s="173" t="s">
        <v>136</v>
      </c>
      <c r="F106" s="174" t="s">
        <v>113</v>
      </c>
      <c r="G106" s="179" t="s">
        <v>2</v>
      </c>
      <c r="H106" s="179" t="s">
        <v>582</v>
      </c>
      <c r="I106" s="182" t="s">
        <v>0</v>
      </c>
      <c r="J106" s="181" t="s">
        <v>136</v>
      </c>
      <c r="K106" s="200" t="b">
        <v>0</v>
      </c>
      <c r="L106" s="650">
        <v>1064500</v>
      </c>
      <c r="M106" s="89">
        <v>757460.86</v>
      </c>
      <c r="N106" s="89">
        <f t="shared" si="62"/>
        <v>63870</v>
      </c>
      <c r="O106" s="89">
        <v>65372.22</v>
      </c>
      <c r="P106" s="89">
        <f t="shared" si="59"/>
        <v>6387</v>
      </c>
      <c r="Q106" s="651">
        <v>27832.02</v>
      </c>
      <c r="R106" s="650">
        <v>557500</v>
      </c>
      <c r="S106" s="89">
        <v>512555.68</v>
      </c>
      <c r="T106" s="89">
        <f t="shared" si="63"/>
        <v>105925</v>
      </c>
      <c r="U106" s="89">
        <v>97377.24</v>
      </c>
      <c r="V106" s="89">
        <f t="shared" si="60"/>
        <v>10592.5</v>
      </c>
      <c r="W106" s="347">
        <v>24891.24</v>
      </c>
      <c r="X106" s="256">
        <v>0.06</v>
      </c>
      <c r="Y106" s="256">
        <v>0.19</v>
      </c>
      <c r="Z106" s="648">
        <v>0.14000000000000001</v>
      </c>
      <c r="AA106" s="89">
        <f t="shared" si="50"/>
        <v>1622000</v>
      </c>
      <c r="AB106" s="89">
        <f t="shared" si="51"/>
        <v>1270016.54</v>
      </c>
      <c r="AC106" s="257">
        <f t="shared" si="52"/>
        <v>0.14000000000000001</v>
      </c>
      <c r="AD106" s="90">
        <f t="shared" si="53"/>
        <v>227080.00000000003</v>
      </c>
      <c r="AE106" s="89">
        <f t="shared" si="54"/>
        <v>162749.46000000002</v>
      </c>
      <c r="AF106" s="89">
        <f t="shared" si="55"/>
        <v>52723.26</v>
      </c>
      <c r="AG106" s="270">
        <f t="shared" si="56"/>
        <v>39.149708384710237</v>
      </c>
      <c r="AH106" s="271">
        <f t="shared" si="57"/>
        <v>43.00232341025189</v>
      </c>
      <c r="AI106" s="240">
        <f t="shared" si="58"/>
        <v>82.152031794962127</v>
      </c>
      <c r="AJ106" s="316">
        <v>100</v>
      </c>
      <c r="AK106" s="672">
        <f t="shared" si="61"/>
        <v>-17.847968205037873</v>
      </c>
    </row>
    <row r="107" spans="1:48" x14ac:dyDescent="0.2">
      <c r="A107" s="6">
        <v>96</v>
      </c>
      <c r="B107" s="199">
        <v>60449</v>
      </c>
      <c r="C107" s="680" t="s">
        <v>570</v>
      </c>
      <c r="D107" s="173" t="s">
        <v>136</v>
      </c>
      <c r="E107" s="173" t="s">
        <v>136</v>
      </c>
      <c r="F107" s="174" t="s">
        <v>113</v>
      </c>
      <c r="G107" s="179" t="s">
        <v>4</v>
      </c>
      <c r="H107" s="179" t="s">
        <v>295</v>
      </c>
      <c r="I107" s="180" t="s">
        <v>8</v>
      </c>
      <c r="J107" s="181" t="s">
        <v>136</v>
      </c>
      <c r="K107" s="200" t="b">
        <v>0</v>
      </c>
      <c r="L107" s="650">
        <v>3730250</v>
      </c>
      <c r="M107" s="89">
        <v>1544284.54</v>
      </c>
      <c r="N107" s="89">
        <f t="shared" si="62"/>
        <v>265149.80464335677</v>
      </c>
      <c r="O107" s="89">
        <v>213361.68</v>
      </c>
      <c r="P107" s="89">
        <f t="shared" si="59"/>
        <v>26514.980464335677</v>
      </c>
      <c r="Q107" s="651">
        <v>136541.16</v>
      </c>
      <c r="R107" s="650">
        <v>6584800</v>
      </c>
      <c r="S107" s="89">
        <v>3319560.96</v>
      </c>
      <c r="T107" s="89">
        <f t="shared" si="63"/>
        <v>3898338.6685013343</v>
      </c>
      <c r="U107" s="89">
        <v>2399532.42</v>
      </c>
      <c r="V107" s="89">
        <f t="shared" si="60"/>
        <v>389833.86685013346</v>
      </c>
      <c r="W107" s="347">
        <v>77204.899999999994</v>
      </c>
      <c r="X107" s="256">
        <v>7.1080974369909997E-2</v>
      </c>
      <c r="Y107" s="256">
        <v>0.59202081589438316</v>
      </c>
      <c r="Z107" s="648">
        <v>0.43912186127453956</v>
      </c>
      <c r="AA107" s="89">
        <f t="shared" ref="AA107:AA138" si="64">IF(jakaKS=1,L107+R107,IF(jakaKS=2,L107,IF(jakaKS=3,R107,0)))</f>
        <v>10315050</v>
      </c>
      <c r="AB107" s="89">
        <f t="shared" ref="AB107:AB138" si="65">IF(jakaKS=1,M107+S107,IF(jakaKS=2,M107,IF(jakaKS=3,S107,0)))+IF(uspora="A",IF(jakaKS=1,Q107+W107,IF(jakaKS=2,Q107,IF(jakaKS=3,W107,0))),0)</f>
        <v>4863845.5</v>
      </c>
      <c r="AC107" s="257">
        <f t="shared" ref="AC107:AC138" si="66">IF(jakaKS=1,Z107,IF(jakaKS=2,X107,IF(jakaKS=3,Y107,0)))</f>
        <v>0.43912186127453956</v>
      </c>
      <c r="AD107" s="90">
        <f t="shared" ref="AD107:AD138" si="67">IF(jakaKS=1,AA107*Z107,IF(jakaKS=2,N107,IF(jakaKS=3,T107,0)))</f>
        <v>4529563.9551399397</v>
      </c>
      <c r="AE107" s="89">
        <f t="shared" ref="AE107:AE138" si="68">IF(jakaKS=1,O107+U107,IF(jakaKS=2,O107,IF(jakaKS=3,U107,0)))+IF(uspora="A",IF(jakaKS=1,Q107+W107,IF(jakaKS=2,Q107,IF(jakaKS=3,W107,0))),0)</f>
        <v>2612894.1</v>
      </c>
      <c r="AF107" s="89">
        <f t="shared" ref="AF107:AF138" si="69">IF(jakaKS=1,Q107+W107,IF(jakaKS=2,Q107,IF(jakaKS=3,W107,0)))</f>
        <v>213746.06</v>
      </c>
      <c r="AG107" s="270">
        <f t="shared" si="56"/>
        <v>23.576451398684448</v>
      </c>
      <c r="AH107" s="271">
        <f t="shared" si="57"/>
        <v>34.611200449460597</v>
      </c>
      <c r="AI107" s="240">
        <f t="shared" si="58"/>
        <v>58.187651848145045</v>
      </c>
      <c r="AJ107" s="316">
        <v>100</v>
      </c>
      <c r="AK107" s="672">
        <f t="shared" si="61"/>
        <v>-41.812348151854955</v>
      </c>
      <c r="AL107" t="str">
        <f t="shared" ref="AL107:AL138" si="70">IF($M106=AL$11,$A106,"")</f>
        <v/>
      </c>
    </row>
    <row r="108" spans="1:48" x14ac:dyDescent="0.2">
      <c r="A108" s="6">
        <v>97</v>
      </c>
      <c r="B108" s="199">
        <v>60385</v>
      </c>
      <c r="C108" s="680" t="s">
        <v>565</v>
      </c>
      <c r="D108" s="173" t="s">
        <v>136</v>
      </c>
      <c r="E108" s="173" t="s">
        <v>136</v>
      </c>
      <c r="F108" s="174" t="s">
        <v>113</v>
      </c>
      <c r="G108" s="179" t="s">
        <v>4</v>
      </c>
      <c r="H108" s="179" t="s">
        <v>295</v>
      </c>
      <c r="I108" s="180" t="s">
        <v>9</v>
      </c>
      <c r="J108" s="181" t="s">
        <v>136</v>
      </c>
      <c r="K108" s="200" t="b">
        <v>0</v>
      </c>
      <c r="L108" s="650">
        <v>956000</v>
      </c>
      <c r="M108" s="89">
        <v>0</v>
      </c>
      <c r="N108" s="89">
        <f t="shared" si="62"/>
        <v>22004.28998763187</v>
      </c>
      <c r="O108" s="89">
        <v>25871.759999999998</v>
      </c>
      <c r="P108" s="89">
        <f t="shared" si="59"/>
        <v>2200.4289987631869</v>
      </c>
      <c r="Q108" s="651">
        <v>-968.1</v>
      </c>
      <c r="R108" s="650">
        <v>826500</v>
      </c>
      <c r="S108" s="89">
        <v>63209.53</v>
      </c>
      <c r="T108" s="89">
        <f t="shared" si="63"/>
        <v>166519.46308424597</v>
      </c>
      <c r="U108" s="89">
        <v>63209.53</v>
      </c>
      <c r="V108" s="89">
        <f t="shared" si="60"/>
        <v>16651.946308424598</v>
      </c>
      <c r="W108" s="347">
        <v>8915.7900000000009</v>
      </c>
      <c r="X108" s="256">
        <v>2.3017039736016601E-2</v>
      </c>
      <c r="Y108" s="256">
        <v>0.20147545442739986</v>
      </c>
      <c r="Z108" s="648">
        <v>7.8393831087387525E-2</v>
      </c>
      <c r="AA108" s="89">
        <f t="shared" si="64"/>
        <v>1782500</v>
      </c>
      <c r="AB108" s="89">
        <f t="shared" si="65"/>
        <v>63209.53</v>
      </c>
      <c r="AC108" s="257">
        <f t="shared" si="66"/>
        <v>7.8393831087387525E-2</v>
      </c>
      <c r="AD108" s="90">
        <f t="shared" si="67"/>
        <v>139737.00391326827</v>
      </c>
      <c r="AE108" s="89">
        <f t="shared" si="68"/>
        <v>89081.29</v>
      </c>
      <c r="AF108" s="89">
        <f t="shared" si="69"/>
        <v>7947.6900000000005</v>
      </c>
      <c r="AG108" s="270">
        <f t="shared" si="56"/>
        <v>1.7730583450210378</v>
      </c>
      <c r="AH108" s="271">
        <f t="shared" si="57"/>
        <v>38.249549155336467</v>
      </c>
      <c r="AI108" s="240">
        <f t="shared" si="58"/>
        <v>40.022607500357502</v>
      </c>
      <c r="AJ108" s="316">
        <v>93.878094608592704</v>
      </c>
      <c r="AK108" s="672">
        <f t="shared" si="61"/>
        <v>-53.855487108235202</v>
      </c>
      <c r="AL108" t="str">
        <f t="shared" si="70"/>
        <v/>
      </c>
    </row>
    <row r="109" spans="1:48" x14ac:dyDescent="0.2">
      <c r="A109" s="6">
        <v>98</v>
      </c>
      <c r="B109" s="199">
        <v>60450</v>
      </c>
      <c r="C109" s="680" t="s">
        <v>594</v>
      </c>
      <c r="D109" s="173" t="s">
        <v>136</v>
      </c>
      <c r="E109" s="173" t="s">
        <v>136</v>
      </c>
      <c r="F109" s="174" t="s">
        <v>14</v>
      </c>
      <c r="G109" s="179" t="s">
        <v>1</v>
      </c>
      <c r="H109" s="179" t="s">
        <v>289</v>
      </c>
      <c r="I109" s="180" t="s">
        <v>0</v>
      </c>
      <c r="J109" s="181" t="s">
        <v>136</v>
      </c>
      <c r="K109" s="200" t="b">
        <v>0</v>
      </c>
      <c r="L109" s="650">
        <v>2970800</v>
      </c>
      <c r="M109" s="89">
        <v>0</v>
      </c>
      <c r="N109" s="89">
        <f t="shared" si="62"/>
        <v>326788</v>
      </c>
      <c r="O109" s="89">
        <v>272454.3</v>
      </c>
      <c r="P109" s="89">
        <f t="shared" si="59"/>
        <v>32678.800000000003</v>
      </c>
      <c r="Q109" s="651">
        <v>159879.6</v>
      </c>
      <c r="R109" s="650">
        <v>8691000</v>
      </c>
      <c r="S109" s="89">
        <v>4369441.8600000003</v>
      </c>
      <c r="T109" s="89">
        <f t="shared" si="63"/>
        <v>4693140</v>
      </c>
      <c r="U109" s="89">
        <v>3678152.86</v>
      </c>
      <c r="V109" s="89">
        <f t="shared" si="60"/>
        <v>469314</v>
      </c>
      <c r="W109" s="347">
        <v>92176.3</v>
      </c>
      <c r="X109" s="256">
        <v>0.11</v>
      </c>
      <c r="Y109" s="256">
        <v>0.54</v>
      </c>
      <c r="Z109" s="648">
        <v>0.44</v>
      </c>
      <c r="AA109" s="89">
        <f t="shared" si="64"/>
        <v>11661800</v>
      </c>
      <c r="AB109" s="89">
        <f t="shared" si="65"/>
        <v>4369441.8600000003</v>
      </c>
      <c r="AC109" s="257">
        <f t="shared" si="66"/>
        <v>0.44</v>
      </c>
      <c r="AD109" s="90">
        <f t="shared" si="67"/>
        <v>5131192</v>
      </c>
      <c r="AE109" s="89">
        <f t="shared" si="68"/>
        <v>3950607.1599999997</v>
      </c>
      <c r="AF109" s="89">
        <f t="shared" si="69"/>
        <v>252055.90000000002</v>
      </c>
      <c r="AG109" s="270">
        <f t="shared" si="56"/>
        <v>18.733994151846201</v>
      </c>
      <c r="AH109" s="271">
        <f t="shared" si="57"/>
        <v>46.195197840969499</v>
      </c>
      <c r="AI109" s="240">
        <f t="shared" si="58"/>
        <v>64.929191992815703</v>
      </c>
      <c r="AJ109" s="316">
        <v>79.051310827377677</v>
      </c>
      <c r="AK109" s="672">
        <f t="shared" si="61"/>
        <v>-14.122118834561974</v>
      </c>
      <c r="AL109">
        <f t="shared" si="70"/>
        <v>97</v>
      </c>
    </row>
    <row r="110" spans="1:48" x14ac:dyDescent="0.2">
      <c r="A110" s="6">
        <v>99</v>
      </c>
      <c r="B110" s="199">
        <v>60451</v>
      </c>
      <c r="C110" s="680" t="s">
        <v>188</v>
      </c>
      <c r="D110" s="173" t="s">
        <v>136</v>
      </c>
      <c r="E110" s="173" t="s">
        <v>136</v>
      </c>
      <c r="F110" s="174" t="s">
        <v>113</v>
      </c>
      <c r="G110" s="179" t="s">
        <v>4</v>
      </c>
      <c r="H110" s="179" t="s">
        <v>295</v>
      </c>
      <c r="I110" s="180" t="s">
        <v>47</v>
      </c>
      <c r="J110" s="181" t="s">
        <v>136</v>
      </c>
      <c r="K110" s="200" t="b">
        <v>0</v>
      </c>
      <c r="L110" s="650">
        <v>1342180</v>
      </c>
      <c r="M110" s="89">
        <v>52847.95</v>
      </c>
      <c r="N110" s="89">
        <f t="shared" si="62"/>
        <v>156389.45447864232</v>
      </c>
      <c r="O110" s="89">
        <v>78693</v>
      </c>
      <c r="P110" s="89">
        <f t="shared" si="59"/>
        <v>15638.945447864233</v>
      </c>
      <c r="Q110" s="651">
        <v>65394.54</v>
      </c>
      <c r="R110" s="650">
        <v>679850</v>
      </c>
      <c r="S110" s="89">
        <v>291229.09000000003</v>
      </c>
      <c r="T110" s="89">
        <f t="shared" si="63"/>
        <v>75094.633938817977</v>
      </c>
      <c r="U110" s="89">
        <v>0</v>
      </c>
      <c r="V110" s="89">
        <f t="shared" si="60"/>
        <v>7509.4633938817979</v>
      </c>
      <c r="W110" s="347">
        <v>0</v>
      </c>
      <c r="X110" s="256">
        <v>0.11651898737773049</v>
      </c>
      <c r="Y110" s="256">
        <v>0.11045765086242255</v>
      </c>
      <c r="Z110" s="648">
        <v>0.11452894727439659</v>
      </c>
      <c r="AA110" s="89">
        <f t="shared" si="64"/>
        <v>2022030</v>
      </c>
      <c r="AB110" s="89">
        <f t="shared" si="65"/>
        <v>344077.04000000004</v>
      </c>
      <c r="AC110" s="257">
        <f t="shared" si="66"/>
        <v>0.11452894727439659</v>
      </c>
      <c r="AD110" s="90">
        <f t="shared" si="67"/>
        <v>231580.96725724815</v>
      </c>
      <c r="AE110" s="89">
        <f t="shared" si="68"/>
        <v>78693</v>
      </c>
      <c r="AF110" s="89">
        <f t="shared" si="69"/>
        <v>65394.54</v>
      </c>
      <c r="AG110" s="270">
        <f t="shared" si="56"/>
        <v>8.5082080879116546</v>
      </c>
      <c r="AH110" s="271">
        <f t="shared" si="57"/>
        <v>20.388463075875769</v>
      </c>
      <c r="AI110" s="240">
        <f t="shared" si="58"/>
        <v>28.896671163787424</v>
      </c>
      <c r="AJ110" s="316">
        <v>88.064334927844115</v>
      </c>
      <c r="AK110" s="672">
        <f t="shared" si="61"/>
        <v>-59.167663764056691</v>
      </c>
      <c r="AL110">
        <f t="shared" si="70"/>
        <v>98</v>
      </c>
    </row>
    <row r="111" spans="1:48" x14ac:dyDescent="0.2">
      <c r="A111" s="6">
        <v>100</v>
      </c>
      <c r="B111" s="199">
        <v>60316</v>
      </c>
      <c r="C111" s="680" t="s">
        <v>397</v>
      </c>
      <c r="D111" s="173" t="s">
        <v>136</v>
      </c>
      <c r="E111" s="173" t="s">
        <v>136</v>
      </c>
      <c r="F111" s="174" t="s">
        <v>113</v>
      </c>
      <c r="G111" s="179" t="s">
        <v>6</v>
      </c>
      <c r="H111" s="179" t="s">
        <v>290</v>
      </c>
      <c r="I111" s="182" t="s">
        <v>33</v>
      </c>
      <c r="J111" s="181" t="s">
        <v>136</v>
      </c>
      <c r="K111" s="200" t="b">
        <v>0</v>
      </c>
      <c r="L111" s="650">
        <v>1505500</v>
      </c>
      <c r="M111" s="89">
        <v>1252583.05</v>
      </c>
      <c r="N111" s="89">
        <f t="shared" si="62"/>
        <v>176918.62790203851</v>
      </c>
      <c r="O111" s="89">
        <v>19577.04</v>
      </c>
      <c r="P111" s="89">
        <f t="shared" si="59"/>
        <v>17691.862790203853</v>
      </c>
      <c r="Q111" s="651">
        <v>28763.22</v>
      </c>
      <c r="R111" s="650">
        <v>250500</v>
      </c>
      <c r="S111" s="89">
        <v>101044.92</v>
      </c>
      <c r="T111" s="89">
        <f t="shared" si="63"/>
        <v>31931.74782387005</v>
      </c>
      <c r="U111" s="89">
        <v>40971.160000000003</v>
      </c>
      <c r="V111" s="89">
        <f t="shared" si="60"/>
        <v>3193.1747823870051</v>
      </c>
      <c r="W111" s="347">
        <v>5901.09</v>
      </c>
      <c r="X111" s="256">
        <v>0.11751486409966025</v>
      </c>
      <c r="Y111" s="256">
        <v>0.12747204720107805</v>
      </c>
      <c r="Z111" s="648">
        <v>0.11961456907126954</v>
      </c>
      <c r="AA111" s="89">
        <f t="shared" si="64"/>
        <v>1756000</v>
      </c>
      <c r="AB111" s="89">
        <f t="shared" si="65"/>
        <v>1353627.97</v>
      </c>
      <c r="AC111" s="257">
        <f t="shared" si="66"/>
        <v>0.11961456907126954</v>
      </c>
      <c r="AD111" s="90">
        <f t="shared" si="67"/>
        <v>210043.18328914931</v>
      </c>
      <c r="AE111" s="89">
        <f t="shared" si="68"/>
        <v>60548.200000000004</v>
      </c>
      <c r="AF111" s="89">
        <f t="shared" si="69"/>
        <v>34664.31</v>
      </c>
      <c r="AG111" s="270">
        <f t="shared" si="56"/>
        <v>38.542937642369019</v>
      </c>
      <c r="AH111" s="271">
        <f t="shared" si="57"/>
        <v>17.295929070922973</v>
      </c>
      <c r="AI111" s="240">
        <f t="shared" si="58"/>
        <v>55.838866713291992</v>
      </c>
      <c r="AJ111" s="316">
        <v>31.412693283552574</v>
      </c>
      <c r="AK111" s="672">
        <f t="shared" si="61"/>
        <v>24.426173429739418</v>
      </c>
      <c r="AL111" t="str">
        <f t="shared" si="70"/>
        <v/>
      </c>
    </row>
    <row r="112" spans="1:48" x14ac:dyDescent="0.2">
      <c r="A112" s="6">
        <v>101</v>
      </c>
      <c r="B112" s="199">
        <v>60313</v>
      </c>
      <c r="C112" s="680" t="s">
        <v>398</v>
      </c>
      <c r="D112" s="173" t="s">
        <v>136</v>
      </c>
      <c r="E112" s="173" t="s">
        <v>136</v>
      </c>
      <c r="F112" s="174" t="s">
        <v>113</v>
      </c>
      <c r="G112" s="179" t="s">
        <v>6</v>
      </c>
      <c r="H112" s="179" t="s">
        <v>290</v>
      </c>
      <c r="I112" s="180" t="s">
        <v>34</v>
      </c>
      <c r="J112" s="181" t="s">
        <v>136</v>
      </c>
      <c r="K112" s="200" t="b">
        <v>0</v>
      </c>
      <c r="L112" s="650">
        <v>5941500</v>
      </c>
      <c r="M112" s="89">
        <v>0</v>
      </c>
      <c r="N112" s="89">
        <f t="shared" si="62"/>
        <v>1626188.55</v>
      </c>
      <c r="O112" s="89">
        <v>228056.52</v>
      </c>
      <c r="P112" s="89">
        <f t="shared" si="59"/>
        <v>162618.85500000001</v>
      </c>
      <c r="Q112" s="651">
        <v>188176.2</v>
      </c>
      <c r="R112" s="650">
        <v>196000</v>
      </c>
      <c r="S112" s="89">
        <v>7508.54</v>
      </c>
      <c r="T112" s="89">
        <f t="shared" si="63"/>
        <v>12798.8</v>
      </c>
      <c r="U112" s="89">
        <v>7508.54</v>
      </c>
      <c r="V112" s="89">
        <f t="shared" si="60"/>
        <v>1279.8800000000001</v>
      </c>
      <c r="W112" s="347">
        <v>2044.14</v>
      </c>
      <c r="X112" s="256">
        <v>0.2737</v>
      </c>
      <c r="Y112" s="256">
        <v>6.5299999999999997E-2</v>
      </c>
      <c r="Z112" s="648">
        <v>0.24360000000000001</v>
      </c>
      <c r="AA112" s="89">
        <f t="shared" si="64"/>
        <v>6137500</v>
      </c>
      <c r="AB112" s="89">
        <f t="shared" si="65"/>
        <v>7508.54</v>
      </c>
      <c r="AC112" s="257">
        <f t="shared" si="66"/>
        <v>0.24360000000000001</v>
      </c>
      <c r="AD112" s="90">
        <f t="shared" si="67"/>
        <v>1495095</v>
      </c>
      <c r="AE112" s="89">
        <f t="shared" si="68"/>
        <v>235565.06</v>
      </c>
      <c r="AF112" s="89">
        <f t="shared" si="69"/>
        <v>190220.34000000003</v>
      </c>
      <c r="AG112" s="270">
        <f t="shared" si="56"/>
        <v>6.1169368635437885E-2</v>
      </c>
      <c r="AH112" s="271">
        <f t="shared" si="57"/>
        <v>9.4535153953427695</v>
      </c>
      <c r="AI112" s="240">
        <f t="shared" si="58"/>
        <v>9.5146847639782077</v>
      </c>
      <c r="AJ112" s="316">
        <v>63.004773976748851</v>
      </c>
      <c r="AK112" s="672">
        <f t="shared" si="61"/>
        <v>-53.490089212770641</v>
      </c>
      <c r="AL112" t="str">
        <f t="shared" si="70"/>
        <v/>
      </c>
    </row>
    <row r="113" spans="1:38" x14ac:dyDescent="0.2">
      <c r="A113" s="6">
        <v>102</v>
      </c>
      <c r="B113" s="199">
        <v>60323</v>
      </c>
      <c r="C113" s="680" t="s">
        <v>399</v>
      </c>
      <c r="D113" s="173" t="s">
        <v>136</v>
      </c>
      <c r="E113" s="173" t="s">
        <v>136</v>
      </c>
      <c r="F113" s="174" t="s">
        <v>113</v>
      </c>
      <c r="G113" s="179" t="s">
        <v>6</v>
      </c>
      <c r="H113" s="179" t="s">
        <v>290</v>
      </c>
      <c r="I113" s="180" t="s">
        <v>35</v>
      </c>
      <c r="J113" s="181" t="s">
        <v>136</v>
      </c>
      <c r="K113" s="200" t="b">
        <v>0</v>
      </c>
      <c r="L113" s="650">
        <v>1456000</v>
      </c>
      <c r="M113" s="89">
        <v>1447179.26</v>
      </c>
      <c r="N113" s="89">
        <f t="shared" si="62"/>
        <v>295676.85860470677</v>
      </c>
      <c r="O113" s="89">
        <v>123508.26</v>
      </c>
      <c r="P113" s="89">
        <f t="shared" si="59"/>
        <v>29567.685860470679</v>
      </c>
      <c r="Q113" s="651">
        <v>110709.9</v>
      </c>
      <c r="R113" s="650">
        <v>255000</v>
      </c>
      <c r="S113" s="89">
        <v>235392.48</v>
      </c>
      <c r="T113" s="89">
        <f t="shared" si="63"/>
        <v>7280.0704977284277</v>
      </c>
      <c r="U113" s="89">
        <v>14365.54</v>
      </c>
      <c r="V113" s="89">
        <f t="shared" si="60"/>
        <v>728.00704977284283</v>
      </c>
      <c r="W113" s="347">
        <v>3443.37</v>
      </c>
      <c r="X113" s="256">
        <v>0.20307476552521067</v>
      </c>
      <c r="Y113" s="256">
        <v>2.8549296069523247E-2</v>
      </c>
      <c r="Z113" s="648">
        <v>0.1634802309946293</v>
      </c>
      <c r="AA113" s="89">
        <f t="shared" si="64"/>
        <v>1711000</v>
      </c>
      <c r="AB113" s="89">
        <f t="shared" si="65"/>
        <v>1682571.74</v>
      </c>
      <c r="AC113" s="257">
        <f t="shared" si="66"/>
        <v>0.1634802309946293</v>
      </c>
      <c r="AD113" s="90">
        <f t="shared" si="67"/>
        <v>279714.67523181072</v>
      </c>
      <c r="AE113" s="89">
        <f t="shared" si="68"/>
        <v>137873.79999999999</v>
      </c>
      <c r="AF113" s="89">
        <f t="shared" si="69"/>
        <v>114153.26999999999</v>
      </c>
      <c r="AG113" s="270">
        <f t="shared" si="56"/>
        <v>40</v>
      </c>
      <c r="AH113" s="271">
        <f t="shared" si="57"/>
        <v>29.574522656504552</v>
      </c>
      <c r="AI113" s="240">
        <f t="shared" si="58"/>
        <v>69.574522656504556</v>
      </c>
      <c r="AJ113" s="316">
        <v>77.226283215029852</v>
      </c>
      <c r="AK113" s="672">
        <f t="shared" si="61"/>
        <v>-7.6517605585252966</v>
      </c>
      <c r="AL113">
        <f t="shared" si="70"/>
        <v>101</v>
      </c>
    </row>
    <row r="114" spans="1:38" x14ac:dyDescent="0.2">
      <c r="A114" s="6">
        <v>103</v>
      </c>
      <c r="B114" s="199">
        <v>60324</v>
      </c>
      <c r="C114" s="680" t="s">
        <v>400</v>
      </c>
      <c r="D114" s="173" t="s">
        <v>136</v>
      </c>
      <c r="E114" s="173" t="s">
        <v>136</v>
      </c>
      <c r="F114" s="174" t="s">
        <v>113</v>
      </c>
      <c r="G114" s="179" t="s">
        <v>6</v>
      </c>
      <c r="H114" s="179" t="s">
        <v>290</v>
      </c>
      <c r="I114" s="182" t="s">
        <v>36</v>
      </c>
      <c r="J114" s="181" t="s">
        <v>136</v>
      </c>
      <c r="K114" s="200" t="b">
        <v>0</v>
      </c>
      <c r="L114" s="650">
        <v>733500</v>
      </c>
      <c r="M114" s="89">
        <v>0</v>
      </c>
      <c r="N114" s="89">
        <f t="shared" si="62"/>
        <v>211729.6957135672</v>
      </c>
      <c r="O114" s="89">
        <v>105284.64</v>
      </c>
      <c r="P114" s="89">
        <f t="shared" si="59"/>
        <v>21172.96957135672</v>
      </c>
      <c r="Q114" s="651">
        <v>84128.4</v>
      </c>
      <c r="R114" s="650">
        <v>187000</v>
      </c>
      <c r="S114" s="89">
        <v>0</v>
      </c>
      <c r="T114" s="89">
        <f t="shared" si="63"/>
        <v>11053.209637090178</v>
      </c>
      <c r="U114" s="89">
        <v>0</v>
      </c>
      <c r="V114" s="89">
        <f t="shared" si="60"/>
        <v>1105.3209637090179</v>
      </c>
      <c r="W114" s="347">
        <v>0</v>
      </c>
      <c r="X114" s="256">
        <v>0.28865670853928727</v>
      </c>
      <c r="Y114" s="256">
        <v>5.9108072925615929E-2</v>
      </c>
      <c r="Z114" s="648">
        <v>0.18939041492615671</v>
      </c>
      <c r="AA114" s="89">
        <f t="shared" si="64"/>
        <v>920500</v>
      </c>
      <c r="AB114" s="89">
        <f t="shared" si="65"/>
        <v>0</v>
      </c>
      <c r="AC114" s="257">
        <f t="shared" si="66"/>
        <v>0.18939041492615671</v>
      </c>
      <c r="AD114" s="90">
        <f t="shared" si="67"/>
        <v>174333.87693952725</v>
      </c>
      <c r="AE114" s="89">
        <f t="shared" si="68"/>
        <v>105284.64</v>
      </c>
      <c r="AF114" s="89">
        <f t="shared" si="69"/>
        <v>84128.4</v>
      </c>
      <c r="AG114" s="270">
        <f t="shared" si="56"/>
        <v>0</v>
      </c>
      <c r="AH114" s="271">
        <f t="shared" si="57"/>
        <v>36.235518367960466</v>
      </c>
      <c r="AI114" s="240">
        <f t="shared" si="58"/>
        <v>36.235518367960466</v>
      </c>
      <c r="AJ114" s="316">
        <v>98.459431439574217</v>
      </c>
      <c r="AK114" s="672">
        <f t="shared" si="61"/>
        <v>-62.223913071613751</v>
      </c>
      <c r="AL114" t="str">
        <f t="shared" si="70"/>
        <v/>
      </c>
    </row>
    <row r="115" spans="1:38" x14ac:dyDescent="0.2">
      <c r="A115" s="6">
        <v>104</v>
      </c>
      <c r="B115" s="199">
        <v>60306</v>
      </c>
      <c r="C115" s="680" t="s">
        <v>401</v>
      </c>
      <c r="D115" s="173" t="s">
        <v>136</v>
      </c>
      <c r="E115" s="173" t="s">
        <v>136</v>
      </c>
      <c r="F115" s="174" t="s">
        <v>113</v>
      </c>
      <c r="G115" s="179" t="s">
        <v>6</v>
      </c>
      <c r="H115" s="179" t="s">
        <v>290</v>
      </c>
      <c r="I115" s="182" t="s">
        <v>7</v>
      </c>
      <c r="J115" s="181" t="s">
        <v>136</v>
      </c>
      <c r="K115" s="200" t="b">
        <v>0</v>
      </c>
      <c r="L115" s="650">
        <v>33688500</v>
      </c>
      <c r="M115" s="89">
        <v>22681265.859999999</v>
      </c>
      <c r="N115" s="89">
        <f t="shared" si="62"/>
        <v>6227904.6773763616</v>
      </c>
      <c r="O115" s="89">
        <v>278897.76</v>
      </c>
      <c r="P115" s="89">
        <f t="shared" si="59"/>
        <v>622790.46773763618</v>
      </c>
      <c r="Q115" s="651">
        <v>433568.34</v>
      </c>
      <c r="R115" s="650">
        <v>1921000</v>
      </c>
      <c r="S115" s="89">
        <v>194700.07</v>
      </c>
      <c r="T115" s="89">
        <f t="shared" si="63"/>
        <v>68176.145958195164</v>
      </c>
      <c r="U115" s="89">
        <v>22786</v>
      </c>
      <c r="V115" s="89">
        <f t="shared" si="60"/>
        <v>6817.6145958195166</v>
      </c>
      <c r="W115" s="347">
        <v>5635.38</v>
      </c>
      <c r="X115" s="256">
        <v>0.18486737840439205</v>
      </c>
      <c r="Y115" s="256">
        <v>3.5489925017280148E-2</v>
      </c>
      <c r="Z115" s="648">
        <v>0.18018404777970171</v>
      </c>
      <c r="AA115" s="89">
        <f t="shared" si="64"/>
        <v>35609500</v>
      </c>
      <c r="AB115" s="89">
        <f t="shared" si="65"/>
        <v>22875965.93</v>
      </c>
      <c r="AC115" s="257">
        <f t="shared" si="66"/>
        <v>0.18018404777970171</v>
      </c>
      <c r="AD115" s="90">
        <f t="shared" si="67"/>
        <v>6416263.8494112883</v>
      </c>
      <c r="AE115" s="89">
        <f t="shared" si="68"/>
        <v>301683.76</v>
      </c>
      <c r="AF115" s="89">
        <f t="shared" si="69"/>
        <v>439203.72000000003</v>
      </c>
      <c r="AG115" s="270">
        <f t="shared" si="56"/>
        <v>32.12059412516323</v>
      </c>
      <c r="AH115" s="271">
        <f t="shared" si="57"/>
        <v>2.8211161549506452</v>
      </c>
      <c r="AI115" s="240">
        <f t="shared" si="58"/>
        <v>34.941710280113874</v>
      </c>
      <c r="AJ115" s="316">
        <v>10.097156201964287</v>
      </c>
      <c r="AK115" s="672">
        <f t="shared" si="61"/>
        <v>24.844554078149585</v>
      </c>
      <c r="AL115">
        <f t="shared" si="70"/>
        <v>103</v>
      </c>
    </row>
    <row r="116" spans="1:38" x14ac:dyDescent="0.2">
      <c r="A116" s="6">
        <v>105</v>
      </c>
      <c r="B116" s="199">
        <v>60321</v>
      </c>
      <c r="C116" s="680" t="s">
        <v>402</v>
      </c>
      <c r="D116" s="173" t="s">
        <v>136</v>
      </c>
      <c r="E116" s="173" t="s">
        <v>136</v>
      </c>
      <c r="F116" s="174" t="s">
        <v>113</v>
      </c>
      <c r="G116" s="179" t="s">
        <v>6</v>
      </c>
      <c r="H116" s="179" t="s">
        <v>290</v>
      </c>
      <c r="I116" s="182" t="s">
        <v>37</v>
      </c>
      <c r="J116" s="181" t="s">
        <v>136</v>
      </c>
      <c r="K116" s="200" t="b">
        <v>0</v>
      </c>
      <c r="L116" s="650">
        <v>956000</v>
      </c>
      <c r="M116" s="89">
        <v>0</v>
      </c>
      <c r="N116" s="89">
        <f t="shared" si="62"/>
        <v>234739.35921955487</v>
      </c>
      <c r="O116" s="89">
        <v>95108.34</v>
      </c>
      <c r="P116" s="89">
        <f t="shared" si="59"/>
        <v>23473.93592195549</v>
      </c>
      <c r="Q116" s="651">
        <v>78398.759999999995</v>
      </c>
      <c r="R116" s="650">
        <v>455500</v>
      </c>
      <c r="S116" s="89">
        <v>24975.68</v>
      </c>
      <c r="T116" s="89">
        <f t="shared" si="63"/>
        <v>6075.2896530203434</v>
      </c>
      <c r="U116" s="89">
        <v>23563.61</v>
      </c>
      <c r="V116" s="89">
        <f t="shared" si="60"/>
        <v>607.52896530203441</v>
      </c>
      <c r="W116" s="347">
        <v>2408.4</v>
      </c>
      <c r="X116" s="256">
        <v>0.24554326278196115</v>
      </c>
      <c r="Y116" s="256">
        <v>1.333762821738824E-2</v>
      </c>
      <c r="Z116" s="648">
        <v>0.19170750206831685</v>
      </c>
      <c r="AA116" s="89">
        <f t="shared" si="64"/>
        <v>1411500</v>
      </c>
      <c r="AB116" s="89">
        <f t="shared" si="65"/>
        <v>24975.68</v>
      </c>
      <c r="AC116" s="257">
        <f t="shared" si="66"/>
        <v>0.19170750206831685</v>
      </c>
      <c r="AD116" s="90">
        <f t="shared" si="67"/>
        <v>270595.13916942925</v>
      </c>
      <c r="AE116" s="89">
        <f t="shared" si="68"/>
        <v>118671.95</v>
      </c>
      <c r="AF116" s="89">
        <f t="shared" si="69"/>
        <v>80807.159999999989</v>
      </c>
      <c r="AG116" s="270">
        <f t="shared" si="56"/>
        <v>0.88472121856181363</v>
      </c>
      <c r="AH116" s="271">
        <f t="shared" si="57"/>
        <v>26.313543627780081</v>
      </c>
      <c r="AI116" s="240">
        <f t="shared" si="58"/>
        <v>27.198264846341896</v>
      </c>
      <c r="AJ116" s="316">
        <v>15.981787793562862</v>
      </c>
      <c r="AK116" s="672">
        <f t="shared" si="61"/>
        <v>11.216477052779034</v>
      </c>
      <c r="AL116" t="str">
        <f t="shared" si="70"/>
        <v/>
      </c>
    </row>
    <row r="117" spans="1:38" x14ac:dyDescent="0.2">
      <c r="A117" s="6">
        <v>106</v>
      </c>
      <c r="B117" s="199">
        <v>60312</v>
      </c>
      <c r="C117" s="680" t="s">
        <v>403</v>
      </c>
      <c r="D117" s="173" t="s">
        <v>136</v>
      </c>
      <c r="E117" s="173" t="s">
        <v>136</v>
      </c>
      <c r="F117" s="174" t="s">
        <v>113</v>
      </c>
      <c r="G117" s="179" t="s">
        <v>6</v>
      </c>
      <c r="H117" s="179" t="s">
        <v>290</v>
      </c>
      <c r="I117" s="182" t="s">
        <v>38</v>
      </c>
      <c r="J117" s="181" t="s">
        <v>136</v>
      </c>
      <c r="K117" s="200" t="b">
        <v>0</v>
      </c>
      <c r="L117" s="650">
        <v>2221000</v>
      </c>
      <c r="M117" s="89">
        <v>0</v>
      </c>
      <c r="N117" s="89">
        <f t="shared" si="62"/>
        <v>738161.64140182186</v>
      </c>
      <c r="O117" s="89">
        <v>261277.44</v>
      </c>
      <c r="P117" s="89">
        <f t="shared" si="59"/>
        <v>73816.164140182183</v>
      </c>
      <c r="Q117" s="651">
        <v>230208.24</v>
      </c>
      <c r="R117" s="650">
        <v>632000</v>
      </c>
      <c r="S117" s="89">
        <v>36644.980000000003</v>
      </c>
      <c r="T117" s="89">
        <f t="shared" si="63"/>
        <v>34099.694057086301</v>
      </c>
      <c r="U117" s="89">
        <v>35021.06</v>
      </c>
      <c r="V117" s="89">
        <f t="shared" si="60"/>
        <v>3409.9694057086303</v>
      </c>
      <c r="W117" s="347">
        <v>5302.9</v>
      </c>
      <c r="X117" s="256">
        <v>0.33235553417461589</v>
      </c>
      <c r="Y117" s="256">
        <v>5.395521211564288E-2</v>
      </c>
      <c r="Z117" s="648">
        <v>0.25526070732199285</v>
      </c>
      <c r="AA117" s="89">
        <f t="shared" si="64"/>
        <v>2853000</v>
      </c>
      <c r="AB117" s="89">
        <f t="shared" si="65"/>
        <v>36644.980000000003</v>
      </c>
      <c r="AC117" s="257">
        <f t="shared" si="66"/>
        <v>0.25526070732199285</v>
      </c>
      <c r="AD117" s="90">
        <f t="shared" si="67"/>
        <v>728258.79798964562</v>
      </c>
      <c r="AE117" s="89">
        <f t="shared" si="68"/>
        <v>296298.5</v>
      </c>
      <c r="AF117" s="89">
        <f t="shared" si="69"/>
        <v>235511.13999999998</v>
      </c>
      <c r="AG117" s="270">
        <f t="shared" si="56"/>
        <v>0.64221836663161591</v>
      </c>
      <c r="AH117" s="271">
        <f t="shared" si="57"/>
        <v>24.411527947311892</v>
      </c>
      <c r="AI117" s="240">
        <f t="shared" si="58"/>
        <v>25.05374631394351</v>
      </c>
      <c r="AJ117" s="316">
        <v>28.429387740593153</v>
      </c>
      <c r="AK117" s="672">
        <f t="shared" si="61"/>
        <v>-3.3756414266496435</v>
      </c>
      <c r="AL117">
        <f t="shared" si="70"/>
        <v>105</v>
      </c>
    </row>
    <row r="118" spans="1:38" x14ac:dyDescent="0.2">
      <c r="A118" s="6">
        <v>107</v>
      </c>
      <c r="B118" s="199">
        <v>60307</v>
      </c>
      <c r="C118" s="680" t="s">
        <v>404</v>
      </c>
      <c r="D118" s="173" t="s">
        <v>136</v>
      </c>
      <c r="E118" s="173" t="s">
        <v>136</v>
      </c>
      <c r="F118" s="174" t="s">
        <v>113</v>
      </c>
      <c r="G118" s="179" t="s">
        <v>6</v>
      </c>
      <c r="H118" s="179" t="s">
        <v>290</v>
      </c>
      <c r="I118" s="180" t="s">
        <v>8</v>
      </c>
      <c r="J118" s="181" t="s">
        <v>136</v>
      </c>
      <c r="K118" s="200" t="b">
        <v>0</v>
      </c>
      <c r="L118" s="650">
        <v>30442000</v>
      </c>
      <c r="M118" s="89">
        <v>14255032.66</v>
      </c>
      <c r="N118" s="89">
        <f t="shared" si="62"/>
        <v>4154791.7367278975</v>
      </c>
      <c r="O118" s="89">
        <v>1292989.23</v>
      </c>
      <c r="P118" s="89">
        <f t="shared" si="59"/>
        <v>415479.17367278977</v>
      </c>
      <c r="Q118" s="651">
        <v>960033.44</v>
      </c>
      <c r="R118" s="650">
        <v>1911000</v>
      </c>
      <c r="S118" s="89">
        <v>580997.11</v>
      </c>
      <c r="T118" s="89">
        <f t="shared" si="63"/>
        <v>417582.21505060315</v>
      </c>
      <c r="U118" s="89">
        <v>519307.65</v>
      </c>
      <c r="V118" s="89">
        <f t="shared" si="60"/>
        <v>41758.221505060319</v>
      </c>
      <c r="W118" s="347">
        <v>146034.04999999999</v>
      </c>
      <c r="X118" s="256">
        <v>0.13648221985178036</v>
      </c>
      <c r="Y118" s="256">
        <v>0.2185150261907918</v>
      </c>
      <c r="Z118" s="648">
        <v>0.13648221985178036</v>
      </c>
      <c r="AA118" s="89">
        <f t="shared" si="64"/>
        <v>32353000</v>
      </c>
      <c r="AB118" s="89">
        <f t="shared" si="65"/>
        <v>14836029.77</v>
      </c>
      <c r="AC118" s="257">
        <f t="shared" si="66"/>
        <v>0.13648221985178036</v>
      </c>
      <c r="AD118" s="90">
        <f t="shared" si="67"/>
        <v>4415609.2588646496</v>
      </c>
      <c r="AE118" s="89">
        <f t="shared" si="68"/>
        <v>1812296.88</v>
      </c>
      <c r="AF118" s="89">
        <f t="shared" si="69"/>
        <v>1106067.49</v>
      </c>
      <c r="AG118" s="270">
        <f t="shared" si="56"/>
        <v>22.928367956603712</v>
      </c>
      <c r="AH118" s="271">
        <f t="shared" si="57"/>
        <v>24.625777876903648</v>
      </c>
      <c r="AI118" s="240">
        <f t="shared" si="58"/>
        <v>47.554145833507363</v>
      </c>
      <c r="AJ118" s="316">
        <v>32.838020328072346</v>
      </c>
      <c r="AK118" s="672">
        <f t="shared" si="61"/>
        <v>14.716125505435016</v>
      </c>
      <c r="AL118">
        <f t="shared" si="70"/>
        <v>106</v>
      </c>
    </row>
    <row r="119" spans="1:38" x14ac:dyDescent="0.2">
      <c r="A119" s="6">
        <v>108</v>
      </c>
      <c r="B119" s="199">
        <v>60322</v>
      </c>
      <c r="C119" s="680" t="s">
        <v>405</v>
      </c>
      <c r="D119" s="173" t="s">
        <v>136</v>
      </c>
      <c r="E119" s="173" t="s">
        <v>136</v>
      </c>
      <c r="F119" s="174" t="s">
        <v>113</v>
      </c>
      <c r="G119" s="179" t="s">
        <v>6</v>
      </c>
      <c r="H119" s="179" t="s">
        <v>290</v>
      </c>
      <c r="I119" s="182" t="s">
        <v>39</v>
      </c>
      <c r="J119" s="181" t="s">
        <v>136</v>
      </c>
      <c r="K119" s="200" t="b">
        <v>0</v>
      </c>
      <c r="L119" s="650">
        <v>969000</v>
      </c>
      <c r="M119" s="89">
        <v>646383.6</v>
      </c>
      <c r="N119" s="89">
        <f t="shared" si="62"/>
        <v>304326.41953303549</v>
      </c>
      <c r="O119" s="89">
        <v>133936.92000000001</v>
      </c>
      <c r="P119" s="89">
        <f t="shared" si="59"/>
        <v>30432.641953303551</v>
      </c>
      <c r="Q119" s="651">
        <v>99333.119999999995</v>
      </c>
      <c r="R119" s="650">
        <v>211500</v>
      </c>
      <c r="S119" s="89">
        <v>107675.02</v>
      </c>
      <c r="T119" s="89">
        <f t="shared" si="63"/>
        <v>4398.7933579468181</v>
      </c>
      <c r="U119" s="89">
        <v>7184.57</v>
      </c>
      <c r="V119" s="89">
        <f t="shared" si="60"/>
        <v>439.87933579468182</v>
      </c>
      <c r="W119" s="347">
        <v>1949.64</v>
      </c>
      <c r="X119" s="256">
        <v>0.31406235245927294</v>
      </c>
      <c r="Y119" s="256">
        <v>2.0798077342538145E-2</v>
      </c>
      <c r="Z119" s="648">
        <v>0.25188134348452557</v>
      </c>
      <c r="AA119" s="89">
        <f t="shared" si="64"/>
        <v>1180500</v>
      </c>
      <c r="AB119" s="89">
        <f t="shared" si="65"/>
        <v>754058.62</v>
      </c>
      <c r="AC119" s="257">
        <f t="shared" si="66"/>
        <v>0.25188134348452557</v>
      </c>
      <c r="AD119" s="90">
        <f t="shared" si="67"/>
        <v>297345.92598348245</v>
      </c>
      <c r="AE119" s="89">
        <f t="shared" si="68"/>
        <v>141121.49000000002</v>
      </c>
      <c r="AF119" s="89">
        <f t="shared" si="69"/>
        <v>101282.76</v>
      </c>
      <c r="AG119" s="270">
        <f t="shared" si="56"/>
        <v>31.938103346039814</v>
      </c>
      <c r="AH119" s="271">
        <f t="shared" si="57"/>
        <v>28.476224693491712</v>
      </c>
      <c r="AI119" s="240">
        <f t="shared" si="58"/>
        <v>60.414328039531526</v>
      </c>
      <c r="AJ119" s="316">
        <v>59.868263985878961</v>
      </c>
      <c r="AK119" s="672">
        <f t="shared" si="61"/>
        <v>0.5460640536525645</v>
      </c>
      <c r="AL119" t="str">
        <f t="shared" si="70"/>
        <v/>
      </c>
    </row>
    <row r="120" spans="1:38" x14ac:dyDescent="0.2">
      <c r="A120" s="6">
        <v>109</v>
      </c>
      <c r="B120" s="199">
        <v>60317</v>
      </c>
      <c r="C120" s="680" t="s">
        <v>406</v>
      </c>
      <c r="D120" s="173" t="s">
        <v>136</v>
      </c>
      <c r="E120" s="173" t="s">
        <v>136</v>
      </c>
      <c r="F120" s="174" t="s">
        <v>113</v>
      </c>
      <c r="G120" s="179" t="s">
        <v>6</v>
      </c>
      <c r="H120" s="179" t="s">
        <v>290</v>
      </c>
      <c r="I120" s="180" t="s">
        <v>40</v>
      </c>
      <c r="J120" s="181" t="s">
        <v>136</v>
      </c>
      <c r="K120" s="200" t="b">
        <v>0</v>
      </c>
      <c r="L120" s="650">
        <v>1111000</v>
      </c>
      <c r="M120" s="89">
        <v>0</v>
      </c>
      <c r="N120" s="89">
        <f t="shared" si="62"/>
        <v>328189.5898413189</v>
      </c>
      <c r="O120" s="89">
        <v>117403.68</v>
      </c>
      <c r="P120" s="89">
        <f t="shared" si="59"/>
        <v>32818.958984131888</v>
      </c>
      <c r="Q120" s="651">
        <v>104970.48</v>
      </c>
      <c r="R120" s="650">
        <v>321000</v>
      </c>
      <c r="S120" s="89">
        <v>1804.59</v>
      </c>
      <c r="T120" s="89">
        <f t="shared" si="63"/>
        <v>17768.047395860285</v>
      </c>
      <c r="U120" s="89">
        <v>1804.59</v>
      </c>
      <c r="V120" s="89">
        <f t="shared" si="60"/>
        <v>1776.8047395860285</v>
      </c>
      <c r="W120" s="347">
        <v>468.33</v>
      </c>
      <c r="X120" s="256">
        <v>0.29540017087427445</v>
      </c>
      <c r="Y120" s="256">
        <v>5.535217257277348E-2</v>
      </c>
      <c r="Z120" s="648">
        <v>0.24458492601616141</v>
      </c>
      <c r="AA120" s="89">
        <f t="shared" si="64"/>
        <v>1432000</v>
      </c>
      <c r="AB120" s="89">
        <f t="shared" si="65"/>
        <v>1804.59</v>
      </c>
      <c r="AC120" s="257">
        <f t="shared" si="66"/>
        <v>0.24458492601616141</v>
      </c>
      <c r="AD120" s="90">
        <f t="shared" si="67"/>
        <v>350245.61405514315</v>
      </c>
      <c r="AE120" s="89">
        <f t="shared" si="68"/>
        <v>119208.26999999999</v>
      </c>
      <c r="AF120" s="89">
        <f t="shared" si="69"/>
        <v>105438.81</v>
      </c>
      <c r="AG120" s="270">
        <f t="shared" si="56"/>
        <v>6.300942737430168E-2</v>
      </c>
      <c r="AH120" s="271">
        <f t="shared" si="57"/>
        <v>20.421372639584007</v>
      </c>
      <c r="AI120" s="240">
        <f t="shared" si="58"/>
        <v>20.484382066958307</v>
      </c>
      <c r="AJ120" s="316">
        <v>54.519659790257329</v>
      </c>
      <c r="AK120" s="672">
        <f t="shared" si="61"/>
        <v>-34.035277723299018</v>
      </c>
      <c r="AL120" t="str">
        <f t="shared" si="70"/>
        <v/>
      </c>
    </row>
    <row r="121" spans="1:38" x14ac:dyDescent="0.2">
      <c r="A121" s="6">
        <v>110</v>
      </c>
      <c r="B121" s="199">
        <v>60303</v>
      </c>
      <c r="C121" s="680" t="s">
        <v>407</v>
      </c>
      <c r="D121" s="173" t="s">
        <v>136</v>
      </c>
      <c r="E121" s="173" t="s">
        <v>136</v>
      </c>
      <c r="F121" s="174" t="s">
        <v>113</v>
      </c>
      <c r="G121" s="179" t="s">
        <v>6</v>
      </c>
      <c r="H121" s="179" t="s">
        <v>290</v>
      </c>
      <c r="I121" s="182" t="s">
        <v>9</v>
      </c>
      <c r="J121" s="181" t="s">
        <v>136</v>
      </c>
      <c r="K121" s="200" t="b">
        <v>0</v>
      </c>
      <c r="L121" s="650">
        <v>117386500</v>
      </c>
      <c r="M121" s="89">
        <v>0</v>
      </c>
      <c r="N121" s="89">
        <f t="shared" si="62"/>
        <v>28771431.150000002</v>
      </c>
      <c r="O121" s="89">
        <v>23721121.559999999</v>
      </c>
      <c r="P121" s="89">
        <f t="shared" si="59"/>
        <v>2877143.1150000002</v>
      </c>
      <c r="Q121" s="651">
        <v>5182257.54</v>
      </c>
      <c r="R121" s="650">
        <v>4067000</v>
      </c>
      <c r="S121" s="89">
        <v>1686036.23</v>
      </c>
      <c r="T121" s="89">
        <f t="shared" si="63"/>
        <v>969572.8</v>
      </c>
      <c r="U121" s="89">
        <v>1571067.6</v>
      </c>
      <c r="V121" s="89">
        <f t="shared" si="60"/>
        <v>96957.280000000013</v>
      </c>
      <c r="W121" s="347">
        <v>300212.07</v>
      </c>
      <c r="X121" s="256">
        <v>0.24510000000000001</v>
      </c>
      <c r="Y121" s="256">
        <v>0.2384</v>
      </c>
      <c r="Z121" s="648">
        <v>0.24460000000000001</v>
      </c>
      <c r="AA121" s="89">
        <f t="shared" si="64"/>
        <v>121453500</v>
      </c>
      <c r="AB121" s="89">
        <f t="shared" si="65"/>
        <v>1686036.23</v>
      </c>
      <c r="AC121" s="257">
        <f t="shared" si="66"/>
        <v>0.24460000000000001</v>
      </c>
      <c r="AD121" s="90">
        <f t="shared" si="67"/>
        <v>29707526.100000001</v>
      </c>
      <c r="AE121" s="89">
        <f t="shared" si="68"/>
        <v>25292189.16</v>
      </c>
      <c r="AF121" s="89">
        <f t="shared" si="69"/>
        <v>5482469.6100000003</v>
      </c>
      <c r="AG121" s="270">
        <f t="shared" si="56"/>
        <v>0.69410771612180788</v>
      </c>
      <c r="AH121" s="271">
        <f t="shared" si="57"/>
        <v>51.082387153065561</v>
      </c>
      <c r="AI121" s="240">
        <f t="shared" si="58"/>
        <v>51.776494869187367</v>
      </c>
      <c r="AJ121" s="316">
        <v>33.056339685378347</v>
      </c>
      <c r="AK121" s="672">
        <f t="shared" si="61"/>
        <v>18.72015518380902</v>
      </c>
      <c r="AL121">
        <f t="shared" si="70"/>
        <v>109</v>
      </c>
    </row>
    <row r="122" spans="1:38" x14ac:dyDescent="0.2">
      <c r="A122" s="6">
        <v>111</v>
      </c>
      <c r="B122" s="199">
        <v>60319</v>
      </c>
      <c r="C122" s="680" t="s">
        <v>408</v>
      </c>
      <c r="D122" s="173" t="s">
        <v>136</v>
      </c>
      <c r="E122" s="173" t="s">
        <v>136</v>
      </c>
      <c r="F122" s="174" t="s">
        <v>113</v>
      </c>
      <c r="G122" s="179" t="s">
        <v>6</v>
      </c>
      <c r="H122" s="179" t="s">
        <v>290</v>
      </c>
      <c r="I122" s="182" t="s">
        <v>41</v>
      </c>
      <c r="J122" s="181" t="s">
        <v>136</v>
      </c>
      <c r="K122" s="200" t="b">
        <v>0</v>
      </c>
      <c r="L122" s="650">
        <v>1499000</v>
      </c>
      <c r="M122" s="89">
        <v>0</v>
      </c>
      <c r="N122" s="89">
        <f t="shared" si="62"/>
        <v>407794.41824068729</v>
      </c>
      <c r="O122" s="89">
        <v>228795.42</v>
      </c>
      <c r="P122" s="89">
        <f t="shared" si="59"/>
        <v>40779.44182406873</v>
      </c>
      <c r="Q122" s="651">
        <v>183137.28</v>
      </c>
      <c r="R122" s="650">
        <v>372000</v>
      </c>
      <c r="S122" s="89">
        <v>9083.93</v>
      </c>
      <c r="T122" s="89">
        <f t="shared" si="63"/>
        <v>44124.716208820362</v>
      </c>
      <c r="U122" s="89">
        <v>8666.48</v>
      </c>
      <c r="V122" s="89">
        <f t="shared" si="60"/>
        <v>4412.4716208820364</v>
      </c>
      <c r="W122" s="347">
        <v>1864.12</v>
      </c>
      <c r="X122" s="256">
        <v>0.27204430836603555</v>
      </c>
      <c r="Y122" s="256">
        <v>0.11861482851833431</v>
      </c>
      <c r="Z122" s="648">
        <v>0.24720811950192934</v>
      </c>
      <c r="AA122" s="89">
        <f t="shared" si="64"/>
        <v>1871000</v>
      </c>
      <c r="AB122" s="89">
        <f t="shared" si="65"/>
        <v>9083.93</v>
      </c>
      <c r="AC122" s="257">
        <f t="shared" si="66"/>
        <v>0.24720811950192934</v>
      </c>
      <c r="AD122" s="90">
        <f t="shared" si="67"/>
        <v>462526.39158810978</v>
      </c>
      <c r="AE122" s="89">
        <f t="shared" si="68"/>
        <v>237461.90000000002</v>
      </c>
      <c r="AF122" s="89">
        <f t="shared" si="69"/>
        <v>185001.4</v>
      </c>
      <c r="AG122" s="270">
        <f t="shared" si="56"/>
        <v>0.24275601282736506</v>
      </c>
      <c r="AH122" s="271">
        <f t="shared" si="57"/>
        <v>30.80411033644954</v>
      </c>
      <c r="AI122" s="240">
        <f t="shared" si="58"/>
        <v>31.046866349276904</v>
      </c>
      <c r="AJ122" s="316">
        <v>13.9635548653428</v>
      </c>
      <c r="AK122" s="672">
        <f t="shared" si="61"/>
        <v>17.083311483934104</v>
      </c>
      <c r="AL122">
        <f t="shared" si="70"/>
        <v>110</v>
      </c>
    </row>
    <row r="123" spans="1:38" x14ac:dyDescent="0.2">
      <c r="A123" s="6">
        <v>112</v>
      </c>
      <c r="B123" s="199">
        <v>60358</v>
      </c>
      <c r="C123" s="680" t="s">
        <v>409</v>
      </c>
      <c r="D123" s="173" t="s">
        <v>136</v>
      </c>
      <c r="E123" s="173" t="s">
        <v>136</v>
      </c>
      <c r="F123" s="174" t="s">
        <v>113</v>
      </c>
      <c r="G123" s="179" t="s">
        <v>6</v>
      </c>
      <c r="H123" s="179" t="s">
        <v>290</v>
      </c>
      <c r="I123" s="182" t="s">
        <v>42</v>
      </c>
      <c r="J123" s="181" t="s">
        <v>136</v>
      </c>
      <c r="K123" s="200" t="b">
        <v>0</v>
      </c>
      <c r="L123" s="650">
        <v>707000</v>
      </c>
      <c r="M123" s="89">
        <v>613126.01</v>
      </c>
      <c r="N123" s="89">
        <f t="shared" si="62"/>
        <v>114887.5</v>
      </c>
      <c r="O123" s="89">
        <v>50706</v>
      </c>
      <c r="P123" s="89">
        <f t="shared" si="59"/>
        <v>11488.75</v>
      </c>
      <c r="Q123" s="651">
        <v>53419.98</v>
      </c>
      <c r="R123" s="650">
        <v>193500</v>
      </c>
      <c r="S123" s="89">
        <v>218936.8</v>
      </c>
      <c r="T123" s="89">
        <f t="shared" si="63"/>
        <v>4005.45</v>
      </c>
      <c r="U123" s="89">
        <v>4491.6499999999996</v>
      </c>
      <c r="V123" s="89">
        <f t="shared" si="60"/>
        <v>400.54500000000002</v>
      </c>
      <c r="W123" s="347">
        <v>1159.81</v>
      </c>
      <c r="X123" s="256">
        <v>0.16250000000000001</v>
      </c>
      <c r="Y123" s="256">
        <v>2.07E-2</v>
      </c>
      <c r="Z123" s="648">
        <v>0.13139999999999999</v>
      </c>
      <c r="AA123" s="89">
        <f t="shared" si="64"/>
        <v>900500</v>
      </c>
      <c r="AB123" s="89">
        <f t="shared" si="65"/>
        <v>832062.81</v>
      </c>
      <c r="AC123" s="257">
        <f t="shared" si="66"/>
        <v>0.13139999999999999</v>
      </c>
      <c r="AD123" s="90">
        <f t="shared" si="67"/>
        <v>118325.7</v>
      </c>
      <c r="AE123" s="89">
        <f t="shared" si="68"/>
        <v>55197.65</v>
      </c>
      <c r="AF123" s="89">
        <f t="shared" si="69"/>
        <v>54579.79</v>
      </c>
      <c r="AG123" s="270">
        <f t="shared" si="56"/>
        <v>40</v>
      </c>
      <c r="AH123" s="271">
        <f t="shared" si="57"/>
        <v>27.989346355018395</v>
      </c>
      <c r="AI123" s="240">
        <f t="shared" si="58"/>
        <v>67.989346355018398</v>
      </c>
      <c r="AJ123" s="316">
        <v>35.212378446563491</v>
      </c>
      <c r="AK123" s="672">
        <f t="shared" si="61"/>
        <v>32.776967908454907</v>
      </c>
      <c r="AL123">
        <f t="shared" si="70"/>
        <v>111</v>
      </c>
    </row>
    <row r="124" spans="1:38" x14ac:dyDescent="0.2">
      <c r="A124" s="6">
        <v>113</v>
      </c>
      <c r="B124" s="199">
        <v>60311</v>
      </c>
      <c r="C124" s="680" t="s">
        <v>410</v>
      </c>
      <c r="D124" s="173" t="s">
        <v>136</v>
      </c>
      <c r="E124" s="173" t="s">
        <v>136</v>
      </c>
      <c r="F124" s="174" t="s">
        <v>113</v>
      </c>
      <c r="G124" s="179" t="s">
        <v>6</v>
      </c>
      <c r="H124" s="179" t="s">
        <v>290</v>
      </c>
      <c r="I124" s="180" t="s">
        <v>43</v>
      </c>
      <c r="J124" s="181" t="s">
        <v>136</v>
      </c>
      <c r="K124" s="200" t="b">
        <v>0</v>
      </c>
      <c r="L124" s="650">
        <v>2432500</v>
      </c>
      <c r="M124" s="89">
        <v>1788012.43</v>
      </c>
      <c r="N124" s="89">
        <f t="shared" si="62"/>
        <v>323814.27706309274</v>
      </c>
      <c r="O124" s="89">
        <v>69850.080000000002</v>
      </c>
      <c r="P124" s="89">
        <f t="shared" si="59"/>
        <v>32381.427706309274</v>
      </c>
      <c r="Q124" s="651">
        <v>73838.16</v>
      </c>
      <c r="R124" s="650">
        <v>561000</v>
      </c>
      <c r="S124" s="89">
        <v>226025.89</v>
      </c>
      <c r="T124" s="89">
        <f t="shared" si="63"/>
        <v>31339.349648822554</v>
      </c>
      <c r="U124" s="89">
        <v>19477.53</v>
      </c>
      <c r="V124" s="89">
        <f t="shared" si="60"/>
        <v>3133.9349648822554</v>
      </c>
      <c r="W124" s="347">
        <v>4870.87</v>
      </c>
      <c r="X124" s="256">
        <v>0.13311994946067532</v>
      </c>
      <c r="Y124" s="256">
        <v>5.5863368357972468E-2</v>
      </c>
      <c r="Z124" s="648">
        <v>0.12054742985739865</v>
      </c>
      <c r="AA124" s="89">
        <f t="shared" si="64"/>
        <v>2993500</v>
      </c>
      <c r="AB124" s="89">
        <f t="shared" si="65"/>
        <v>2014038.3199999998</v>
      </c>
      <c r="AC124" s="257">
        <f t="shared" si="66"/>
        <v>0.12054742985739865</v>
      </c>
      <c r="AD124" s="90">
        <f t="shared" si="67"/>
        <v>360858.73127812287</v>
      </c>
      <c r="AE124" s="89">
        <f t="shared" si="68"/>
        <v>89327.61</v>
      </c>
      <c r="AF124" s="89">
        <f t="shared" si="69"/>
        <v>78709.03</v>
      </c>
      <c r="AG124" s="270">
        <f t="shared" si="56"/>
        <v>33.64019241690329</v>
      </c>
      <c r="AH124" s="271">
        <f t="shared" si="57"/>
        <v>14.852506356203914</v>
      </c>
      <c r="AI124" s="240">
        <f t="shared" si="58"/>
        <v>48.492698773107207</v>
      </c>
      <c r="AJ124" s="316">
        <v>73.635329788968562</v>
      </c>
      <c r="AK124" s="672">
        <f t="shared" si="61"/>
        <v>-25.142631015861355</v>
      </c>
      <c r="AL124" t="str">
        <f t="shared" si="70"/>
        <v/>
      </c>
    </row>
    <row r="125" spans="1:38" x14ac:dyDescent="0.2">
      <c r="A125" s="6">
        <v>114</v>
      </c>
      <c r="B125" s="199">
        <v>60926</v>
      </c>
      <c r="C125" s="680" t="s">
        <v>411</v>
      </c>
      <c r="D125" s="173" t="s">
        <v>136</v>
      </c>
      <c r="E125" s="173" t="s">
        <v>136</v>
      </c>
      <c r="F125" s="174" t="s">
        <v>113</v>
      </c>
      <c r="G125" s="179" t="s">
        <v>6</v>
      </c>
      <c r="H125" s="179" t="s">
        <v>290</v>
      </c>
      <c r="I125" s="180" t="s">
        <v>10</v>
      </c>
      <c r="J125" s="181" t="s">
        <v>136</v>
      </c>
      <c r="K125" s="200" t="b">
        <v>0</v>
      </c>
      <c r="L125" s="650">
        <v>47116500</v>
      </c>
      <c r="M125" s="89">
        <v>14843685.26</v>
      </c>
      <c r="N125" s="89">
        <f t="shared" si="62"/>
        <v>8749534.0500000007</v>
      </c>
      <c r="O125" s="89">
        <v>21526626.91</v>
      </c>
      <c r="P125" s="89">
        <f t="shared" si="59"/>
        <v>874953.40500000014</v>
      </c>
      <c r="Q125" s="651">
        <v>4116436.41</v>
      </c>
      <c r="R125" s="650">
        <v>3940500</v>
      </c>
      <c r="S125" s="89">
        <v>1514119.08</v>
      </c>
      <c r="T125" s="89">
        <f t="shared" si="63"/>
        <v>804650.1</v>
      </c>
      <c r="U125" s="89">
        <v>367732.41</v>
      </c>
      <c r="V125" s="89">
        <f t="shared" si="60"/>
        <v>80465.010000000009</v>
      </c>
      <c r="W125" s="347">
        <v>51951.77</v>
      </c>
      <c r="X125" s="256">
        <v>0.1857</v>
      </c>
      <c r="Y125" s="256">
        <v>0.20419999999999999</v>
      </c>
      <c r="Z125" s="648">
        <v>0.1867</v>
      </c>
      <c r="AA125" s="89">
        <f t="shared" si="64"/>
        <v>51057000</v>
      </c>
      <c r="AB125" s="89">
        <f t="shared" si="65"/>
        <v>16357804.34</v>
      </c>
      <c r="AC125" s="257">
        <f t="shared" si="66"/>
        <v>0.1867</v>
      </c>
      <c r="AD125" s="90">
        <f t="shared" si="67"/>
        <v>9532341.9000000004</v>
      </c>
      <c r="AE125" s="89">
        <f t="shared" si="68"/>
        <v>21894359.32</v>
      </c>
      <c r="AF125" s="89">
        <f t="shared" si="69"/>
        <v>4168388.18</v>
      </c>
      <c r="AG125" s="270">
        <f t="shared" si="56"/>
        <v>16.01915931214133</v>
      </c>
      <c r="AH125" s="271">
        <f t="shared" si="57"/>
        <v>60</v>
      </c>
      <c r="AI125" s="240">
        <f t="shared" si="58"/>
        <v>76.019159312141326</v>
      </c>
      <c r="AJ125" s="316">
        <v>58.063172380091274</v>
      </c>
      <c r="AK125" s="672">
        <f t="shared" si="61"/>
        <v>17.955986932050052</v>
      </c>
      <c r="AL125" t="str">
        <f t="shared" si="70"/>
        <v/>
      </c>
    </row>
    <row r="126" spans="1:38" x14ac:dyDescent="0.2">
      <c r="A126" s="6">
        <v>115</v>
      </c>
      <c r="B126" s="199">
        <v>60320</v>
      </c>
      <c r="C126" s="680" t="s">
        <v>412</v>
      </c>
      <c r="D126" s="173" t="s">
        <v>136</v>
      </c>
      <c r="E126" s="173" t="s">
        <v>136</v>
      </c>
      <c r="F126" s="174" t="s">
        <v>113</v>
      </c>
      <c r="G126" s="179" t="s">
        <v>6</v>
      </c>
      <c r="H126" s="179" t="s">
        <v>290</v>
      </c>
      <c r="I126" s="180" t="s">
        <v>44</v>
      </c>
      <c r="J126" s="181" t="s">
        <v>136</v>
      </c>
      <c r="K126" s="200" t="b">
        <v>0</v>
      </c>
      <c r="L126" s="650">
        <v>1545000</v>
      </c>
      <c r="M126" s="89">
        <v>868656.4</v>
      </c>
      <c r="N126" s="89">
        <f t="shared" si="62"/>
        <v>510901.2038099108</v>
      </c>
      <c r="O126" s="89">
        <v>109058.64</v>
      </c>
      <c r="P126" s="89">
        <f t="shared" si="59"/>
        <v>51090.12038099108</v>
      </c>
      <c r="Q126" s="89">
        <v>89705.64</v>
      </c>
      <c r="R126" s="650">
        <v>161500</v>
      </c>
      <c r="S126" s="89">
        <v>39699.800000000003</v>
      </c>
      <c r="T126" s="89">
        <f t="shared" si="63"/>
        <v>14978.179646430775</v>
      </c>
      <c r="U126" s="89">
        <v>12616.8</v>
      </c>
      <c r="V126" s="89">
        <f t="shared" si="60"/>
        <v>1497.8179646430776</v>
      </c>
      <c r="W126" s="347">
        <v>3347.56</v>
      </c>
      <c r="X126" s="256">
        <v>0.33068039081547623</v>
      </c>
      <c r="Y126" s="256">
        <v>9.2744146417528026E-2</v>
      </c>
      <c r="Z126" s="648">
        <v>0.27362467245610628</v>
      </c>
      <c r="AA126" s="89">
        <f t="shared" si="64"/>
        <v>1706500</v>
      </c>
      <c r="AB126" s="89">
        <f t="shared" si="65"/>
        <v>908356.20000000007</v>
      </c>
      <c r="AC126" s="257">
        <f t="shared" si="66"/>
        <v>0.27362467245610628</v>
      </c>
      <c r="AD126" s="90">
        <f t="shared" si="67"/>
        <v>466940.50354634534</v>
      </c>
      <c r="AE126" s="89">
        <f t="shared" si="68"/>
        <v>121675.44</v>
      </c>
      <c r="AF126" s="89">
        <f t="shared" si="69"/>
        <v>93053.2</v>
      </c>
      <c r="AG126" s="270">
        <f t="shared" si="56"/>
        <v>26.614597128625842</v>
      </c>
      <c r="AH126" s="271">
        <f t="shared" si="57"/>
        <v>15.634810740455286</v>
      </c>
      <c r="AI126" s="240">
        <f t="shared" si="58"/>
        <v>42.249407869081125</v>
      </c>
      <c r="AJ126" s="316">
        <v>93.677259600077093</v>
      </c>
      <c r="AK126" s="672">
        <f t="shared" si="61"/>
        <v>-51.427851730995968</v>
      </c>
      <c r="AL126" t="str">
        <f t="shared" si="70"/>
        <v/>
      </c>
    </row>
    <row r="127" spans="1:38" x14ac:dyDescent="0.2">
      <c r="A127" s="6">
        <v>116</v>
      </c>
      <c r="B127" s="199">
        <v>60318</v>
      </c>
      <c r="C127" s="680" t="s">
        <v>413</v>
      </c>
      <c r="D127" s="173" t="s">
        <v>136</v>
      </c>
      <c r="E127" s="173" t="s">
        <v>136</v>
      </c>
      <c r="F127" s="174" t="s">
        <v>113</v>
      </c>
      <c r="G127" s="179" t="s">
        <v>6</v>
      </c>
      <c r="H127" s="179" t="s">
        <v>290</v>
      </c>
      <c r="I127" s="182" t="s">
        <v>45</v>
      </c>
      <c r="J127" s="181" t="s">
        <v>136</v>
      </c>
      <c r="K127" s="200" t="b">
        <v>0</v>
      </c>
      <c r="L127" s="650">
        <v>1137500</v>
      </c>
      <c r="M127" s="89">
        <v>0</v>
      </c>
      <c r="N127" s="89">
        <f t="shared" si="62"/>
        <v>241718.75</v>
      </c>
      <c r="O127" s="89">
        <v>398425.86</v>
      </c>
      <c r="P127" s="89">
        <f t="shared" si="59"/>
        <v>24171.875</v>
      </c>
      <c r="Q127" s="651">
        <v>54791.88</v>
      </c>
      <c r="R127" s="650">
        <v>109000</v>
      </c>
      <c r="S127" s="89">
        <v>4980.2299999999996</v>
      </c>
      <c r="T127" s="89">
        <f t="shared" si="63"/>
        <v>8916.1999999999989</v>
      </c>
      <c r="U127" s="89">
        <v>4425.43</v>
      </c>
      <c r="V127" s="89">
        <f t="shared" si="60"/>
        <v>891.61999999999989</v>
      </c>
      <c r="W127" s="347">
        <v>838.79</v>
      </c>
      <c r="X127" s="256">
        <v>0.21249999999999999</v>
      </c>
      <c r="Y127" s="256">
        <v>8.1799999999999998E-2</v>
      </c>
      <c r="Z127" s="648">
        <v>0.19500000000000001</v>
      </c>
      <c r="AA127" s="89">
        <f t="shared" si="64"/>
        <v>1246500</v>
      </c>
      <c r="AB127" s="89">
        <f t="shared" si="65"/>
        <v>4980.2299999999996</v>
      </c>
      <c r="AC127" s="257">
        <f t="shared" si="66"/>
        <v>0.19500000000000001</v>
      </c>
      <c r="AD127" s="90">
        <f t="shared" si="67"/>
        <v>243067.5</v>
      </c>
      <c r="AE127" s="89">
        <f t="shared" si="68"/>
        <v>402851.29</v>
      </c>
      <c r="AF127" s="89">
        <f t="shared" si="69"/>
        <v>55630.67</v>
      </c>
      <c r="AG127" s="270">
        <f t="shared" si="56"/>
        <v>0.19976855194544724</v>
      </c>
      <c r="AH127" s="271">
        <f t="shared" si="57"/>
        <v>60</v>
      </c>
      <c r="AI127" s="240">
        <f t="shared" si="58"/>
        <v>60.199768551945446</v>
      </c>
      <c r="AJ127" s="316">
        <v>24.655580412511451</v>
      </c>
      <c r="AK127" s="672">
        <f t="shared" si="61"/>
        <v>35.544188139433999</v>
      </c>
      <c r="AL127" t="str">
        <f t="shared" si="70"/>
        <v/>
      </c>
    </row>
    <row r="128" spans="1:38" x14ac:dyDescent="0.2">
      <c r="A128" s="6">
        <v>117</v>
      </c>
      <c r="B128" s="199">
        <v>60927</v>
      </c>
      <c r="C128" s="680" t="s">
        <v>414</v>
      </c>
      <c r="D128" s="173" t="s">
        <v>136</v>
      </c>
      <c r="E128" s="173" t="s">
        <v>136</v>
      </c>
      <c r="F128" s="174" t="s">
        <v>113</v>
      </c>
      <c r="G128" s="179" t="s">
        <v>6</v>
      </c>
      <c r="H128" s="179" t="s">
        <v>290</v>
      </c>
      <c r="I128" s="182" t="s">
        <v>11</v>
      </c>
      <c r="J128" s="181" t="s">
        <v>136</v>
      </c>
      <c r="K128" s="200" t="b">
        <v>0</v>
      </c>
      <c r="L128" s="650">
        <v>4557000</v>
      </c>
      <c r="M128" s="89">
        <v>0</v>
      </c>
      <c r="N128" s="89">
        <f t="shared" si="62"/>
        <v>1180772.5257040875</v>
      </c>
      <c r="O128" s="89">
        <v>320192.34000000003</v>
      </c>
      <c r="P128" s="89">
        <f t="shared" si="59"/>
        <v>118077.25257040875</v>
      </c>
      <c r="Q128" s="651">
        <v>300412.14</v>
      </c>
      <c r="R128" s="650">
        <v>1008000</v>
      </c>
      <c r="S128" s="89">
        <v>1199.56</v>
      </c>
      <c r="T128" s="89">
        <f t="shared" si="63"/>
        <v>65922.947204566095</v>
      </c>
      <c r="U128" s="89">
        <v>1199.56</v>
      </c>
      <c r="V128" s="89">
        <f t="shared" si="60"/>
        <v>6592.2947204566099</v>
      </c>
      <c r="W128" s="347">
        <v>30.01</v>
      </c>
      <c r="X128" s="256">
        <v>0.25911181165329988</v>
      </c>
      <c r="Y128" s="256">
        <v>6.5399749210879057E-2</v>
      </c>
      <c r="Z128" s="648">
        <v>0.22950220472405164</v>
      </c>
      <c r="AA128" s="89">
        <f t="shared" si="64"/>
        <v>5565000</v>
      </c>
      <c r="AB128" s="89">
        <f t="shared" si="65"/>
        <v>1199.56</v>
      </c>
      <c r="AC128" s="257">
        <f t="shared" si="66"/>
        <v>0.22950220472405164</v>
      </c>
      <c r="AD128" s="90">
        <f t="shared" si="67"/>
        <v>1277179.7692893473</v>
      </c>
      <c r="AE128" s="89">
        <f t="shared" si="68"/>
        <v>321391.90000000002</v>
      </c>
      <c r="AF128" s="89">
        <f t="shared" si="69"/>
        <v>300442.15000000002</v>
      </c>
      <c r="AG128" s="270">
        <f t="shared" si="56"/>
        <v>1.0777717879604673E-2</v>
      </c>
      <c r="AH128" s="271">
        <f t="shared" si="57"/>
        <v>15.098511943020988</v>
      </c>
      <c r="AI128" s="240">
        <f t="shared" si="58"/>
        <v>15.109289660900592</v>
      </c>
      <c r="AJ128" s="316">
        <v>60.379915190869738</v>
      </c>
      <c r="AK128" s="672">
        <f t="shared" si="61"/>
        <v>-45.270625529969145</v>
      </c>
      <c r="AL128">
        <f t="shared" si="70"/>
        <v>116</v>
      </c>
    </row>
    <row r="129" spans="1:39" x14ac:dyDescent="0.2">
      <c r="A129" s="6">
        <v>118</v>
      </c>
      <c r="B129" s="199">
        <v>60305</v>
      </c>
      <c r="C129" s="680" t="s">
        <v>415</v>
      </c>
      <c r="D129" s="173" t="s">
        <v>136</v>
      </c>
      <c r="E129" s="173" t="s">
        <v>136</v>
      </c>
      <c r="F129" s="174" t="s">
        <v>113</v>
      </c>
      <c r="G129" s="179" t="s">
        <v>6</v>
      </c>
      <c r="H129" s="179" t="s">
        <v>290</v>
      </c>
      <c r="I129" s="182" t="s">
        <v>12</v>
      </c>
      <c r="J129" s="181" t="s">
        <v>136</v>
      </c>
      <c r="K129" s="200" t="b">
        <v>0</v>
      </c>
      <c r="L129" s="650">
        <v>34611000</v>
      </c>
      <c r="M129" s="89">
        <v>19506287.789999999</v>
      </c>
      <c r="N129" s="89">
        <f t="shared" si="62"/>
        <v>7360100.6395983379</v>
      </c>
      <c r="O129" s="89">
        <v>3606799.74</v>
      </c>
      <c r="P129" s="89">
        <f t="shared" si="59"/>
        <v>736010.06395983382</v>
      </c>
      <c r="Q129" s="651">
        <v>2900955.84</v>
      </c>
      <c r="R129" s="650">
        <v>3708500</v>
      </c>
      <c r="S129" s="89">
        <v>1951434.98</v>
      </c>
      <c r="T129" s="89">
        <f t="shared" si="63"/>
        <v>822564.69547680009</v>
      </c>
      <c r="U129" s="89">
        <v>575463.81000000006</v>
      </c>
      <c r="V129" s="89">
        <f t="shared" si="60"/>
        <v>82256.469547680012</v>
      </c>
      <c r="W129" s="347">
        <v>75296.88</v>
      </c>
      <c r="X129" s="256">
        <v>0.21265206551669522</v>
      </c>
      <c r="Y129" s="256">
        <v>0.2218052300058784</v>
      </c>
      <c r="Z129" s="648">
        <v>0.21337085300724309</v>
      </c>
      <c r="AA129" s="89">
        <f t="shared" si="64"/>
        <v>38319500</v>
      </c>
      <c r="AB129" s="89">
        <f t="shared" si="65"/>
        <v>21457722.77</v>
      </c>
      <c r="AC129" s="257">
        <f t="shared" si="66"/>
        <v>0.21337085300724309</v>
      </c>
      <c r="AD129" s="90">
        <f t="shared" si="67"/>
        <v>8176264.4018110521</v>
      </c>
      <c r="AE129" s="89">
        <f t="shared" si="68"/>
        <v>4182263.5500000003</v>
      </c>
      <c r="AF129" s="89">
        <f t="shared" si="69"/>
        <v>2976252.7199999997</v>
      </c>
      <c r="AG129" s="270">
        <f t="shared" si="56"/>
        <v>27.998437831913257</v>
      </c>
      <c r="AH129" s="271">
        <f t="shared" si="57"/>
        <v>30.690765448389541</v>
      </c>
      <c r="AI129" s="240">
        <f t="shared" si="58"/>
        <v>58.689203280302799</v>
      </c>
      <c r="AJ129" s="316">
        <v>20.220009165365848</v>
      </c>
      <c r="AK129" s="672">
        <f t="shared" si="61"/>
        <v>38.469194114936954</v>
      </c>
      <c r="AL129">
        <f t="shared" si="70"/>
        <v>117</v>
      </c>
    </row>
    <row r="130" spans="1:39" x14ac:dyDescent="0.2">
      <c r="A130" s="6">
        <v>119</v>
      </c>
      <c r="B130" s="199">
        <v>60314</v>
      </c>
      <c r="C130" s="680" t="s">
        <v>416</v>
      </c>
      <c r="D130" s="173" t="s">
        <v>136</v>
      </c>
      <c r="E130" s="173" t="s">
        <v>136</v>
      </c>
      <c r="F130" s="174" t="s">
        <v>113</v>
      </c>
      <c r="G130" s="179" t="s">
        <v>6</v>
      </c>
      <c r="H130" s="179" t="s">
        <v>290</v>
      </c>
      <c r="I130" s="180" t="s">
        <v>46</v>
      </c>
      <c r="J130" s="181" t="s">
        <v>136</v>
      </c>
      <c r="K130" s="200" t="b">
        <v>0</v>
      </c>
      <c r="L130" s="650">
        <v>1529500</v>
      </c>
      <c r="M130" s="89">
        <v>0</v>
      </c>
      <c r="N130" s="89">
        <f t="shared" si="62"/>
        <v>423278.35922526475</v>
      </c>
      <c r="O130" s="89">
        <v>39251.58</v>
      </c>
      <c r="P130" s="89">
        <f t="shared" si="59"/>
        <v>42327.835922526479</v>
      </c>
      <c r="Q130" s="651">
        <v>47256.72</v>
      </c>
      <c r="R130" s="650">
        <v>277000</v>
      </c>
      <c r="S130" s="89">
        <v>45481.22</v>
      </c>
      <c r="T130" s="89">
        <f t="shared" si="63"/>
        <v>53974.222653507866</v>
      </c>
      <c r="U130" s="89">
        <v>14777.39</v>
      </c>
      <c r="V130" s="89">
        <f t="shared" si="60"/>
        <v>5397.4222653507868</v>
      </c>
      <c r="W130" s="347">
        <v>3787.59</v>
      </c>
      <c r="X130" s="256">
        <v>0.27674296124567815</v>
      </c>
      <c r="Y130" s="256">
        <v>0.19485278936284428</v>
      </c>
      <c r="Z130" s="648">
        <v>0.25922545144779635</v>
      </c>
      <c r="AA130" s="89">
        <f t="shared" si="64"/>
        <v>1806500</v>
      </c>
      <c r="AB130" s="89">
        <f t="shared" si="65"/>
        <v>45481.22</v>
      </c>
      <c r="AC130" s="257">
        <f t="shared" si="66"/>
        <v>0.25922545144779635</v>
      </c>
      <c r="AD130" s="90">
        <f t="shared" si="67"/>
        <v>468290.77804044413</v>
      </c>
      <c r="AE130" s="89">
        <f t="shared" si="68"/>
        <v>54028.97</v>
      </c>
      <c r="AF130" s="89">
        <f t="shared" si="69"/>
        <v>51044.31</v>
      </c>
      <c r="AG130" s="270">
        <f t="shared" si="56"/>
        <v>1.2588214779961251</v>
      </c>
      <c r="AH130" s="271">
        <f t="shared" si="57"/>
        <v>6.9224899400432474</v>
      </c>
      <c r="AI130" s="240">
        <f t="shared" si="58"/>
        <v>8.1813114180393729</v>
      </c>
      <c r="AJ130" s="316">
        <v>65.890813960706566</v>
      </c>
      <c r="AK130" s="672">
        <f t="shared" si="61"/>
        <v>-57.709502542667195</v>
      </c>
      <c r="AL130" t="str">
        <f t="shared" si="70"/>
        <v/>
      </c>
    </row>
    <row r="131" spans="1:39" x14ac:dyDescent="0.2">
      <c r="A131" s="6">
        <v>120</v>
      </c>
      <c r="B131" s="199">
        <v>60310</v>
      </c>
      <c r="C131" s="680" t="s">
        <v>417</v>
      </c>
      <c r="D131" s="173" t="s">
        <v>136</v>
      </c>
      <c r="E131" s="173" t="s">
        <v>136</v>
      </c>
      <c r="F131" s="174" t="s">
        <v>113</v>
      </c>
      <c r="G131" s="179" t="s">
        <v>6</v>
      </c>
      <c r="H131" s="179" t="s">
        <v>290</v>
      </c>
      <c r="I131" s="180" t="s">
        <v>47</v>
      </c>
      <c r="J131" s="181" t="s">
        <v>136</v>
      </c>
      <c r="K131" s="200" t="b">
        <v>0</v>
      </c>
      <c r="L131" s="650">
        <v>3395000</v>
      </c>
      <c r="M131" s="89">
        <v>2271064.5099999998</v>
      </c>
      <c r="N131" s="89">
        <f t="shared" si="62"/>
        <v>531678.56832624215</v>
      </c>
      <c r="O131" s="89">
        <v>247867.2</v>
      </c>
      <c r="P131" s="89">
        <f t="shared" si="59"/>
        <v>53167.856832624217</v>
      </c>
      <c r="Q131" s="651">
        <v>189130.56</v>
      </c>
      <c r="R131" s="650">
        <v>292000</v>
      </c>
      <c r="S131" s="89">
        <v>134746.16</v>
      </c>
      <c r="T131" s="89">
        <f t="shared" si="63"/>
        <v>23658.228873687745</v>
      </c>
      <c r="U131" s="89">
        <v>14572.46</v>
      </c>
      <c r="V131" s="89">
        <f t="shared" si="60"/>
        <v>2365.8228873687744</v>
      </c>
      <c r="W131" s="347">
        <v>3564.43</v>
      </c>
      <c r="X131" s="256">
        <v>0.1566063529679653</v>
      </c>
      <c r="Y131" s="256">
        <v>8.1021331759204604E-2</v>
      </c>
      <c r="Z131" s="648">
        <v>0.14752125202248395</v>
      </c>
      <c r="AA131" s="89">
        <f t="shared" si="64"/>
        <v>3687000</v>
      </c>
      <c r="AB131" s="89">
        <f t="shared" si="65"/>
        <v>2405810.67</v>
      </c>
      <c r="AC131" s="257">
        <f t="shared" si="66"/>
        <v>0.14752125202248395</v>
      </c>
      <c r="AD131" s="90">
        <f t="shared" si="67"/>
        <v>543910.85620689834</v>
      </c>
      <c r="AE131" s="89">
        <f t="shared" si="68"/>
        <v>262439.66000000003</v>
      </c>
      <c r="AF131" s="89">
        <f t="shared" si="69"/>
        <v>192694.99</v>
      </c>
      <c r="AG131" s="270">
        <f t="shared" si="56"/>
        <v>32.625585435313262</v>
      </c>
      <c r="AH131" s="271">
        <f t="shared" si="57"/>
        <v>28.950294740964381</v>
      </c>
      <c r="AI131" s="240">
        <f t="shared" si="58"/>
        <v>61.575880176277643</v>
      </c>
      <c r="AJ131" s="316">
        <v>61.585414478590714</v>
      </c>
      <c r="AK131" s="672">
        <f t="shared" si="61"/>
        <v>-9.5343023130709526E-3</v>
      </c>
      <c r="AL131">
        <f t="shared" si="70"/>
        <v>119</v>
      </c>
    </row>
    <row r="132" spans="1:39" x14ac:dyDescent="0.2">
      <c r="A132" s="6">
        <v>121</v>
      </c>
      <c r="B132" s="199">
        <v>60315</v>
      </c>
      <c r="C132" s="680" t="s">
        <v>418</v>
      </c>
      <c r="D132" s="173" t="s">
        <v>136</v>
      </c>
      <c r="E132" s="173" t="s">
        <v>136</v>
      </c>
      <c r="F132" s="174" t="s">
        <v>113</v>
      </c>
      <c r="G132" s="179" t="s">
        <v>6</v>
      </c>
      <c r="H132" s="179" t="s">
        <v>290</v>
      </c>
      <c r="I132" s="180" t="s">
        <v>48</v>
      </c>
      <c r="J132" s="181" t="s">
        <v>136</v>
      </c>
      <c r="K132" s="200" t="b">
        <v>0</v>
      </c>
      <c r="L132" s="650">
        <v>1483000</v>
      </c>
      <c r="M132" s="89">
        <v>519566.44</v>
      </c>
      <c r="N132" s="89">
        <f t="shared" si="62"/>
        <v>514970.09064056934</v>
      </c>
      <c r="O132" s="89">
        <v>107388.24</v>
      </c>
      <c r="P132" s="89">
        <f t="shared" si="59"/>
        <v>51497.00906405694</v>
      </c>
      <c r="Q132" s="651">
        <v>99684.24</v>
      </c>
      <c r="R132" s="650">
        <v>213000</v>
      </c>
      <c r="S132" s="89">
        <v>282256.09999999998</v>
      </c>
      <c r="T132" s="89">
        <f t="shared" si="63"/>
        <v>26405.311689874317</v>
      </c>
      <c r="U132" s="89">
        <v>8763.59</v>
      </c>
      <c r="V132" s="89">
        <f t="shared" si="60"/>
        <v>2640.531168987432</v>
      </c>
      <c r="W132" s="347">
        <v>2345.65</v>
      </c>
      <c r="X132" s="256">
        <v>0.34724888107927804</v>
      </c>
      <c r="Y132" s="256">
        <v>0.12396859948297802</v>
      </c>
      <c r="Z132" s="648">
        <v>0.32468997749544032</v>
      </c>
      <c r="AA132" s="89">
        <f t="shared" si="64"/>
        <v>1696000</v>
      </c>
      <c r="AB132" s="89">
        <f t="shared" si="65"/>
        <v>801822.54</v>
      </c>
      <c r="AC132" s="257">
        <f t="shared" si="66"/>
        <v>0.32468997749544032</v>
      </c>
      <c r="AD132" s="90">
        <f t="shared" si="67"/>
        <v>550674.20183226676</v>
      </c>
      <c r="AE132" s="89">
        <f t="shared" si="68"/>
        <v>116151.83</v>
      </c>
      <c r="AF132" s="89">
        <f t="shared" si="69"/>
        <v>102029.89</v>
      </c>
      <c r="AG132" s="270">
        <f t="shared" si="56"/>
        <v>23.638636202830192</v>
      </c>
      <c r="AH132" s="271">
        <f t="shared" si="57"/>
        <v>12.655595226381722</v>
      </c>
      <c r="AI132" s="240">
        <f t="shared" si="58"/>
        <v>36.294231429211912</v>
      </c>
      <c r="AJ132" s="316">
        <v>71.817474432842346</v>
      </c>
      <c r="AK132" s="672">
        <f t="shared" si="61"/>
        <v>-35.523243003630434</v>
      </c>
      <c r="AL132" t="str">
        <f t="shared" si="70"/>
        <v/>
      </c>
    </row>
    <row r="133" spans="1:39" x14ac:dyDescent="0.2">
      <c r="A133" s="6">
        <v>122</v>
      </c>
      <c r="B133" s="199">
        <v>60308</v>
      </c>
      <c r="C133" s="680" t="s">
        <v>419</v>
      </c>
      <c r="D133" s="173" t="s">
        <v>136</v>
      </c>
      <c r="E133" s="173" t="s">
        <v>136</v>
      </c>
      <c r="F133" s="174" t="s">
        <v>113</v>
      </c>
      <c r="G133" s="179" t="s">
        <v>6</v>
      </c>
      <c r="H133" s="179" t="s">
        <v>290</v>
      </c>
      <c r="I133" s="182" t="s">
        <v>49</v>
      </c>
      <c r="J133" s="181" t="s">
        <v>136</v>
      </c>
      <c r="K133" s="200" t="b">
        <v>0</v>
      </c>
      <c r="L133" s="650">
        <v>13763500</v>
      </c>
      <c r="M133" s="89">
        <v>10289748.890000001</v>
      </c>
      <c r="N133" s="89">
        <f t="shared" si="62"/>
        <v>2254247.0573630231</v>
      </c>
      <c r="O133" s="89">
        <v>1617002.64</v>
      </c>
      <c r="P133" s="89">
        <f t="shared" si="59"/>
        <v>225424.70573630231</v>
      </c>
      <c r="Q133" s="651">
        <v>1314655.02</v>
      </c>
      <c r="R133" s="650">
        <v>2196500</v>
      </c>
      <c r="S133" s="89">
        <v>333794.44</v>
      </c>
      <c r="T133" s="89">
        <f t="shared" si="63"/>
        <v>410261.44416700292</v>
      </c>
      <c r="U133" s="89">
        <v>103255.02</v>
      </c>
      <c r="V133" s="89">
        <f t="shared" si="60"/>
        <v>41026.144416700292</v>
      </c>
      <c r="W133" s="347">
        <v>15420.16</v>
      </c>
      <c r="X133" s="256">
        <v>0.1637844340002923</v>
      </c>
      <c r="Y133" s="256">
        <v>0.1867796240232201</v>
      </c>
      <c r="Z133" s="648">
        <v>0.16601831318436977</v>
      </c>
      <c r="AA133" s="89">
        <f t="shared" si="64"/>
        <v>15960000</v>
      </c>
      <c r="AB133" s="89">
        <f t="shared" si="65"/>
        <v>10623543.33</v>
      </c>
      <c r="AC133" s="257">
        <f t="shared" si="66"/>
        <v>0.16601831318436977</v>
      </c>
      <c r="AD133" s="90">
        <f t="shared" si="67"/>
        <v>2649652.2784225415</v>
      </c>
      <c r="AE133" s="89">
        <f t="shared" si="68"/>
        <v>1720257.66</v>
      </c>
      <c r="AF133" s="89">
        <f t="shared" si="69"/>
        <v>1330075.18</v>
      </c>
      <c r="AG133" s="270">
        <f t="shared" si="56"/>
        <v>33.281777349624065</v>
      </c>
      <c r="AH133" s="271">
        <f t="shared" si="57"/>
        <v>38.954341458513511</v>
      </c>
      <c r="AI133" s="240">
        <f t="shared" si="58"/>
        <v>72.236118808137576</v>
      </c>
      <c r="AJ133" s="316">
        <v>57.804801914440631</v>
      </c>
      <c r="AK133" s="672">
        <f t="shared" si="61"/>
        <v>14.431316893696945</v>
      </c>
      <c r="AL133" t="str">
        <f t="shared" si="70"/>
        <v/>
      </c>
    </row>
    <row r="134" spans="1:39" x14ac:dyDescent="0.2">
      <c r="A134" s="6">
        <v>123</v>
      </c>
      <c r="B134" s="199">
        <v>60514</v>
      </c>
      <c r="C134" s="680" t="s">
        <v>430</v>
      </c>
      <c r="D134" s="173" t="s">
        <v>136</v>
      </c>
      <c r="E134" s="173" t="s">
        <v>136</v>
      </c>
      <c r="F134" s="174" t="s">
        <v>113</v>
      </c>
      <c r="G134" s="179" t="s">
        <v>4</v>
      </c>
      <c r="H134" s="179" t="s">
        <v>294</v>
      </c>
      <c r="I134" s="180" t="s">
        <v>8</v>
      </c>
      <c r="J134" s="181" t="s">
        <v>136</v>
      </c>
      <c r="K134" s="200" t="b">
        <v>0</v>
      </c>
      <c r="L134" s="650">
        <v>806000</v>
      </c>
      <c r="M134" s="89">
        <v>216000.83</v>
      </c>
      <c r="N134" s="89">
        <f t="shared" si="62"/>
        <v>8060</v>
      </c>
      <c r="O134" s="89">
        <v>1807.74</v>
      </c>
      <c r="P134" s="89">
        <f t="shared" si="59"/>
        <v>806</v>
      </c>
      <c r="Q134" s="651">
        <v>12778.86</v>
      </c>
      <c r="R134" s="650">
        <v>113000</v>
      </c>
      <c r="S134" s="89">
        <v>0</v>
      </c>
      <c r="T134" s="89">
        <f t="shared" si="63"/>
        <v>16690.099999999999</v>
      </c>
      <c r="U134" s="89">
        <v>0</v>
      </c>
      <c r="V134" s="89">
        <f t="shared" si="60"/>
        <v>1669.01</v>
      </c>
      <c r="W134" s="347">
        <v>0</v>
      </c>
      <c r="X134" s="256">
        <v>0.01</v>
      </c>
      <c r="Y134" s="256">
        <v>0.1477</v>
      </c>
      <c r="Z134" s="648">
        <v>3.7600000000000001E-2</v>
      </c>
      <c r="AA134" s="89">
        <f t="shared" si="64"/>
        <v>919000</v>
      </c>
      <c r="AB134" s="89">
        <f t="shared" si="65"/>
        <v>216000.83</v>
      </c>
      <c r="AC134" s="257">
        <f t="shared" si="66"/>
        <v>3.7600000000000001E-2</v>
      </c>
      <c r="AD134" s="90">
        <f t="shared" si="67"/>
        <v>34554.400000000001</v>
      </c>
      <c r="AE134" s="89">
        <f t="shared" si="68"/>
        <v>1807.74</v>
      </c>
      <c r="AF134" s="89">
        <f t="shared" si="69"/>
        <v>12778.86</v>
      </c>
      <c r="AG134" s="270">
        <f t="shared" si="56"/>
        <v>11.751949401523394</v>
      </c>
      <c r="AH134" s="271">
        <f t="shared" si="57"/>
        <v>3.1389461255295994</v>
      </c>
      <c r="AI134" s="240">
        <f t="shared" si="58"/>
        <v>14.890895527052994</v>
      </c>
      <c r="AJ134" s="316">
        <v>56.550597498334156</v>
      </c>
      <c r="AK134" s="672">
        <f t="shared" si="61"/>
        <v>-41.659701971281166</v>
      </c>
      <c r="AL134" t="str">
        <f t="shared" si="70"/>
        <v/>
      </c>
    </row>
    <row r="135" spans="1:39" x14ac:dyDescent="0.2">
      <c r="A135" s="6">
        <v>124</v>
      </c>
      <c r="B135" s="199">
        <v>60457</v>
      </c>
      <c r="C135" s="680" t="s">
        <v>189</v>
      </c>
      <c r="D135" s="173" t="s">
        <v>136</v>
      </c>
      <c r="E135" s="173" t="s">
        <v>136</v>
      </c>
      <c r="F135" s="174" t="s">
        <v>113</v>
      </c>
      <c r="G135" s="179" t="s">
        <v>4</v>
      </c>
      <c r="H135" s="179" t="s">
        <v>294</v>
      </c>
      <c r="I135" s="180" t="s">
        <v>9</v>
      </c>
      <c r="J135" s="181" t="s">
        <v>136</v>
      </c>
      <c r="K135" s="200" t="b">
        <v>0</v>
      </c>
      <c r="L135" s="650">
        <v>1476000</v>
      </c>
      <c r="M135" s="89">
        <v>1092799.51</v>
      </c>
      <c r="N135" s="89">
        <f t="shared" si="62"/>
        <v>53578.799999999996</v>
      </c>
      <c r="O135" s="89">
        <v>64710.12</v>
      </c>
      <c r="P135" s="89">
        <f t="shared" si="59"/>
        <v>5357.88</v>
      </c>
      <c r="Q135" s="651">
        <v>62521.26</v>
      </c>
      <c r="R135" s="650">
        <v>873500</v>
      </c>
      <c r="S135" s="89">
        <v>0</v>
      </c>
      <c r="T135" s="89">
        <f t="shared" si="63"/>
        <v>297164.7</v>
      </c>
      <c r="U135" s="89">
        <v>0</v>
      </c>
      <c r="V135" s="89">
        <f t="shared" si="60"/>
        <v>29716.47</v>
      </c>
      <c r="W135" s="347">
        <v>0</v>
      </c>
      <c r="X135" s="256">
        <v>3.6299999999999999E-2</v>
      </c>
      <c r="Y135" s="256">
        <v>0.3402</v>
      </c>
      <c r="Z135" s="648">
        <v>0.13850000000000001</v>
      </c>
      <c r="AA135" s="89">
        <f t="shared" si="64"/>
        <v>2349500</v>
      </c>
      <c r="AB135" s="89">
        <f t="shared" si="65"/>
        <v>1092799.51</v>
      </c>
      <c r="AC135" s="257">
        <f t="shared" si="66"/>
        <v>0.13850000000000001</v>
      </c>
      <c r="AD135" s="90">
        <f t="shared" si="67"/>
        <v>325405.75</v>
      </c>
      <c r="AE135" s="89">
        <f t="shared" si="68"/>
        <v>64710.12</v>
      </c>
      <c r="AF135" s="89">
        <f t="shared" si="69"/>
        <v>62521.26</v>
      </c>
      <c r="AG135" s="270">
        <f t="shared" si="56"/>
        <v>23.256001489678656</v>
      </c>
      <c r="AH135" s="271">
        <f t="shared" si="57"/>
        <v>11.931587564141076</v>
      </c>
      <c r="AI135" s="240">
        <f t="shared" si="58"/>
        <v>35.187589053819735</v>
      </c>
      <c r="AJ135" s="316">
        <v>42.140050400829615</v>
      </c>
      <c r="AK135" s="672">
        <f t="shared" si="61"/>
        <v>-6.9524613470098799</v>
      </c>
      <c r="AL135" t="str">
        <f t="shared" si="70"/>
        <v/>
      </c>
    </row>
    <row r="136" spans="1:39" x14ac:dyDescent="0.2">
      <c r="A136" s="6">
        <v>125</v>
      </c>
      <c r="B136" s="199">
        <v>60458</v>
      </c>
      <c r="C136" s="680" t="s">
        <v>190</v>
      </c>
      <c r="D136" s="173" t="s">
        <v>136</v>
      </c>
      <c r="E136" s="173" t="s">
        <v>136</v>
      </c>
      <c r="F136" s="174" t="s">
        <v>113</v>
      </c>
      <c r="G136" s="179" t="s">
        <v>4</v>
      </c>
      <c r="H136" s="179" t="s">
        <v>294</v>
      </c>
      <c r="I136" s="182" t="s">
        <v>33</v>
      </c>
      <c r="J136" s="181" t="s">
        <v>136</v>
      </c>
      <c r="K136" s="200" t="b">
        <v>0</v>
      </c>
      <c r="L136" s="650">
        <v>779500</v>
      </c>
      <c r="M136" s="89">
        <v>0</v>
      </c>
      <c r="N136" s="89">
        <f t="shared" si="62"/>
        <v>39988.35</v>
      </c>
      <c r="O136" s="89">
        <v>41537.279999999999</v>
      </c>
      <c r="P136" s="89">
        <f t="shared" si="59"/>
        <v>3998.835</v>
      </c>
      <c r="Q136" s="651">
        <v>25575.66</v>
      </c>
      <c r="R136" s="650">
        <v>994000</v>
      </c>
      <c r="S136" s="89">
        <v>0</v>
      </c>
      <c r="T136" s="89">
        <f t="shared" si="63"/>
        <v>428115.80000000005</v>
      </c>
      <c r="U136" s="89">
        <v>0</v>
      </c>
      <c r="V136" s="89">
        <f t="shared" si="60"/>
        <v>42811.580000000009</v>
      </c>
      <c r="W136" s="347">
        <v>0</v>
      </c>
      <c r="X136" s="256">
        <v>5.1299999999999998E-2</v>
      </c>
      <c r="Y136" s="256">
        <v>0.43070000000000003</v>
      </c>
      <c r="Z136" s="648">
        <v>0.24640000000000001</v>
      </c>
      <c r="AA136" s="89">
        <f t="shared" si="64"/>
        <v>1773500</v>
      </c>
      <c r="AB136" s="89">
        <f t="shared" si="65"/>
        <v>0</v>
      </c>
      <c r="AC136" s="257">
        <f t="shared" si="66"/>
        <v>0.24640000000000001</v>
      </c>
      <c r="AD136" s="90">
        <f t="shared" si="67"/>
        <v>436990.4</v>
      </c>
      <c r="AE136" s="89">
        <f t="shared" si="68"/>
        <v>41537.279999999999</v>
      </c>
      <c r="AF136" s="89">
        <f t="shared" si="69"/>
        <v>25575.66</v>
      </c>
      <c r="AG136" s="270">
        <f t="shared" si="56"/>
        <v>0</v>
      </c>
      <c r="AH136" s="271">
        <f t="shared" si="57"/>
        <v>5.7031843262460677</v>
      </c>
      <c r="AI136" s="240">
        <f t="shared" si="58"/>
        <v>5.7031843262460677</v>
      </c>
      <c r="AJ136" s="316">
        <v>13.673088775025976</v>
      </c>
      <c r="AK136" s="672">
        <f t="shared" si="61"/>
        <v>-7.969904448779908</v>
      </c>
      <c r="AL136" t="str">
        <f t="shared" si="70"/>
        <v/>
      </c>
    </row>
    <row r="137" spans="1:39" x14ac:dyDescent="0.2">
      <c r="A137" s="6">
        <v>126</v>
      </c>
      <c r="B137" s="199">
        <v>60454</v>
      </c>
      <c r="C137" s="680" t="s">
        <v>191</v>
      </c>
      <c r="D137" s="173" t="s">
        <v>136</v>
      </c>
      <c r="E137" s="173" t="s">
        <v>136</v>
      </c>
      <c r="F137" s="174" t="s">
        <v>113</v>
      </c>
      <c r="G137" s="179" t="s">
        <v>4</v>
      </c>
      <c r="H137" s="179" t="s">
        <v>294</v>
      </c>
      <c r="I137" s="182" t="s">
        <v>9</v>
      </c>
      <c r="J137" s="181" t="s">
        <v>136</v>
      </c>
      <c r="K137" s="200" t="b">
        <v>0</v>
      </c>
      <c r="L137" s="650">
        <v>1601000</v>
      </c>
      <c r="M137" s="89">
        <v>0</v>
      </c>
      <c r="N137" s="89">
        <f t="shared" si="62"/>
        <v>77008.099999999991</v>
      </c>
      <c r="O137" s="89">
        <v>72832.740000000005</v>
      </c>
      <c r="P137" s="89">
        <f t="shared" si="59"/>
        <v>7700.8099999999995</v>
      </c>
      <c r="Q137" s="651">
        <v>63160.92</v>
      </c>
      <c r="R137" s="650">
        <v>2061000</v>
      </c>
      <c r="S137" s="89">
        <v>150871.66</v>
      </c>
      <c r="T137" s="89">
        <f t="shared" si="63"/>
        <v>1033797.6000000001</v>
      </c>
      <c r="U137" s="89">
        <v>149987.39000000001</v>
      </c>
      <c r="V137" s="89">
        <f t="shared" si="60"/>
        <v>103379.76000000001</v>
      </c>
      <c r="W137" s="347">
        <v>31724.48</v>
      </c>
      <c r="X137" s="256">
        <v>4.8099999999999997E-2</v>
      </c>
      <c r="Y137" s="256">
        <v>0.50160000000000005</v>
      </c>
      <c r="Z137" s="648">
        <v>0.30309999999999998</v>
      </c>
      <c r="AA137" s="89">
        <f t="shared" si="64"/>
        <v>3662000</v>
      </c>
      <c r="AB137" s="89">
        <f t="shared" si="65"/>
        <v>150871.66</v>
      </c>
      <c r="AC137" s="257">
        <f t="shared" si="66"/>
        <v>0.30309999999999998</v>
      </c>
      <c r="AD137" s="90">
        <f t="shared" si="67"/>
        <v>1109952.2</v>
      </c>
      <c r="AE137" s="89">
        <f t="shared" si="68"/>
        <v>222820.13</v>
      </c>
      <c r="AF137" s="89">
        <f t="shared" si="69"/>
        <v>94885.4</v>
      </c>
      <c r="AG137" s="270">
        <f t="shared" si="56"/>
        <v>2.0599625887493174</v>
      </c>
      <c r="AH137" s="271">
        <f t="shared" si="57"/>
        <v>12.044850039488187</v>
      </c>
      <c r="AI137" s="240">
        <f t="shared" si="58"/>
        <v>14.104812628237504</v>
      </c>
      <c r="AJ137" s="316">
        <v>6.551872709050258</v>
      </c>
      <c r="AK137" s="672">
        <f t="shared" si="61"/>
        <v>7.5529399191872457</v>
      </c>
      <c r="AL137">
        <f t="shared" si="70"/>
        <v>125</v>
      </c>
    </row>
    <row r="138" spans="1:39" x14ac:dyDescent="0.2">
      <c r="A138" s="6">
        <v>127</v>
      </c>
      <c r="B138" s="199">
        <v>60928</v>
      </c>
      <c r="C138" s="680" t="s">
        <v>192</v>
      </c>
      <c r="D138" s="173" t="s">
        <v>136</v>
      </c>
      <c r="E138" s="173" t="s">
        <v>136</v>
      </c>
      <c r="F138" s="174" t="s">
        <v>113</v>
      </c>
      <c r="G138" s="179" t="s">
        <v>4</v>
      </c>
      <c r="H138" s="179" t="s">
        <v>294</v>
      </c>
      <c r="I138" s="180" t="s">
        <v>9</v>
      </c>
      <c r="J138" s="181" t="s">
        <v>136</v>
      </c>
      <c r="K138" s="200" t="b">
        <v>0</v>
      </c>
      <c r="L138" s="650">
        <v>1481700</v>
      </c>
      <c r="M138" s="89">
        <v>1366063.78</v>
      </c>
      <c r="N138" s="89">
        <f t="shared" si="62"/>
        <v>75418.53</v>
      </c>
      <c r="O138" s="89">
        <v>547838.22</v>
      </c>
      <c r="P138" s="89">
        <f t="shared" si="59"/>
        <v>7541.8530000000001</v>
      </c>
      <c r="Q138" s="651">
        <v>58617.24</v>
      </c>
      <c r="R138" s="650">
        <v>1734000</v>
      </c>
      <c r="S138" s="89">
        <v>579194.48</v>
      </c>
      <c r="T138" s="89">
        <f t="shared" si="63"/>
        <v>754116.6</v>
      </c>
      <c r="U138" s="89">
        <v>552636.14</v>
      </c>
      <c r="V138" s="89">
        <f t="shared" si="60"/>
        <v>75411.66</v>
      </c>
      <c r="W138" s="347">
        <v>113678.15</v>
      </c>
      <c r="X138" s="256">
        <v>5.0900000000000001E-2</v>
      </c>
      <c r="Y138" s="256">
        <v>0.43490000000000001</v>
      </c>
      <c r="Z138" s="648">
        <v>0.23280000000000001</v>
      </c>
      <c r="AA138" s="89">
        <f t="shared" si="64"/>
        <v>3215700</v>
      </c>
      <c r="AB138" s="89">
        <f t="shared" si="65"/>
        <v>1945258.26</v>
      </c>
      <c r="AC138" s="257">
        <f t="shared" si="66"/>
        <v>0.23280000000000001</v>
      </c>
      <c r="AD138" s="90">
        <f t="shared" si="67"/>
        <v>748614.96000000008</v>
      </c>
      <c r="AE138" s="89">
        <f t="shared" si="68"/>
        <v>1100474.3599999999</v>
      </c>
      <c r="AF138" s="89">
        <f t="shared" si="69"/>
        <v>172295.38999999998</v>
      </c>
      <c r="AG138" s="270">
        <f t="shared" si="56"/>
        <v>30.246264576919486</v>
      </c>
      <c r="AH138" s="271">
        <f t="shared" si="57"/>
        <v>60</v>
      </c>
      <c r="AI138" s="240">
        <f t="shared" si="58"/>
        <v>90.246264576919486</v>
      </c>
      <c r="AJ138" s="316">
        <v>13.181023901219371</v>
      </c>
      <c r="AK138" s="672">
        <f t="shared" si="61"/>
        <v>77.06524067570011</v>
      </c>
      <c r="AL138">
        <f t="shared" si="70"/>
        <v>126</v>
      </c>
    </row>
    <row r="139" spans="1:39" x14ac:dyDescent="0.2">
      <c r="A139" s="6">
        <v>128</v>
      </c>
      <c r="B139" s="199">
        <v>60461</v>
      </c>
      <c r="C139" s="680" t="s">
        <v>193</v>
      </c>
      <c r="D139" s="173" t="s">
        <v>136</v>
      </c>
      <c r="E139" s="173" t="s">
        <v>136</v>
      </c>
      <c r="F139" s="174" t="s">
        <v>113</v>
      </c>
      <c r="G139" s="179" t="s">
        <v>4</v>
      </c>
      <c r="H139" s="179" t="s">
        <v>294</v>
      </c>
      <c r="I139" s="180" t="s">
        <v>9</v>
      </c>
      <c r="J139" s="181" t="s">
        <v>136</v>
      </c>
      <c r="K139" s="200" t="b">
        <v>0</v>
      </c>
      <c r="L139" s="650">
        <v>3694000</v>
      </c>
      <c r="M139" s="89">
        <v>0</v>
      </c>
      <c r="N139" s="89">
        <f t="shared" si="62"/>
        <v>131506.4</v>
      </c>
      <c r="O139" s="89">
        <v>59558.1</v>
      </c>
      <c r="P139" s="89">
        <f t="shared" si="59"/>
        <v>13150.64</v>
      </c>
      <c r="Q139" s="651">
        <v>34667.339999999997</v>
      </c>
      <c r="R139" s="650">
        <v>2993500</v>
      </c>
      <c r="S139" s="89">
        <v>832568.38</v>
      </c>
      <c r="T139" s="89">
        <f t="shared" si="63"/>
        <v>1231525.8999999999</v>
      </c>
      <c r="U139" s="89">
        <v>659438.01</v>
      </c>
      <c r="V139" s="89">
        <f t="shared" si="60"/>
        <v>123152.59</v>
      </c>
      <c r="W139" s="347">
        <v>126314.26</v>
      </c>
      <c r="X139" s="256">
        <v>3.56E-2</v>
      </c>
      <c r="Y139" s="256">
        <v>0.41139999999999999</v>
      </c>
      <c r="Z139" s="648">
        <v>0.20019999999999999</v>
      </c>
      <c r="AA139" s="89">
        <f t="shared" ref="AA139:AA170" si="71">IF(jakaKS=1,L139+R139,IF(jakaKS=2,L139,IF(jakaKS=3,R139,0)))</f>
        <v>6687500</v>
      </c>
      <c r="AB139" s="89">
        <f t="shared" ref="AB139:AB170" si="72">IF(jakaKS=1,M139+S139,IF(jakaKS=2,M139,IF(jakaKS=3,S139,0)))+IF(uspora="A",IF(jakaKS=1,Q139+W139,IF(jakaKS=2,Q139,IF(jakaKS=3,W139,0))),0)</f>
        <v>832568.38</v>
      </c>
      <c r="AC139" s="257">
        <f t="shared" ref="AC139:AC170" si="73">IF(jakaKS=1,Z139,IF(jakaKS=2,X139,IF(jakaKS=3,Y139,0)))</f>
        <v>0.20019999999999999</v>
      </c>
      <c r="AD139" s="90">
        <f t="shared" ref="AD139:AD170" si="74">IF(jakaKS=1,AA139*Z139,IF(jakaKS=2,N139,IF(jakaKS=3,T139,0)))</f>
        <v>1338837.5</v>
      </c>
      <c r="AE139" s="89">
        <f t="shared" ref="AE139:AE170" si="75">IF(jakaKS=1,O139+U139,IF(jakaKS=2,O139,IF(jakaKS=3,U139,0)))+IF(uspora="A",IF(jakaKS=1,Q139+W139,IF(jakaKS=2,Q139,IF(jakaKS=3,W139,0))),0)</f>
        <v>718996.11</v>
      </c>
      <c r="AF139" s="89">
        <f t="shared" ref="AF139:AF170" si="76">IF(jakaKS=1,Q139+W139,IF(jakaKS=2,Q139,IF(jakaKS=3,W139,0)))</f>
        <v>160981.59999999998</v>
      </c>
      <c r="AG139" s="270">
        <f t="shared" ref="AG139:AG200" si="77">IF((AB139/(AA139*$O$6)*vahaE)&gt;vahaE,vahaE,AB139/(AA139*$O$6)*vahaE)</f>
        <v>6.2248103177570089</v>
      </c>
      <c r="AH139" s="271">
        <f t="shared" ref="AH139:AH200" si="78">IF((AE139/AD139*vahaD)&gt;vahaD,vahaD,AE139/AD139*vahaD)</f>
        <v>32.221809293510226</v>
      </c>
      <c r="AI139" s="240">
        <f t="shared" ref="AI139:AI200" si="79">IF((AB139/(AA139*$O$6)*vahaE)&gt;vahaE,vahaE,AB139/(AA139*$O$6)*vahaE)+IF((AE139/AD139*vahaD)&gt;vahaD,vahaD,AE139/AD139*vahaD)</f>
        <v>38.446619611267238</v>
      </c>
      <c r="AJ139" s="316">
        <v>31.590846522006927</v>
      </c>
      <c r="AK139" s="672">
        <f t="shared" si="61"/>
        <v>6.8557730892603104</v>
      </c>
      <c r="AL139" t="str">
        <f t="shared" ref="AL139:AL170" si="80">IF($M138=AL$11,$A138,"")</f>
        <v/>
      </c>
    </row>
    <row r="140" spans="1:39" x14ac:dyDescent="0.2">
      <c r="A140" s="6">
        <v>129</v>
      </c>
      <c r="B140" s="199">
        <v>60463</v>
      </c>
      <c r="C140" s="680" t="s">
        <v>194</v>
      </c>
      <c r="D140" s="173" t="s">
        <v>136</v>
      </c>
      <c r="E140" s="173" t="s">
        <v>136</v>
      </c>
      <c r="F140" s="174" t="s">
        <v>113</v>
      </c>
      <c r="G140" s="179" t="s">
        <v>4</v>
      </c>
      <c r="H140" s="179" t="s">
        <v>294</v>
      </c>
      <c r="I140" s="180" t="s">
        <v>35</v>
      </c>
      <c r="J140" s="181" t="s">
        <v>136</v>
      </c>
      <c r="K140" s="200" t="b">
        <v>0</v>
      </c>
      <c r="L140" s="650">
        <v>749800</v>
      </c>
      <c r="M140" s="89">
        <v>0</v>
      </c>
      <c r="N140" s="89">
        <f t="shared" si="62"/>
        <v>257256.38</v>
      </c>
      <c r="O140" s="89">
        <v>195698.22</v>
      </c>
      <c r="P140" s="89">
        <f t="shared" ref="P140:P189" si="81">N140*planUspor</f>
        <v>25725.638000000003</v>
      </c>
      <c r="Q140" s="651">
        <v>144564.06</v>
      </c>
      <c r="R140" s="650">
        <v>1218200</v>
      </c>
      <c r="S140" s="89">
        <v>660766.77</v>
      </c>
      <c r="T140" s="89">
        <f t="shared" si="63"/>
        <v>517613.18</v>
      </c>
      <c r="U140" s="89">
        <v>631991.86</v>
      </c>
      <c r="V140" s="89">
        <f t="shared" ref="V140:V189" si="82">T140*planUspor</f>
        <v>51761.317999999999</v>
      </c>
      <c r="W140" s="347">
        <v>136549.97</v>
      </c>
      <c r="X140" s="256">
        <v>0.34310000000000002</v>
      </c>
      <c r="Y140" s="256">
        <v>0.4249</v>
      </c>
      <c r="Z140" s="648">
        <v>0.38900000000000001</v>
      </c>
      <c r="AA140" s="89">
        <f t="shared" si="71"/>
        <v>1968000</v>
      </c>
      <c r="AB140" s="89">
        <f t="shared" si="72"/>
        <v>660766.77</v>
      </c>
      <c r="AC140" s="257">
        <f t="shared" si="73"/>
        <v>0.38900000000000001</v>
      </c>
      <c r="AD140" s="90">
        <f t="shared" si="74"/>
        <v>765552</v>
      </c>
      <c r="AE140" s="89">
        <f t="shared" si="75"/>
        <v>827690.08</v>
      </c>
      <c r="AF140" s="89">
        <f t="shared" si="76"/>
        <v>281114.03000000003</v>
      </c>
      <c r="AG140" s="270">
        <f t="shared" si="77"/>
        <v>16.787773628048782</v>
      </c>
      <c r="AH140" s="271">
        <f t="shared" si="78"/>
        <v>60</v>
      </c>
      <c r="AI140" s="240">
        <f t="shared" si="79"/>
        <v>76.787773628048782</v>
      </c>
      <c r="AJ140" s="316">
        <v>20.910129494558308</v>
      </c>
      <c r="AK140" s="672">
        <f t="shared" ref="AK140:AK201" si="83">AI140-AJ140</f>
        <v>55.877644133490477</v>
      </c>
      <c r="AL140">
        <f t="shared" si="80"/>
        <v>128</v>
      </c>
    </row>
    <row r="141" spans="1:39" x14ac:dyDescent="0.2">
      <c r="A141" s="6">
        <v>130</v>
      </c>
      <c r="B141" s="199">
        <v>60464</v>
      </c>
      <c r="C141" s="680" t="s">
        <v>195</v>
      </c>
      <c r="D141" s="173" t="s">
        <v>136</v>
      </c>
      <c r="E141" s="173" t="s">
        <v>136</v>
      </c>
      <c r="F141" s="175" t="s">
        <v>113</v>
      </c>
      <c r="G141" s="179" t="s">
        <v>4</v>
      </c>
      <c r="H141" s="179" t="s">
        <v>294</v>
      </c>
      <c r="I141" s="182" t="s">
        <v>36</v>
      </c>
      <c r="J141" s="181" t="s">
        <v>136</v>
      </c>
      <c r="K141" s="200" t="b">
        <v>0</v>
      </c>
      <c r="L141" s="650">
        <v>485000</v>
      </c>
      <c r="M141" s="89">
        <v>0</v>
      </c>
      <c r="N141" s="89">
        <f t="shared" ref="N141:N189" si="84">L141*X141</f>
        <v>80898</v>
      </c>
      <c r="O141" s="89">
        <v>52018.98</v>
      </c>
      <c r="P141" s="89">
        <f t="shared" si="81"/>
        <v>8089.8</v>
      </c>
      <c r="Q141" s="651">
        <v>53282.82</v>
      </c>
      <c r="R141" s="650">
        <v>173500</v>
      </c>
      <c r="S141" s="89">
        <v>0</v>
      </c>
      <c r="T141" s="89">
        <f t="shared" ref="T141:T189" si="85">R141*Y141</f>
        <v>18720.649999999998</v>
      </c>
      <c r="U141" s="89">
        <v>0</v>
      </c>
      <c r="V141" s="89">
        <f t="shared" si="82"/>
        <v>1872.0649999999998</v>
      </c>
      <c r="W141" s="347">
        <v>0</v>
      </c>
      <c r="X141" s="256">
        <v>0.1668</v>
      </c>
      <c r="Y141" s="256">
        <v>0.1079</v>
      </c>
      <c r="Z141" s="648">
        <v>0.1507</v>
      </c>
      <c r="AA141" s="89">
        <f t="shared" si="71"/>
        <v>658500</v>
      </c>
      <c r="AB141" s="89">
        <f t="shared" si="72"/>
        <v>0</v>
      </c>
      <c r="AC141" s="257">
        <f t="shared" si="73"/>
        <v>0.1507</v>
      </c>
      <c r="AD141" s="90">
        <f t="shared" si="74"/>
        <v>99235.95</v>
      </c>
      <c r="AE141" s="89">
        <f t="shared" si="75"/>
        <v>52018.98</v>
      </c>
      <c r="AF141" s="89">
        <f t="shared" si="76"/>
        <v>53282.82</v>
      </c>
      <c r="AG141" s="270">
        <f t="shared" si="77"/>
        <v>0</v>
      </c>
      <c r="AH141" s="271">
        <f t="shared" si="78"/>
        <v>31.451694673150211</v>
      </c>
      <c r="AI141" s="240">
        <f t="shared" si="79"/>
        <v>31.451694673150211</v>
      </c>
      <c r="AJ141" s="316">
        <v>5.7884050198045296</v>
      </c>
      <c r="AK141" s="672">
        <f t="shared" si="83"/>
        <v>25.663289653345682</v>
      </c>
      <c r="AL141">
        <f t="shared" si="80"/>
        <v>129</v>
      </c>
    </row>
    <row r="142" spans="1:39" x14ac:dyDescent="0.2">
      <c r="A142" s="6">
        <v>131</v>
      </c>
      <c r="B142" s="199">
        <v>60465</v>
      </c>
      <c r="C142" s="680" t="s">
        <v>196</v>
      </c>
      <c r="D142" s="173" t="s">
        <v>136</v>
      </c>
      <c r="E142" s="173" t="s">
        <v>136</v>
      </c>
      <c r="F142" s="174" t="s">
        <v>113</v>
      </c>
      <c r="G142" s="179" t="s">
        <v>4</v>
      </c>
      <c r="H142" s="179" t="s">
        <v>294</v>
      </c>
      <c r="I142" s="180" t="s">
        <v>44</v>
      </c>
      <c r="J142" s="181" t="s">
        <v>136</v>
      </c>
      <c r="K142" s="200" t="b">
        <v>0</v>
      </c>
      <c r="L142" s="650">
        <v>551450</v>
      </c>
      <c r="M142" s="89">
        <v>0</v>
      </c>
      <c r="N142" s="89">
        <f t="shared" si="84"/>
        <v>151759.04000000001</v>
      </c>
      <c r="O142" s="89">
        <v>114581.82</v>
      </c>
      <c r="P142" s="89">
        <f t="shared" si="81"/>
        <v>15175.904000000002</v>
      </c>
      <c r="Q142" s="651">
        <v>90679.92</v>
      </c>
      <c r="R142" s="650">
        <v>587500</v>
      </c>
      <c r="S142" s="89">
        <v>8919.36</v>
      </c>
      <c r="T142" s="89">
        <f t="shared" si="85"/>
        <v>205742.5</v>
      </c>
      <c r="U142" s="89">
        <v>8919.36</v>
      </c>
      <c r="V142" s="89">
        <f t="shared" si="82"/>
        <v>20574.25</v>
      </c>
      <c r="W142" s="347">
        <v>1336.89</v>
      </c>
      <c r="X142" s="256">
        <v>0.2752</v>
      </c>
      <c r="Y142" s="256">
        <v>0.35020000000000001</v>
      </c>
      <c r="Z142" s="648">
        <v>0.31890000000000002</v>
      </c>
      <c r="AA142" s="89">
        <f t="shared" si="71"/>
        <v>1138950</v>
      </c>
      <c r="AB142" s="89">
        <f t="shared" si="72"/>
        <v>8919.36</v>
      </c>
      <c r="AC142" s="257">
        <f t="shared" si="73"/>
        <v>0.31890000000000002</v>
      </c>
      <c r="AD142" s="90">
        <f t="shared" si="74"/>
        <v>363211.15500000003</v>
      </c>
      <c r="AE142" s="89">
        <f t="shared" si="75"/>
        <v>123501.18000000001</v>
      </c>
      <c r="AF142" s="89">
        <f t="shared" si="76"/>
        <v>92016.81</v>
      </c>
      <c r="AG142" s="270">
        <f t="shared" si="77"/>
        <v>0.39156064796523116</v>
      </c>
      <c r="AH142" s="271">
        <f t="shared" si="78"/>
        <v>20.401550717791142</v>
      </c>
      <c r="AI142" s="240">
        <f t="shared" si="79"/>
        <v>20.793111365756374</v>
      </c>
      <c r="AJ142" s="316">
        <v>57.816099333939768</v>
      </c>
      <c r="AK142" s="672">
        <f t="shared" si="83"/>
        <v>-37.022987968183394</v>
      </c>
      <c r="AL142">
        <f t="shared" si="80"/>
        <v>130</v>
      </c>
    </row>
    <row r="143" spans="1:39" x14ac:dyDescent="0.2">
      <c r="A143" s="6">
        <v>132</v>
      </c>
      <c r="B143" s="199">
        <v>60466</v>
      </c>
      <c r="C143" s="680" t="s">
        <v>197</v>
      </c>
      <c r="D143" s="173" t="s">
        <v>136</v>
      </c>
      <c r="E143" s="173" t="s">
        <v>136</v>
      </c>
      <c r="F143" s="174" t="s">
        <v>113</v>
      </c>
      <c r="G143" s="179" t="s">
        <v>4</v>
      </c>
      <c r="H143" s="179" t="s">
        <v>294</v>
      </c>
      <c r="I143" s="182" t="s">
        <v>47</v>
      </c>
      <c r="J143" s="181" t="s">
        <v>136</v>
      </c>
      <c r="K143" s="200" t="b">
        <v>0</v>
      </c>
      <c r="L143" s="650">
        <v>1651210</v>
      </c>
      <c r="M143" s="89">
        <v>0</v>
      </c>
      <c r="N143" s="89">
        <f t="shared" si="84"/>
        <v>489914.00700000004</v>
      </c>
      <c r="O143" s="89">
        <v>485861.22</v>
      </c>
      <c r="P143" s="89">
        <f t="shared" si="81"/>
        <v>48991.400700000006</v>
      </c>
      <c r="Q143" s="651">
        <v>349967.52</v>
      </c>
      <c r="R143" s="650">
        <v>2382203</v>
      </c>
      <c r="S143" s="89">
        <v>1526229.89</v>
      </c>
      <c r="T143" s="89">
        <f t="shared" si="85"/>
        <v>1094145.8378999999</v>
      </c>
      <c r="U143" s="89">
        <v>768906.47</v>
      </c>
      <c r="V143" s="89">
        <f t="shared" si="82"/>
        <v>109414.58379</v>
      </c>
      <c r="W143" s="347">
        <v>171392.44</v>
      </c>
      <c r="X143" s="256">
        <v>0.29670000000000002</v>
      </c>
      <c r="Y143" s="256">
        <v>0.45929999999999999</v>
      </c>
      <c r="Z143" s="648">
        <v>0.37509999999999999</v>
      </c>
      <c r="AA143" s="89">
        <f t="shared" si="71"/>
        <v>4033413</v>
      </c>
      <c r="AB143" s="89">
        <f t="shared" si="72"/>
        <v>1526229.89</v>
      </c>
      <c r="AC143" s="257">
        <f t="shared" si="73"/>
        <v>0.37509999999999999</v>
      </c>
      <c r="AD143" s="90">
        <f t="shared" si="74"/>
        <v>1512933.2163</v>
      </c>
      <c r="AE143" s="89">
        <f t="shared" si="75"/>
        <v>1254767.69</v>
      </c>
      <c r="AF143" s="89">
        <f t="shared" si="76"/>
        <v>521359.96</v>
      </c>
      <c r="AG143" s="270">
        <f t="shared" si="77"/>
        <v>18.919831542170364</v>
      </c>
      <c r="AH143" s="271">
        <f t="shared" si="78"/>
        <v>49.761655431241124</v>
      </c>
      <c r="AI143" s="240">
        <f t="shared" si="79"/>
        <v>68.681486973411495</v>
      </c>
      <c r="AJ143" s="316">
        <v>44.699694441272918</v>
      </c>
      <c r="AK143" s="672">
        <f t="shared" si="83"/>
        <v>23.981792532138577</v>
      </c>
      <c r="AL143">
        <f t="shared" si="80"/>
        <v>131</v>
      </c>
    </row>
    <row r="144" spans="1:39" x14ac:dyDescent="0.2">
      <c r="A144" s="6">
        <v>133</v>
      </c>
      <c r="B144" s="199">
        <v>60468</v>
      </c>
      <c r="C144" s="680" t="s">
        <v>198</v>
      </c>
      <c r="D144" s="173" t="s">
        <v>136</v>
      </c>
      <c r="E144" s="173" t="s">
        <v>136</v>
      </c>
      <c r="F144" s="174" t="s">
        <v>113</v>
      </c>
      <c r="G144" s="179" t="s">
        <v>4</v>
      </c>
      <c r="H144" s="179" t="s">
        <v>294</v>
      </c>
      <c r="I144" s="182" t="s">
        <v>9</v>
      </c>
      <c r="J144" s="181" t="s">
        <v>136</v>
      </c>
      <c r="K144" s="200" t="b">
        <v>0</v>
      </c>
      <c r="L144" s="650">
        <v>1948850</v>
      </c>
      <c r="M144" s="89">
        <v>0</v>
      </c>
      <c r="N144" s="89">
        <f t="shared" si="84"/>
        <v>63337.625</v>
      </c>
      <c r="O144" s="89">
        <v>58659.24</v>
      </c>
      <c r="P144" s="89">
        <f t="shared" si="81"/>
        <v>6333.7625000000007</v>
      </c>
      <c r="Q144" s="651">
        <v>47129.7</v>
      </c>
      <c r="R144" s="650">
        <v>1927250</v>
      </c>
      <c r="S144" s="89">
        <v>0</v>
      </c>
      <c r="T144" s="89">
        <f t="shared" si="85"/>
        <v>773983.6</v>
      </c>
      <c r="U144" s="89">
        <v>0</v>
      </c>
      <c r="V144" s="89">
        <f t="shared" si="82"/>
        <v>77398.36</v>
      </c>
      <c r="W144" s="347">
        <v>0</v>
      </c>
      <c r="X144" s="256">
        <v>3.2500000000000001E-2</v>
      </c>
      <c r="Y144" s="256">
        <v>0.40160000000000001</v>
      </c>
      <c r="Z144" s="648">
        <v>0.19409999999999999</v>
      </c>
      <c r="AA144" s="89">
        <f t="shared" si="71"/>
        <v>3876100</v>
      </c>
      <c r="AB144" s="89">
        <f t="shared" si="72"/>
        <v>0</v>
      </c>
      <c r="AC144" s="257">
        <f t="shared" si="73"/>
        <v>0.19409999999999999</v>
      </c>
      <c r="AD144" s="90">
        <f t="shared" si="74"/>
        <v>752351.01</v>
      </c>
      <c r="AE144" s="89">
        <f t="shared" si="75"/>
        <v>58659.24</v>
      </c>
      <c r="AF144" s="89">
        <f t="shared" si="76"/>
        <v>47129.7</v>
      </c>
      <c r="AG144" s="270">
        <f t="shared" si="77"/>
        <v>0</v>
      </c>
      <c r="AH144" s="271">
        <f t="shared" si="78"/>
        <v>4.6780749320719321</v>
      </c>
      <c r="AI144" s="240">
        <f t="shared" si="79"/>
        <v>4.6780749320719321</v>
      </c>
      <c r="AJ144" s="316">
        <v>26.406905297583059</v>
      </c>
      <c r="AK144" s="672">
        <f t="shared" si="83"/>
        <v>-21.728830365511126</v>
      </c>
      <c r="AL144">
        <f t="shared" si="80"/>
        <v>132</v>
      </c>
      <c r="AM144">
        <f t="shared" ref="AM144:AM186" si="86">IF($M143=AM$21,$A143,"")</f>
        <v>132</v>
      </c>
    </row>
    <row r="145" spans="1:39" x14ac:dyDescent="0.2">
      <c r="A145" s="6">
        <v>134</v>
      </c>
      <c r="B145" s="199">
        <v>60469</v>
      </c>
      <c r="C145" s="680" t="s">
        <v>199</v>
      </c>
      <c r="D145" s="173" t="s">
        <v>136</v>
      </c>
      <c r="E145" s="173" t="s">
        <v>136</v>
      </c>
      <c r="F145" s="174" t="s">
        <v>113</v>
      </c>
      <c r="G145" s="179" t="s">
        <v>4</v>
      </c>
      <c r="H145" s="179" t="s">
        <v>294</v>
      </c>
      <c r="I145" s="180" t="s">
        <v>9</v>
      </c>
      <c r="J145" s="181" t="s">
        <v>136</v>
      </c>
      <c r="K145" s="200" t="b">
        <v>0</v>
      </c>
      <c r="L145" s="650">
        <v>1007728</v>
      </c>
      <c r="M145" s="89">
        <v>0</v>
      </c>
      <c r="N145" s="89">
        <f t="shared" si="84"/>
        <v>70440.1872</v>
      </c>
      <c r="O145" s="89">
        <v>48913.32</v>
      </c>
      <c r="P145" s="89">
        <f t="shared" si="81"/>
        <v>7044.01872</v>
      </c>
      <c r="Q145" s="651">
        <v>36594.480000000003</v>
      </c>
      <c r="R145" s="650">
        <v>940000</v>
      </c>
      <c r="S145" s="89">
        <v>14334.75</v>
      </c>
      <c r="T145" s="89">
        <f t="shared" si="85"/>
        <v>284068</v>
      </c>
      <c r="U145" s="89">
        <v>13744.37</v>
      </c>
      <c r="V145" s="89">
        <f t="shared" si="82"/>
        <v>28406.800000000003</v>
      </c>
      <c r="W145" s="347">
        <v>3002.66</v>
      </c>
      <c r="X145" s="256">
        <v>6.9900000000000004E-2</v>
      </c>
      <c r="Y145" s="256">
        <v>0.30220000000000002</v>
      </c>
      <c r="Z145" s="648">
        <v>0.17460000000000001</v>
      </c>
      <c r="AA145" s="89">
        <f t="shared" si="71"/>
        <v>1947728</v>
      </c>
      <c r="AB145" s="89">
        <f t="shared" si="72"/>
        <v>14334.75</v>
      </c>
      <c r="AC145" s="257">
        <f t="shared" si="73"/>
        <v>0.17460000000000001</v>
      </c>
      <c r="AD145" s="90">
        <f t="shared" si="74"/>
        <v>340073.3088</v>
      </c>
      <c r="AE145" s="89">
        <f t="shared" si="75"/>
        <v>62657.69</v>
      </c>
      <c r="AF145" s="89">
        <f t="shared" si="76"/>
        <v>39597.14</v>
      </c>
      <c r="AG145" s="270">
        <f t="shared" si="77"/>
        <v>0.36798644369234301</v>
      </c>
      <c r="AH145" s="271">
        <f t="shared" si="78"/>
        <v>11.054855828779468</v>
      </c>
      <c r="AI145" s="240">
        <f t="shared" si="79"/>
        <v>11.422842272471811</v>
      </c>
      <c r="AJ145" s="316">
        <v>68.603139770834517</v>
      </c>
      <c r="AK145" s="672">
        <f t="shared" si="83"/>
        <v>-57.180297498362705</v>
      </c>
      <c r="AL145">
        <f t="shared" si="80"/>
        <v>133</v>
      </c>
      <c r="AM145">
        <f t="shared" si="86"/>
        <v>133</v>
      </c>
    </row>
    <row r="146" spans="1:39" x14ac:dyDescent="0.2">
      <c r="A146" s="6">
        <v>135</v>
      </c>
      <c r="B146" s="199">
        <v>60471</v>
      </c>
      <c r="C146" s="680" t="s">
        <v>200</v>
      </c>
      <c r="D146" s="173" t="s">
        <v>136</v>
      </c>
      <c r="E146" s="173" t="s">
        <v>136</v>
      </c>
      <c r="F146" s="174" t="s">
        <v>113</v>
      </c>
      <c r="G146" s="179" t="s">
        <v>4</v>
      </c>
      <c r="H146" s="179" t="s">
        <v>294</v>
      </c>
      <c r="I146" s="180" t="s">
        <v>9</v>
      </c>
      <c r="J146" s="181" t="s">
        <v>136</v>
      </c>
      <c r="K146" s="200" t="b">
        <v>0</v>
      </c>
      <c r="L146" s="650">
        <v>1604500</v>
      </c>
      <c r="M146" s="89">
        <v>1021358.16</v>
      </c>
      <c r="N146" s="89">
        <f t="shared" si="84"/>
        <v>63217.299999999996</v>
      </c>
      <c r="O146" s="89">
        <v>64558.559999999998</v>
      </c>
      <c r="P146" s="89">
        <f t="shared" si="81"/>
        <v>6321.73</v>
      </c>
      <c r="Q146" s="651">
        <v>45754.559999999998</v>
      </c>
      <c r="R146" s="650">
        <v>2144650</v>
      </c>
      <c r="S146" s="89">
        <v>508057.52</v>
      </c>
      <c r="T146" s="89">
        <f t="shared" si="85"/>
        <v>848209.07500000007</v>
      </c>
      <c r="U146" s="89">
        <v>446497.78</v>
      </c>
      <c r="V146" s="89">
        <f t="shared" si="82"/>
        <v>84820.907500000016</v>
      </c>
      <c r="W146" s="347">
        <v>83087.62</v>
      </c>
      <c r="X146" s="256">
        <v>3.9399999999999998E-2</v>
      </c>
      <c r="Y146" s="256">
        <v>0.39550000000000002</v>
      </c>
      <c r="Z146" s="648">
        <v>0.24879999999999999</v>
      </c>
      <c r="AA146" s="89">
        <f t="shared" si="71"/>
        <v>3749150</v>
      </c>
      <c r="AB146" s="89">
        <f t="shared" si="72"/>
        <v>1529415.6800000002</v>
      </c>
      <c r="AC146" s="257">
        <f t="shared" si="73"/>
        <v>0.24879999999999999</v>
      </c>
      <c r="AD146" s="90">
        <f t="shared" si="74"/>
        <v>932788.52</v>
      </c>
      <c r="AE146" s="89">
        <f t="shared" si="75"/>
        <v>511056.34</v>
      </c>
      <c r="AF146" s="89">
        <f t="shared" si="76"/>
        <v>128842.18</v>
      </c>
      <c r="AG146" s="270">
        <f t="shared" si="77"/>
        <v>20.396832348665697</v>
      </c>
      <c r="AH146" s="271">
        <f t="shared" si="78"/>
        <v>32.872810655945898</v>
      </c>
      <c r="AI146" s="240">
        <f t="shared" si="79"/>
        <v>53.269643004611595</v>
      </c>
      <c r="AJ146" s="316">
        <v>5.7532980928896462</v>
      </c>
      <c r="AK146" s="672">
        <f t="shared" si="83"/>
        <v>47.516344911721951</v>
      </c>
      <c r="AL146">
        <f t="shared" si="80"/>
        <v>134</v>
      </c>
      <c r="AM146">
        <f t="shared" si="86"/>
        <v>134</v>
      </c>
    </row>
    <row r="147" spans="1:39" x14ac:dyDescent="0.2">
      <c r="A147" s="6">
        <v>136</v>
      </c>
      <c r="B147" s="199">
        <v>60472</v>
      </c>
      <c r="C147" s="680" t="s">
        <v>201</v>
      </c>
      <c r="D147" s="173" t="s">
        <v>136</v>
      </c>
      <c r="E147" s="173" t="s">
        <v>136</v>
      </c>
      <c r="F147" s="174" t="s">
        <v>113</v>
      </c>
      <c r="G147" s="179" t="s">
        <v>4</v>
      </c>
      <c r="H147" s="179" t="s">
        <v>294</v>
      </c>
      <c r="I147" s="180" t="s">
        <v>9</v>
      </c>
      <c r="J147" s="181" t="s">
        <v>136</v>
      </c>
      <c r="K147" s="200" t="b">
        <v>0</v>
      </c>
      <c r="L147" s="650">
        <v>1080500</v>
      </c>
      <c r="M147" s="89">
        <v>831926.16</v>
      </c>
      <c r="N147" s="89">
        <f t="shared" si="84"/>
        <v>39222.15</v>
      </c>
      <c r="O147" s="89">
        <v>35734.68</v>
      </c>
      <c r="P147" s="89">
        <f t="shared" si="81"/>
        <v>3922.2150000000001</v>
      </c>
      <c r="Q147" s="651">
        <v>34965.480000000003</v>
      </c>
      <c r="R147" s="650">
        <v>461500</v>
      </c>
      <c r="S147" s="89">
        <v>97679.14</v>
      </c>
      <c r="T147" s="89">
        <f t="shared" si="85"/>
        <v>99868.6</v>
      </c>
      <c r="U147" s="89">
        <v>94839.9</v>
      </c>
      <c r="V147" s="89">
        <f t="shared" si="82"/>
        <v>9986.86</v>
      </c>
      <c r="W147" s="347">
        <v>17520.18</v>
      </c>
      <c r="X147" s="256">
        <v>3.6299999999999999E-2</v>
      </c>
      <c r="Y147" s="256">
        <v>0.21640000000000001</v>
      </c>
      <c r="Z147" s="648">
        <v>0.10349999999999999</v>
      </c>
      <c r="AA147" s="89">
        <f t="shared" si="71"/>
        <v>1542000</v>
      </c>
      <c r="AB147" s="89">
        <f t="shared" si="72"/>
        <v>929605.3</v>
      </c>
      <c r="AC147" s="257">
        <f t="shared" si="73"/>
        <v>0.10349999999999999</v>
      </c>
      <c r="AD147" s="90">
        <f t="shared" si="74"/>
        <v>159597</v>
      </c>
      <c r="AE147" s="89">
        <f t="shared" si="75"/>
        <v>130574.57999999999</v>
      </c>
      <c r="AF147" s="89">
        <f t="shared" si="76"/>
        <v>52485.66</v>
      </c>
      <c r="AG147" s="270">
        <f t="shared" si="77"/>
        <v>30.142843709468224</v>
      </c>
      <c r="AH147" s="271">
        <f t="shared" si="78"/>
        <v>49.089110697569502</v>
      </c>
      <c r="AI147" s="240">
        <f t="shared" si="79"/>
        <v>79.231954407037733</v>
      </c>
      <c r="AJ147" s="316">
        <v>17.002779076226158</v>
      </c>
      <c r="AK147" s="672">
        <f t="shared" si="83"/>
        <v>62.229175330811572</v>
      </c>
      <c r="AL147" t="str">
        <f t="shared" si="80"/>
        <v/>
      </c>
      <c r="AM147" t="str">
        <f t="shared" si="86"/>
        <v/>
      </c>
    </row>
    <row r="148" spans="1:39" x14ac:dyDescent="0.2">
      <c r="A148" s="6">
        <v>137</v>
      </c>
      <c r="B148" s="199">
        <v>60473</v>
      </c>
      <c r="C148" s="680" t="s">
        <v>202</v>
      </c>
      <c r="D148" s="173" t="s">
        <v>136</v>
      </c>
      <c r="E148" s="173" t="s">
        <v>136</v>
      </c>
      <c r="F148" s="174" t="s">
        <v>113</v>
      </c>
      <c r="G148" s="179" t="s">
        <v>4</v>
      </c>
      <c r="H148" s="179" t="s">
        <v>294</v>
      </c>
      <c r="I148" s="180" t="s">
        <v>9</v>
      </c>
      <c r="J148" s="181" t="s">
        <v>136</v>
      </c>
      <c r="K148" s="200" t="b">
        <v>0</v>
      </c>
      <c r="L148" s="650">
        <v>2233250</v>
      </c>
      <c r="M148" s="89">
        <v>2443004.4</v>
      </c>
      <c r="N148" s="89">
        <f t="shared" si="84"/>
        <v>138238.17499999999</v>
      </c>
      <c r="O148" s="89">
        <v>1012037.88</v>
      </c>
      <c r="P148" s="89">
        <f t="shared" si="81"/>
        <v>13823.817499999999</v>
      </c>
      <c r="Q148" s="651">
        <v>100730.38</v>
      </c>
      <c r="R148" s="650">
        <v>2462500</v>
      </c>
      <c r="S148" s="89">
        <v>1569841.77</v>
      </c>
      <c r="T148" s="89">
        <f t="shared" si="85"/>
        <v>1289611.2500000002</v>
      </c>
      <c r="U148" s="89">
        <v>990411.71</v>
      </c>
      <c r="V148" s="89">
        <f t="shared" si="82"/>
        <v>128961.12500000003</v>
      </c>
      <c r="W148" s="347">
        <v>245233.71</v>
      </c>
      <c r="X148" s="256">
        <v>6.1899999999999997E-2</v>
      </c>
      <c r="Y148" s="256">
        <v>0.52370000000000005</v>
      </c>
      <c r="Z148" s="648">
        <v>0.30020000000000002</v>
      </c>
      <c r="AA148" s="89">
        <f t="shared" si="71"/>
        <v>4695750</v>
      </c>
      <c r="AB148" s="89">
        <f t="shared" si="72"/>
        <v>4012846.17</v>
      </c>
      <c r="AC148" s="257">
        <f t="shared" si="73"/>
        <v>0.30020000000000002</v>
      </c>
      <c r="AD148" s="90">
        <f t="shared" si="74"/>
        <v>1409664.1500000001</v>
      </c>
      <c r="AE148" s="89">
        <f t="shared" si="75"/>
        <v>2002449.5899999999</v>
      </c>
      <c r="AF148" s="89">
        <f t="shared" si="76"/>
        <v>345964.08999999997</v>
      </c>
      <c r="AG148" s="270">
        <f t="shared" si="77"/>
        <v>40</v>
      </c>
      <c r="AH148" s="271">
        <f t="shared" si="78"/>
        <v>60</v>
      </c>
      <c r="AI148" s="240">
        <f t="shared" si="79"/>
        <v>100</v>
      </c>
      <c r="AJ148" s="316">
        <v>10.291071597010484</v>
      </c>
      <c r="AK148" s="672">
        <f t="shared" si="83"/>
        <v>89.708928402989514</v>
      </c>
      <c r="AL148" t="str">
        <f t="shared" si="80"/>
        <v/>
      </c>
      <c r="AM148" t="str">
        <f t="shared" si="86"/>
        <v/>
      </c>
    </row>
    <row r="149" spans="1:39" x14ac:dyDescent="0.2">
      <c r="A149" s="6">
        <v>138</v>
      </c>
      <c r="B149" s="199">
        <v>60474</v>
      </c>
      <c r="C149" s="680" t="s">
        <v>203</v>
      </c>
      <c r="D149" s="173" t="s">
        <v>136</v>
      </c>
      <c r="E149" s="173" t="s">
        <v>136</v>
      </c>
      <c r="F149" s="174" t="s">
        <v>113</v>
      </c>
      <c r="G149" s="179" t="s">
        <v>4</v>
      </c>
      <c r="H149" s="179" t="s">
        <v>294</v>
      </c>
      <c r="I149" s="182" t="s">
        <v>9</v>
      </c>
      <c r="J149" s="181" t="s">
        <v>136</v>
      </c>
      <c r="K149" s="200" t="b">
        <v>0</v>
      </c>
      <c r="L149" s="650">
        <v>1790250</v>
      </c>
      <c r="M149" s="89">
        <v>0</v>
      </c>
      <c r="N149" s="89">
        <f t="shared" si="84"/>
        <v>46009.425000000003</v>
      </c>
      <c r="O149" s="89">
        <v>39016.44</v>
      </c>
      <c r="P149" s="89">
        <f t="shared" si="81"/>
        <v>4600.9425000000001</v>
      </c>
      <c r="Q149" s="651">
        <v>29647.02</v>
      </c>
      <c r="R149" s="650">
        <v>1502850</v>
      </c>
      <c r="S149" s="89">
        <v>6816.3</v>
      </c>
      <c r="T149" s="89">
        <f t="shared" si="85"/>
        <v>598284.58499999996</v>
      </c>
      <c r="U149" s="89">
        <v>6816.3</v>
      </c>
      <c r="V149" s="89">
        <f t="shared" si="82"/>
        <v>59828.458500000001</v>
      </c>
      <c r="W149" s="347">
        <v>1336.17</v>
      </c>
      <c r="X149" s="256">
        <v>2.5700000000000001E-2</v>
      </c>
      <c r="Y149" s="256">
        <v>0.39810000000000001</v>
      </c>
      <c r="Z149" s="648">
        <v>0.1978</v>
      </c>
      <c r="AA149" s="89">
        <f t="shared" si="71"/>
        <v>3293100</v>
      </c>
      <c r="AB149" s="89">
        <f t="shared" si="72"/>
        <v>6816.3</v>
      </c>
      <c r="AC149" s="257">
        <f t="shared" si="73"/>
        <v>0.1978</v>
      </c>
      <c r="AD149" s="90">
        <f t="shared" si="74"/>
        <v>651375.18000000005</v>
      </c>
      <c r="AE149" s="89">
        <f t="shared" si="75"/>
        <v>45832.740000000005</v>
      </c>
      <c r="AF149" s="89">
        <f t="shared" si="76"/>
        <v>30983.190000000002</v>
      </c>
      <c r="AG149" s="270">
        <f t="shared" si="77"/>
        <v>0.10349366857975767</v>
      </c>
      <c r="AH149" s="271">
        <f t="shared" si="78"/>
        <v>4.2217825984711306</v>
      </c>
      <c r="AI149" s="240">
        <f t="shared" si="79"/>
        <v>4.3252762670508886</v>
      </c>
      <c r="AJ149" s="316">
        <v>80.062663837519779</v>
      </c>
      <c r="AK149" s="672">
        <f t="shared" si="83"/>
        <v>-75.737387570468883</v>
      </c>
      <c r="AL149" t="str">
        <f t="shared" si="80"/>
        <v/>
      </c>
      <c r="AM149" t="str">
        <f t="shared" si="86"/>
        <v/>
      </c>
    </row>
    <row r="150" spans="1:39" x14ac:dyDescent="0.2">
      <c r="A150" s="6">
        <v>139</v>
      </c>
      <c r="B150" s="199">
        <v>60500</v>
      </c>
      <c r="C150" s="680" t="s">
        <v>443</v>
      </c>
      <c r="D150" s="173" t="s">
        <v>136</v>
      </c>
      <c r="E150" s="173" t="s">
        <v>136</v>
      </c>
      <c r="F150" s="174" t="s">
        <v>113</v>
      </c>
      <c r="G150" s="179" t="s">
        <v>4</v>
      </c>
      <c r="H150" s="179" t="s">
        <v>294</v>
      </c>
      <c r="I150" s="180" t="s">
        <v>10</v>
      </c>
      <c r="J150" s="181" t="s">
        <v>136</v>
      </c>
      <c r="K150" s="200" t="b">
        <v>0</v>
      </c>
      <c r="L150" s="650">
        <v>1239000</v>
      </c>
      <c r="M150" s="89">
        <v>1042046.29</v>
      </c>
      <c r="N150" s="89">
        <f t="shared" si="84"/>
        <v>40019.700000000004</v>
      </c>
      <c r="O150" s="89">
        <v>18865.560000000001</v>
      </c>
      <c r="P150" s="89">
        <f t="shared" si="81"/>
        <v>4001.9700000000007</v>
      </c>
      <c r="Q150" s="651">
        <v>19000.38</v>
      </c>
      <c r="R150" s="650">
        <v>2044000</v>
      </c>
      <c r="S150" s="89">
        <v>156637.5</v>
      </c>
      <c r="T150" s="89">
        <f t="shared" si="85"/>
        <v>814534</v>
      </c>
      <c r="U150" s="89">
        <v>156637.5</v>
      </c>
      <c r="V150" s="89">
        <f t="shared" si="82"/>
        <v>81453.400000000009</v>
      </c>
      <c r="W150" s="347">
        <v>51625.77</v>
      </c>
      <c r="X150" s="256">
        <v>3.2300000000000002E-2</v>
      </c>
      <c r="Y150" s="256">
        <v>0.39850000000000002</v>
      </c>
      <c r="Z150" s="648">
        <v>0.1893</v>
      </c>
      <c r="AA150" s="89">
        <f t="shared" si="71"/>
        <v>3283000</v>
      </c>
      <c r="AB150" s="89">
        <f t="shared" si="72"/>
        <v>1198683.79</v>
      </c>
      <c r="AC150" s="257">
        <f t="shared" si="73"/>
        <v>0.1893</v>
      </c>
      <c r="AD150" s="90">
        <f t="shared" si="74"/>
        <v>621471.9</v>
      </c>
      <c r="AE150" s="89">
        <f t="shared" si="75"/>
        <v>175503.06</v>
      </c>
      <c r="AF150" s="89">
        <f t="shared" si="76"/>
        <v>70626.149999999994</v>
      </c>
      <c r="AG150" s="270">
        <f t="shared" si="77"/>
        <v>18.255921261041731</v>
      </c>
      <c r="AH150" s="271">
        <f t="shared" si="78"/>
        <v>16.943941632759259</v>
      </c>
      <c r="AI150" s="240">
        <f t="shared" si="79"/>
        <v>35.19986289380099</v>
      </c>
      <c r="AJ150" s="316">
        <v>100</v>
      </c>
      <c r="AK150" s="672">
        <f t="shared" si="83"/>
        <v>-64.800137106199003</v>
      </c>
      <c r="AL150">
        <f t="shared" si="80"/>
        <v>138</v>
      </c>
      <c r="AM150">
        <f t="shared" si="86"/>
        <v>138</v>
      </c>
    </row>
    <row r="151" spans="1:39" x14ac:dyDescent="0.2">
      <c r="A151" s="6">
        <v>140</v>
      </c>
      <c r="B151" s="199">
        <v>60501</v>
      </c>
      <c r="C151" s="680" t="s">
        <v>432</v>
      </c>
      <c r="D151" s="173" t="s">
        <v>136</v>
      </c>
      <c r="E151" s="173" t="s">
        <v>136</v>
      </c>
      <c r="F151" s="175" t="s">
        <v>113</v>
      </c>
      <c r="G151" s="179" t="s">
        <v>4</v>
      </c>
      <c r="H151" s="179" t="s">
        <v>294</v>
      </c>
      <c r="I151" s="182" t="s">
        <v>10</v>
      </c>
      <c r="J151" s="181" t="s">
        <v>136</v>
      </c>
      <c r="K151" s="200" t="b">
        <v>0</v>
      </c>
      <c r="L151" s="650">
        <v>1046000</v>
      </c>
      <c r="M151" s="89">
        <v>0</v>
      </c>
      <c r="N151" s="89">
        <f t="shared" si="84"/>
        <v>74056.800000000003</v>
      </c>
      <c r="O151" s="89">
        <v>66489</v>
      </c>
      <c r="P151" s="89">
        <f t="shared" si="81"/>
        <v>7405.68</v>
      </c>
      <c r="Q151" s="651">
        <v>43953.06</v>
      </c>
      <c r="R151" s="650">
        <v>1804500</v>
      </c>
      <c r="S151" s="89">
        <v>597745.62</v>
      </c>
      <c r="T151" s="89">
        <f t="shared" si="85"/>
        <v>846851.85</v>
      </c>
      <c r="U151" s="89">
        <v>484907.95</v>
      </c>
      <c r="V151" s="89">
        <f t="shared" si="82"/>
        <v>84685.184999999998</v>
      </c>
      <c r="W151" s="347">
        <v>42818.01</v>
      </c>
      <c r="X151" s="256">
        <v>7.0800000000000002E-2</v>
      </c>
      <c r="Y151" s="256">
        <v>0.46929999999999999</v>
      </c>
      <c r="Z151" s="648">
        <v>0.32400000000000001</v>
      </c>
      <c r="AA151" s="89">
        <f t="shared" si="71"/>
        <v>2850500</v>
      </c>
      <c r="AB151" s="89">
        <f t="shared" si="72"/>
        <v>597745.62</v>
      </c>
      <c r="AC151" s="257">
        <f t="shared" si="73"/>
        <v>0.32400000000000001</v>
      </c>
      <c r="AD151" s="90">
        <f t="shared" si="74"/>
        <v>923562</v>
      </c>
      <c r="AE151" s="89">
        <f t="shared" si="75"/>
        <v>551396.94999999995</v>
      </c>
      <c r="AF151" s="89">
        <f t="shared" si="76"/>
        <v>86771.07</v>
      </c>
      <c r="AG151" s="270">
        <f t="shared" si="77"/>
        <v>10.484925802490793</v>
      </c>
      <c r="AH151" s="271">
        <f t="shared" si="78"/>
        <v>35.821977300928353</v>
      </c>
      <c r="AI151" s="240">
        <f t="shared" si="79"/>
        <v>46.306903103419145</v>
      </c>
      <c r="AJ151" s="316">
        <v>8.0045180392836812</v>
      </c>
      <c r="AK151" s="672">
        <f t="shared" si="83"/>
        <v>38.302385064135464</v>
      </c>
      <c r="AL151" t="str">
        <f t="shared" si="80"/>
        <v/>
      </c>
      <c r="AM151" t="str">
        <f t="shared" si="86"/>
        <v/>
      </c>
    </row>
    <row r="152" spans="1:39" x14ac:dyDescent="0.2">
      <c r="A152" s="6">
        <v>141</v>
      </c>
      <c r="B152" s="199">
        <v>60470</v>
      </c>
      <c r="C152" s="680" t="s">
        <v>204</v>
      </c>
      <c r="D152" s="173" t="s">
        <v>136</v>
      </c>
      <c r="E152" s="173" t="s">
        <v>136</v>
      </c>
      <c r="F152" s="174" t="s">
        <v>113</v>
      </c>
      <c r="G152" s="179" t="s">
        <v>4</v>
      </c>
      <c r="H152" s="179" t="s">
        <v>294</v>
      </c>
      <c r="I152" s="180" t="s">
        <v>8</v>
      </c>
      <c r="J152" s="181" t="s">
        <v>136</v>
      </c>
      <c r="K152" s="200" t="b">
        <v>0</v>
      </c>
      <c r="L152" s="650">
        <v>381500</v>
      </c>
      <c r="M152" s="89">
        <v>0</v>
      </c>
      <c r="N152" s="89">
        <f t="shared" si="84"/>
        <v>9575.65</v>
      </c>
      <c r="O152" s="89">
        <v>12195.6</v>
      </c>
      <c r="P152" s="89">
        <f t="shared" si="81"/>
        <v>957.56500000000005</v>
      </c>
      <c r="Q152" s="651">
        <v>13804.38</v>
      </c>
      <c r="R152" s="650">
        <v>113000</v>
      </c>
      <c r="S152" s="89">
        <v>23994</v>
      </c>
      <c r="T152" s="89">
        <f t="shared" si="85"/>
        <v>10949.7</v>
      </c>
      <c r="U152" s="89">
        <v>23994</v>
      </c>
      <c r="V152" s="89">
        <f t="shared" si="82"/>
        <v>1094.97</v>
      </c>
      <c r="W152" s="347">
        <v>4756.59</v>
      </c>
      <c r="X152" s="256">
        <v>2.5100000000000001E-2</v>
      </c>
      <c r="Y152" s="256">
        <v>9.69E-2</v>
      </c>
      <c r="Z152" s="648">
        <v>5.6599999999999998E-2</v>
      </c>
      <c r="AA152" s="89">
        <f t="shared" si="71"/>
        <v>494500</v>
      </c>
      <c r="AB152" s="89">
        <f t="shared" si="72"/>
        <v>23994</v>
      </c>
      <c r="AC152" s="257">
        <f t="shared" si="73"/>
        <v>5.6599999999999998E-2</v>
      </c>
      <c r="AD152" s="90">
        <f t="shared" si="74"/>
        <v>27988.699999999997</v>
      </c>
      <c r="AE152" s="89">
        <f t="shared" si="75"/>
        <v>36189.599999999999</v>
      </c>
      <c r="AF152" s="89">
        <f t="shared" si="76"/>
        <v>18560.97</v>
      </c>
      <c r="AG152" s="270">
        <f t="shared" si="77"/>
        <v>2.4260869565217389</v>
      </c>
      <c r="AH152" s="271">
        <f t="shared" si="78"/>
        <v>60</v>
      </c>
      <c r="AI152" s="240">
        <f t="shared" si="79"/>
        <v>62.426086956521736</v>
      </c>
      <c r="AJ152" s="316">
        <v>23.922940625128859</v>
      </c>
      <c r="AK152" s="672">
        <f t="shared" si="83"/>
        <v>38.503146331392877</v>
      </c>
      <c r="AL152">
        <f t="shared" si="80"/>
        <v>140</v>
      </c>
      <c r="AM152">
        <f t="shared" si="86"/>
        <v>140</v>
      </c>
    </row>
    <row r="153" spans="1:39" x14ac:dyDescent="0.2">
      <c r="A153" s="6">
        <v>142</v>
      </c>
      <c r="B153" s="199">
        <v>60482</v>
      </c>
      <c r="C153" s="680" t="s">
        <v>205</v>
      </c>
      <c r="D153" s="173" t="s">
        <v>136</v>
      </c>
      <c r="E153" s="173" t="s">
        <v>136</v>
      </c>
      <c r="F153" s="174" t="s">
        <v>113</v>
      </c>
      <c r="G153" s="179" t="s">
        <v>4</v>
      </c>
      <c r="H153" s="179" t="s">
        <v>294</v>
      </c>
      <c r="I153" s="180" t="s">
        <v>9</v>
      </c>
      <c r="J153" s="181" t="s">
        <v>136</v>
      </c>
      <c r="K153" s="200" t="b">
        <v>0</v>
      </c>
      <c r="L153" s="650">
        <v>1931000</v>
      </c>
      <c r="M153" s="89">
        <v>0</v>
      </c>
      <c r="N153" s="89">
        <f t="shared" si="84"/>
        <v>97708.599999999991</v>
      </c>
      <c r="O153" s="89">
        <v>1417067.9</v>
      </c>
      <c r="P153" s="89">
        <f t="shared" si="81"/>
        <v>9770.8599999999988</v>
      </c>
      <c r="Q153" s="651">
        <v>573758.6</v>
      </c>
      <c r="R153" s="650">
        <v>1657000</v>
      </c>
      <c r="S153" s="89">
        <v>309529.59000000003</v>
      </c>
      <c r="T153" s="89">
        <f t="shared" si="85"/>
        <v>693951.6</v>
      </c>
      <c r="U153" s="89">
        <v>240144.08</v>
      </c>
      <c r="V153" s="89">
        <f t="shared" si="82"/>
        <v>69395.16</v>
      </c>
      <c r="W153" s="347">
        <v>26288.32</v>
      </c>
      <c r="X153" s="256">
        <v>5.0599999999999999E-2</v>
      </c>
      <c r="Y153" s="256">
        <v>0.41880000000000001</v>
      </c>
      <c r="Z153" s="648">
        <v>0.20780000000000001</v>
      </c>
      <c r="AA153" s="89">
        <f t="shared" si="71"/>
        <v>3588000</v>
      </c>
      <c r="AB153" s="89">
        <f t="shared" si="72"/>
        <v>309529.59000000003</v>
      </c>
      <c r="AC153" s="257">
        <f t="shared" si="73"/>
        <v>0.20780000000000001</v>
      </c>
      <c r="AD153" s="90">
        <f t="shared" si="74"/>
        <v>745586.4</v>
      </c>
      <c r="AE153" s="89">
        <f t="shared" si="75"/>
        <v>1657211.98</v>
      </c>
      <c r="AF153" s="89">
        <f t="shared" si="76"/>
        <v>600046.91999999993</v>
      </c>
      <c r="AG153" s="270">
        <f t="shared" si="77"/>
        <v>4.3134000836120405</v>
      </c>
      <c r="AH153" s="271">
        <f t="shared" si="78"/>
        <v>60</v>
      </c>
      <c r="AI153" s="240">
        <f t="shared" si="79"/>
        <v>64.313400083612038</v>
      </c>
      <c r="AJ153" s="316">
        <v>31.655765219270194</v>
      </c>
      <c r="AK153" s="672">
        <f t="shared" si="83"/>
        <v>32.657634864341844</v>
      </c>
      <c r="AL153">
        <f t="shared" si="80"/>
        <v>141</v>
      </c>
      <c r="AM153">
        <f t="shared" si="86"/>
        <v>141</v>
      </c>
    </row>
    <row r="154" spans="1:39" x14ac:dyDescent="0.2">
      <c r="A154" s="6">
        <v>143</v>
      </c>
      <c r="B154" s="199">
        <v>60483</v>
      </c>
      <c r="C154" s="680" t="s">
        <v>206</v>
      </c>
      <c r="D154" s="173" t="s">
        <v>136</v>
      </c>
      <c r="E154" s="173" t="s">
        <v>136</v>
      </c>
      <c r="F154" s="174" t="s">
        <v>113</v>
      </c>
      <c r="G154" s="179" t="s">
        <v>4</v>
      </c>
      <c r="H154" s="179" t="s">
        <v>294</v>
      </c>
      <c r="I154" s="182" t="s">
        <v>34</v>
      </c>
      <c r="J154" s="181" t="s">
        <v>136</v>
      </c>
      <c r="K154" s="200" t="b">
        <v>0</v>
      </c>
      <c r="L154" s="650">
        <v>1205800</v>
      </c>
      <c r="M154" s="89">
        <v>0</v>
      </c>
      <c r="N154" s="89">
        <f t="shared" si="84"/>
        <v>98393.280000000013</v>
      </c>
      <c r="O154" s="89">
        <v>87937.02</v>
      </c>
      <c r="P154" s="89">
        <f t="shared" si="81"/>
        <v>9839.3280000000013</v>
      </c>
      <c r="Q154" s="651">
        <v>64415.58</v>
      </c>
      <c r="R154" s="650">
        <v>1170200</v>
      </c>
      <c r="S154" s="89">
        <v>0</v>
      </c>
      <c r="T154" s="89">
        <f t="shared" si="85"/>
        <v>524483.64</v>
      </c>
      <c r="U154" s="89">
        <v>0</v>
      </c>
      <c r="V154" s="89">
        <f t="shared" si="82"/>
        <v>52448.364000000001</v>
      </c>
      <c r="W154" s="347">
        <v>0</v>
      </c>
      <c r="X154" s="256">
        <v>8.1600000000000006E-2</v>
      </c>
      <c r="Y154" s="256">
        <v>0.44819999999999999</v>
      </c>
      <c r="Z154" s="648">
        <v>0.26419999999999999</v>
      </c>
      <c r="AA154" s="89">
        <f t="shared" si="71"/>
        <v>2376000</v>
      </c>
      <c r="AB154" s="89">
        <f t="shared" si="72"/>
        <v>0</v>
      </c>
      <c r="AC154" s="257">
        <f t="shared" si="73"/>
        <v>0.26419999999999999</v>
      </c>
      <c r="AD154" s="90">
        <f t="shared" si="74"/>
        <v>627739.19999999995</v>
      </c>
      <c r="AE154" s="89">
        <f t="shared" si="75"/>
        <v>87937.02</v>
      </c>
      <c r="AF154" s="89">
        <f t="shared" si="76"/>
        <v>64415.58</v>
      </c>
      <c r="AG154" s="270">
        <f t="shared" si="77"/>
        <v>0</v>
      </c>
      <c r="AH154" s="271">
        <f t="shared" si="78"/>
        <v>8.4051166471681249</v>
      </c>
      <c r="AI154" s="240">
        <f t="shared" si="79"/>
        <v>8.4051166471681249</v>
      </c>
      <c r="AJ154" s="316">
        <v>10.956953281924815</v>
      </c>
      <c r="AK154" s="672">
        <f t="shared" si="83"/>
        <v>-2.5518366347566896</v>
      </c>
      <c r="AL154">
        <f t="shared" si="80"/>
        <v>142</v>
      </c>
      <c r="AM154">
        <f t="shared" si="86"/>
        <v>142</v>
      </c>
    </row>
    <row r="155" spans="1:39" x14ac:dyDescent="0.2">
      <c r="A155" s="6">
        <v>144</v>
      </c>
      <c r="B155" s="199">
        <v>60484</v>
      </c>
      <c r="C155" s="680" t="s">
        <v>207</v>
      </c>
      <c r="D155" s="173" t="s">
        <v>136</v>
      </c>
      <c r="E155" s="173" t="s">
        <v>136</v>
      </c>
      <c r="F155" s="174" t="s">
        <v>113</v>
      </c>
      <c r="G155" s="179" t="s">
        <v>4</v>
      </c>
      <c r="H155" s="179" t="s">
        <v>294</v>
      </c>
      <c r="I155" s="180" t="s">
        <v>9</v>
      </c>
      <c r="J155" s="181" t="s">
        <v>136</v>
      </c>
      <c r="K155" s="200" t="b">
        <v>0</v>
      </c>
      <c r="L155" s="650">
        <v>1009018.5</v>
      </c>
      <c r="M155" s="89">
        <v>0</v>
      </c>
      <c r="N155" s="89">
        <f t="shared" si="84"/>
        <v>32490.395700000001</v>
      </c>
      <c r="O155" s="89">
        <v>24675.84</v>
      </c>
      <c r="P155" s="89">
        <f t="shared" si="81"/>
        <v>3249.0395700000004</v>
      </c>
      <c r="Q155" s="651">
        <v>52093.440000000002</v>
      </c>
      <c r="R155" s="650">
        <v>405900</v>
      </c>
      <c r="S155" s="89">
        <v>8992.32</v>
      </c>
      <c r="T155" s="89">
        <f t="shared" si="85"/>
        <v>56460.69</v>
      </c>
      <c r="U155" s="89">
        <v>8992.32</v>
      </c>
      <c r="V155" s="89">
        <f t="shared" si="82"/>
        <v>5646.0690000000004</v>
      </c>
      <c r="W155" s="347">
        <v>1787.08</v>
      </c>
      <c r="X155" s="256">
        <v>3.2199999999999999E-2</v>
      </c>
      <c r="Y155" s="256">
        <v>0.1391</v>
      </c>
      <c r="Z155" s="648">
        <v>6.9000000000000006E-2</v>
      </c>
      <c r="AA155" s="89">
        <f t="shared" si="71"/>
        <v>1414918.5</v>
      </c>
      <c r="AB155" s="89">
        <f t="shared" si="72"/>
        <v>8992.32</v>
      </c>
      <c r="AC155" s="257">
        <f t="shared" si="73"/>
        <v>6.9000000000000006E-2</v>
      </c>
      <c r="AD155" s="90">
        <f t="shared" si="74"/>
        <v>97629.376500000013</v>
      </c>
      <c r="AE155" s="89">
        <f t="shared" si="75"/>
        <v>33668.160000000003</v>
      </c>
      <c r="AF155" s="89">
        <f t="shared" si="76"/>
        <v>53880.520000000004</v>
      </c>
      <c r="AG155" s="270">
        <f t="shared" si="77"/>
        <v>0.31776812586732028</v>
      </c>
      <c r="AH155" s="271">
        <f t="shared" si="78"/>
        <v>20.691411462614429</v>
      </c>
      <c r="AI155" s="240">
        <f t="shared" si="79"/>
        <v>21.00917958848175</v>
      </c>
      <c r="AJ155" s="316">
        <v>22.478311904747351</v>
      </c>
      <c r="AK155" s="672">
        <f t="shared" si="83"/>
        <v>-1.4691323162656005</v>
      </c>
      <c r="AL155">
        <f t="shared" si="80"/>
        <v>143</v>
      </c>
      <c r="AM155">
        <f t="shared" si="86"/>
        <v>143</v>
      </c>
    </row>
    <row r="156" spans="1:39" x14ac:dyDescent="0.2">
      <c r="A156" s="6">
        <v>145</v>
      </c>
      <c r="B156" s="199">
        <v>60485</v>
      </c>
      <c r="C156" s="680" t="s">
        <v>208</v>
      </c>
      <c r="D156" s="173" t="s">
        <v>136</v>
      </c>
      <c r="E156" s="173" t="s">
        <v>136</v>
      </c>
      <c r="F156" s="175" t="s">
        <v>113</v>
      </c>
      <c r="G156" s="179" t="s">
        <v>4</v>
      </c>
      <c r="H156" s="179" t="s">
        <v>294</v>
      </c>
      <c r="I156" s="182" t="s">
        <v>9</v>
      </c>
      <c r="J156" s="181" t="s">
        <v>136</v>
      </c>
      <c r="K156" s="200" t="b">
        <v>0</v>
      </c>
      <c r="L156" s="650">
        <v>1179454</v>
      </c>
      <c r="M156" s="89">
        <v>0</v>
      </c>
      <c r="N156" s="89">
        <f t="shared" si="84"/>
        <v>50598.5766</v>
      </c>
      <c r="O156" s="89">
        <v>19174.8</v>
      </c>
      <c r="P156" s="89">
        <f t="shared" si="81"/>
        <v>5059.8576600000006</v>
      </c>
      <c r="Q156" s="651">
        <v>12741.54</v>
      </c>
      <c r="R156" s="650">
        <v>810232</v>
      </c>
      <c r="S156" s="89">
        <v>563877.52</v>
      </c>
      <c r="T156" s="89">
        <f t="shared" si="85"/>
        <v>234724.21040000001</v>
      </c>
      <c r="U156" s="89">
        <v>191396.35</v>
      </c>
      <c r="V156" s="89">
        <f t="shared" si="82"/>
        <v>23472.421040000001</v>
      </c>
      <c r="W156" s="347">
        <v>43355.13</v>
      </c>
      <c r="X156" s="256">
        <v>4.2900000000000001E-2</v>
      </c>
      <c r="Y156" s="256">
        <v>0.28970000000000001</v>
      </c>
      <c r="Z156" s="648">
        <v>0.15709999999999999</v>
      </c>
      <c r="AA156" s="89">
        <f t="shared" si="71"/>
        <v>1989686</v>
      </c>
      <c r="AB156" s="89">
        <f t="shared" si="72"/>
        <v>563877.52</v>
      </c>
      <c r="AC156" s="257">
        <f t="shared" si="73"/>
        <v>0.15709999999999999</v>
      </c>
      <c r="AD156" s="90">
        <f t="shared" si="74"/>
        <v>312579.67059999995</v>
      </c>
      <c r="AE156" s="89">
        <f t="shared" si="75"/>
        <v>210571.15</v>
      </c>
      <c r="AF156" s="89">
        <f t="shared" si="76"/>
        <v>56096.67</v>
      </c>
      <c r="AG156" s="270">
        <f t="shared" si="77"/>
        <v>14.170012755781565</v>
      </c>
      <c r="AH156" s="271">
        <f t="shared" si="78"/>
        <v>40.419356050086009</v>
      </c>
      <c r="AI156" s="240">
        <f t="shared" si="79"/>
        <v>54.589368805867572</v>
      </c>
      <c r="AJ156" s="316">
        <v>3.5208625559093703</v>
      </c>
      <c r="AK156" s="672">
        <f t="shared" si="83"/>
        <v>51.068506249958205</v>
      </c>
      <c r="AL156">
        <f t="shared" si="80"/>
        <v>144</v>
      </c>
      <c r="AM156">
        <f t="shared" si="86"/>
        <v>144</v>
      </c>
    </row>
    <row r="157" spans="1:39" x14ac:dyDescent="0.2">
      <c r="A157" s="6">
        <v>146</v>
      </c>
      <c r="B157" s="199">
        <v>60487</v>
      </c>
      <c r="C157" s="680" t="s">
        <v>209</v>
      </c>
      <c r="D157" s="173" t="s">
        <v>136</v>
      </c>
      <c r="E157" s="173" t="s">
        <v>136</v>
      </c>
      <c r="F157" s="174" t="s">
        <v>113</v>
      </c>
      <c r="G157" s="179" t="s">
        <v>4</v>
      </c>
      <c r="H157" s="179" t="s">
        <v>294</v>
      </c>
      <c r="I157" s="180" t="s">
        <v>7</v>
      </c>
      <c r="J157" s="181" t="s">
        <v>136</v>
      </c>
      <c r="K157" s="200" t="b">
        <v>0</v>
      </c>
      <c r="L157" s="650">
        <v>1029160.855</v>
      </c>
      <c r="M157" s="89">
        <v>0</v>
      </c>
      <c r="N157" s="89">
        <f t="shared" si="84"/>
        <v>61749.651299999998</v>
      </c>
      <c r="O157" s="89">
        <v>56131.74</v>
      </c>
      <c r="P157" s="89">
        <f t="shared" si="81"/>
        <v>6174.9651300000005</v>
      </c>
      <c r="Q157" s="651">
        <v>40993.5</v>
      </c>
      <c r="R157" s="650">
        <v>1409510.0950000002</v>
      </c>
      <c r="S157" s="89">
        <v>269089.71000000002</v>
      </c>
      <c r="T157" s="89">
        <f t="shared" si="85"/>
        <v>557179.34055350011</v>
      </c>
      <c r="U157" s="89">
        <v>120164.71</v>
      </c>
      <c r="V157" s="89">
        <f t="shared" si="82"/>
        <v>55717.934055350015</v>
      </c>
      <c r="W157" s="347">
        <v>11043.01</v>
      </c>
      <c r="X157" s="256">
        <v>0.06</v>
      </c>
      <c r="Y157" s="256">
        <v>0.39529999999999998</v>
      </c>
      <c r="Z157" s="648">
        <v>0.19589999999999999</v>
      </c>
      <c r="AA157" s="89">
        <f t="shared" si="71"/>
        <v>2438670.9500000002</v>
      </c>
      <c r="AB157" s="89">
        <f t="shared" si="72"/>
        <v>269089.71000000002</v>
      </c>
      <c r="AC157" s="257">
        <f t="shared" si="73"/>
        <v>0.19589999999999999</v>
      </c>
      <c r="AD157" s="90">
        <f t="shared" si="74"/>
        <v>477735.63910500001</v>
      </c>
      <c r="AE157" s="89">
        <f t="shared" si="75"/>
        <v>176296.45</v>
      </c>
      <c r="AF157" s="89">
        <f t="shared" si="76"/>
        <v>52036.51</v>
      </c>
      <c r="AG157" s="270">
        <f t="shared" si="77"/>
        <v>5.5171385463053149</v>
      </c>
      <c r="AH157" s="271">
        <f t="shared" si="78"/>
        <v>22.141507005457346</v>
      </c>
      <c r="AI157" s="240">
        <f t="shared" si="79"/>
        <v>27.65864555176266</v>
      </c>
      <c r="AJ157" s="316">
        <v>60</v>
      </c>
      <c r="AK157" s="672">
        <f t="shared" si="83"/>
        <v>-32.34135444823734</v>
      </c>
      <c r="AL157">
        <f t="shared" si="80"/>
        <v>145</v>
      </c>
      <c r="AM157">
        <f t="shared" si="86"/>
        <v>145</v>
      </c>
    </row>
    <row r="158" spans="1:39" x14ac:dyDescent="0.2">
      <c r="A158" s="6">
        <v>147</v>
      </c>
      <c r="B158" s="199">
        <v>60488</v>
      </c>
      <c r="C158" s="680" t="s">
        <v>210</v>
      </c>
      <c r="D158" s="173" t="s">
        <v>136</v>
      </c>
      <c r="E158" s="173" t="s">
        <v>136</v>
      </c>
      <c r="F158" s="174" t="s">
        <v>113</v>
      </c>
      <c r="G158" s="179" t="s">
        <v>4</v>
      </c>
      <c r="H158" s="179" t="s">
        <v>294</v>
      </c>
      <c r="I158" s="180" t="s">
        <v>38</v>
      </c>
      <c r="J158" s="181" t="s">
        <v>136</v>
      </c>
      <c r="K158" s="200" t="b">
        <v>0</v>
      </c>
      <c r="L158" s="650">
        <v>832000</v>
      </c>
      <c r="M158" s="89">
        <v>0</v>
      </c>
      <c r="N158" s="89">
        <f t="shared" si="84"/>
        <v>265158.39999999997</v>
      </c>
      <c r="O158" s="89">
        <v>230679.3</v>
      </c>
      <c r="P158" s="89">
        <f t="shared" si="81"/>
        <v>26515.839999999997</v>
      </c>
      <c r="Q158" s="651">
        <v>168809.7</v>
      </c>
      <c r="R158" s="650">
        <v>932250</v>
      </c>
      <c r="S158" s="89">
        <v>0</v>
      </c>
      <c r="T158" s="89">
        <f t="shared" si="85"/>
        <v>382875.07500000001</v>
      </c>
      <c r="U158" s="89">
        <v>0</v>
      </c>
      <c r="V158" s="89">
        <f t="shared" si="82"/>
        <v>38287.5075</v>
      </c>
      <c r="W158" s="347">
        <v>0</v>
      </c>
      <c r="X158" s="256">
        <v>0.31869999999999998</v>
      </c>
      <c r="Y158" s="256">
        <v>0.41070000000000001</v>
      </c>
      <c r="Z158" s="648">
        <v>0.26329999999999998</v>
      </c>
      <c r="AA158" s="89">
        <f t="shared" si="71"/>
        <v>1764250</v>
      </c>
      <c r="AB158" s="89">
        <f t="shared" si="72"/>
        <v>0</v>
      </c>
      <c r="AC158" s="257">
        <f t="shared" si="73"/>
        <v>0.26329999999999998</v>
      </c>
      <c r="AD158" s="90">
        <f t="shared" si="74"/>
        <v>464527.02499999997</v>
      </c>
      <c r="AE158" s="89">
        <f t="shared" si="75"/>
        <v>230679.3</v>
      </c>
      <c r="AF158" s="89">
        <f t="shared" si="76"/>
        <v>168809.7</v>
      </c>
      <c r="AG158" s="270">
        <f t="shared" si="77"/>
        <v>0</v>
      </c>
      <c r="AH158" s="271">
        <f t="shared" si="78"/>
        <v>29.795377351834375</v>
      </c>
      <c r="AI158" s="240">
        <f t="shared" si="79"/>
        <v>29.795377351834375</v>
      </c>
      <c r="AJ158" s="316">
        <v>71.008873300703442</v>
      </c>
      <c r="AK158" s="672">
        <f t="shared" si="83"/>
        <v>-41.213495948869067</v>
      </c>
      <c r="AL158">
        <f t="shared" si="80"/>
        <v>146</v>
      </c>
      <c r="AM158">
        <f t="shared" si="86"/>
        <v>146</v>
      </c>
    </row>
    <row r="159" spans="1:39" x14ac:dyDescent="0.2">
      <c r="A159" s="6">
        <v>148</v>
      </c>
      <c r="B159" s="199">
        <v>60489</v>
      </c>
      <c r="C159" s="680" t="s">
        <v>211</v>
      </c>
      <c r="D159" s="173" t="s">
        <v>136</v>
      </c>
      <c r="E159" s="173" t="s">
        <v>136</v>
      </c>
      <c r="F159" s="174" t="s">
        <v>113</v>
      </c>
      <c r="G159" s="179" t="s">
        <v>4</v>
      </c>
      <c r="H159" s="179" t="s">
        <v>294</v>
      </c>
      <c r="I159" s="180" t="s">
        <v>12</v>
      </c>
      <c r="J159" s="181" t="s">
        <v>136</v>
      </c>
      <c r="K159" s="200" t="b">
        <v>0</v>
      </c>
      <c r="L159" s="650">
        <v>674000</v>
      </c>
      <c r="M159" s="89">
        <v>0</v>
      </c>
      <c r="N159" s="89">
        <f t="shared" si="84"/>
        <v>157850.79999999999</v>
      </c>
      <c r="O159" s="89">
        <v>182256.3</v>
      </c>
      <c r="P159" s="89">
        <f t="shared" si="81"/>
        <v>15785.08</v>
      </c>
      <c r="Q159" s="651">
        <v>129085.86</v>
      </c>
      <c r="R159" s="650">
        <v>158500</v>
      </c>
      <c r="S159" s="89">
        <v>1723.65</v>
      </c>
      <c r="T159" s="89">
        <f t="shared" si="85"/>
        <v>22364.350000000002</v>
      </c>
      <c r="U159" s="89">
        <v>1723.65</v>
      </c>
      <c r="V159" s="89">
        <f t="shared" si="82"/>
        <v>2236.4350000000004</v>
      </c>
      <c r="W159" s="347">
        <v>494.05</v>
      </c>
      <c r="X159" s="256">
        <v>0.23419999999999999</v>
      </c>
      <c r="Y159" s="256">
        <v>0.1411</v>
      </c>
      <c r="Z159" s="648">
        <v>0.21249999999999999</v>
      </c>
      <c r="AA159" s="89">
        <f t="shared" si="71"/>
        <v>832500</v>
      </c>
      <c r="AB159" s="89">
        <f t="shared" si="72"/>
        <v>1723.65</v>
      </c>
      <c r="AC159" s="257">
        <f t="shared" si="73"/>
        <v>0.21249999999999999</v>
      </c>
      <c r="AD159" s="90">
        <f t="shared" si="74"/>
        <v>176906.25</v>
      </c>
      <c r="AE159" s="89">
        <f t="shared" si="75"/>
        <v>183979.94999999998</v>
      </c>
      <c r="AF159" s="89">
        <f t="shared" si="76"/>
        <v>129579.91</v>
      </c>
      <c r="AG159" s="270">
        <f t="shared" si="77"/>
        <v>0.10352252252252253</v>
      </c>
      <c r="AH159" s="271">
        <f t="shared" si="78"/>
        <v>60</v>
      </c>
      <c r="AI159" s="240">
        <f t="shared" si="79"/>
        <v>60.103522522522525</v>
      </c>
      <c r="AJ159" s="316">
        <v>36.600075109210287</v>
      </c>
      <c r="AK159" s="672">
        <f t="shared" si="83"/>
        <v>23.503447413312237</v>
      </c>
      <c r="AL159">
        <f t="shared" si="80"/>
        <v>147</v>
      </c>
      <c r="AM159">
        <f t="shared" si="86"/>
        <v>147</v>
      </c>
    </row>
    <row r="160" spans="1:39" x14ac:dyDescent="0.2">
      <c r="A160" s="6">
        <v>149</v>
      </c>
      <c r="B160" s="199">
        <v>60490</v>
      </c>
      <c r="C160" s="680" t="s">
        <v>212</v>
      </c>
      <c r="D160" s="173" t="s">
        <v>136</v>
      </c>
      <c r="E160" s="173" t="s">
        <v>136</v>
      </c>
      <c r="F160" s="174" t="s">
        <v>113</v>
      </c>
      <c r="G160" s="179" t="s">
        <v>4</v>
      </c>
      <c r="H160" s="179" t="s">
        <v>294</v>
      </c>
      <c r="I160" s="180" t="s">
        <v>39</v>
      </c>
      <c r="J160" s="181" t="s">
        <v>136</v>
      </c>
      <c r="K160" s="200" t="b">
        <v>0</v>
      </c>
      <c r="L160" s="650">
        <v>413310.64500000002</v>
      </c>
      <c r="M160" s="89">
        <v>124326</v>
      </c>
      <c r="N160" s="89">
        <f t="shared" si="84"/>
        <v>108452.71324800001</v>
      </c>
      <c r="O160" s="89">
        <v>74549.58</v>
      </c>
      <c r="P160" s="89">
        <f t="shared" si="81"/>
        <v>10845.271324800002</v>
      </c>
      <c r="Q160" s="651">
        <v>53485.8</v>
      </c>
      <c r="R160" s="650">
        <v>476312.19499999995</v>
      </c>
      <c r="S160" s="89">
        <v>14537.66</v>
      </c>
      <c r="T160" s="89">
        <f t="shared" si="85"/>
        <v>190286.72190249999</v>
      </c>
      <c r="U160" s="89">
        <v>5538.95</v>
      </c>
      <c r="V160" s="89">
        <f t="shared" si="82"/>
        <v>19028.672190249999</v>
      </c>
      <c r="W160" s="347">
        <v>1082.32</v>
      </c>
      <c r="X160" s="256">
        <v>0.26240000000000002</v>
      </c>
      <c r="Y160" s="256">
        <v>0.39950000000000002</v>
      </c>
      <c r="Z160" s="648">
        <v>0.33989999999999998</v>
      </c>
      <c r="AA160" s="89">
        <f t="shared" si="71"/>
        <v>889622.84</v>
      </c>
      <c r="AB160" s="89">
        <f t="shared" si="72"/>
        <v>138863.66</v>
      </c>
      <c r="AC160" s="257">
        <f t="shared" si="73"/>
        <v>0.33989999999999998</v>
      </c>
      <c r="AD160" s="90">
        <f t="shared" si="74"/>
        <v>302382.80331599998</v>
      </c>
      <c r="AE160" s="89">
        <f t="shared" si="75"/>
        <v>80088.53</v>
      </c>
      <c r="AF160" s="89">
        <f t="shared" si="76"/>
        <v>54568.12</v>
      </c>
      <c r="AG160" s="270">
        <f t="shared" si="77"/>
        <v>7.8046366255614572</v>
      </c>
      <c r="AH160" s="271">
        <f t="shared" si="78"/>
        <v>15.8914850557103</v>
      </c>
      <c r="AI160" s="240">
        <f t="shared" si="79"/>
        <v>23.696121681271755</v>
      </c>
      <c r="AJ160" s="316">
        <v>60.612076363636362</v>
      </c>
      <c r="AK160" s="672">
        <f t="shared" si="83"/>
        <v>-36.915954682364607</v>
      </c>
      <c r="AL160">
        <f t="shared" si="80"/>
        <v>148</v>
      </c>
      <c r="AM160">
        <f t="shared" si="86"/>
        <v>148</v>
      </c>
    </row>
    <row r="161" spans="1:39" x14ac:dyDescent="0.2">
      <c r="A161" s="6">
        <v>150</v>
      </c>
      <c r="B161" s="199">
        <v>60491</v>
      </c>
      <c r="C161" s="680" t="s">
        <v>213</v>
      </c>
      <c r="D161" s="173" t="s">
        <v>136</v>
      </c>
      <c r="E161" s="173" t="s">
        <v>136</v>
      </c>
      <c r="F161" s="174" t="s">
        <v>113</v>
      </c>
      <c r="G161" s="179" t="s">
        <v>4</v>
      </c>
      <c r="H161" s="179" t="s">
        <v>294</v>
      </c>
      <c r="I161" s="180" t="s">
        <v>41</v>
      </c>
      <c r="J161" s="181" t="s">
        <v>136</v>
      </c>
      <c r="K161" s="200" t="b">
        <v>0</v>
      </c>
      <c r="L161" s="650">
        <v>817000</v>
      </c>
      <c r="M161" s="89">
        <v>0</v>
      </c>
      <c r="N161" s="89">
        <f t="shared" si="84"/>
        <v>244936.6</v>
      </c>
      <c r="O161" s="89">
        <v>180961.44</v>
      </c>
      <c r="P161" s="89">
        <f t="shared" si="81"/>
        <v>24493.660000000003</v>
      </c>
      <c r="Q161" s="651">
        <v>134271.54</v>
      </c>
      <c r="R161" s="650">
        <v>850500</v>
      </c>
      <c r="S161" s="89">
        <v>274082.95</v>
      </c>
      <c r="T161" s="89">
        <f t="shared" si="85"/>
        <v>241882.19999999998</v>
      </c>
      <c r="U161" s="89">
        <v>272303.32</v>
      </c>
      <c r="V161" s="89">
        <f t="shared" si="82"/>
        <v>24188.22</v>
      </c>
      <c r="W161" s="347">
        <v>51460.08</v>
      </c>
      <c r="X161" s="256">
        <v>0.29980000000000001</v>
      </c>
      <c r="Y161" s="256">
        <v>0.28439999999999999</v>
      </c>
      <c r="Z161" s="648">
        <v>0.29160000000000003</v>
      </c>
      <c r="AA161" s="89">
        <f t="shared" si="71"/>
        <v>1667500</v>
      </c>
      <c r="AB161" s="89">
        <f t="shared" si="72"/>
        <v>274082.95</v>
      </c>
      <c r="AC161" s="257">
        <f t="shared" si="73"/>
        <v>0.29160000000000003</v>
      </c>
      <c r="AD161" s="90">
        <f t="shared" si="74"/>
        <v>486243.00000000006</v>
      </c>
      <c r="AE161" s="89">
        <f t="shared" si="75"/>
        <v>453264.76</v>
      </c>
      <c r="AF161" s="89">
        <f t="shared" si="76"/>
        <v>185731.62</v>
      </c>
      <c r="AG161" s="270">
        <f t="shared" si="77"/>
        <v>8.2183793103448277</v>
      </c>
      <c r="AH161" s="271">
        <f t="shared" si="78"/>
        <v>55.930647022167925</v>
      </c>
      <c r="AI161" s="240">
        <f t="shared" si="79"/>
        <v>64.149026332512747</v>
      </c>
      <c r="AJ161" s="316">
        <v>54.751685999677377</v>
      </c>
      <c r="AK161" s="672">
        <f t="shared" si="83"/>
        <v>9.3973403328353697</v>
      </c>
      <c r="AL161" t="str">
        <f t="shared" si="80"/>
        <v/>
      </c>
      <c r="AM161" t="str">
        <f t="shared" si="86"/>
        <v/>
      </c>
    </row>
    <row r="162" spans="1:39" x14ac:dyDescent="0.2">
      <c r="A162" s="6">
        <v>151</v>
      </c>
      <c r="B162" s="199">
        <v>60475</v>
      </c>
      <c r="C162" s="680" t="s">
        <v>214</v>
      </c>
      <c r="D162" s="173" t="s">
        <v>136</v>
      </c>
      <c r="E162" s="173" t="s">
        <v>136</v>
      </c>
      <c r="F162" s="174" t="s">
        <v>113</v>
      </c>
      <c r="G162" s="179" t="s">
        <v>4</v>
      </c>
      <c r="H162" s="179" t="s">
        <v>294</v>
      </c>
      <c r="I162" s="180" t="s">
        <v>43</v>
      </c>
      <c r="J162" s="181" t="s">
        <v>136</v>
      </c>
      <c r="K162" s="200" t="b">
        <v>0</v>
      </c>
      <c r="L162" s="650">
        <v>1335500</v>
      </c>
      <c r="M162" s="89">
        <v>0</v>
      </c>
      <c r="N162" s="89">
        <f t="shared" si="84"/>
        <v>65038.85</v>
      </c>
      <c r="O162" s="89">
        <v>36567.839999999997</v>
      </c>
      <c r="P162" s="89">
        <f t="shared" si="81"/>
        <v>6503.8850000000002</v>
      </c>
      <c r="Q162" s="651">
        <v>26023.74</v>
      </c>
      <c r="R162" s="650">
        <v>1350500</v>
      </c>
      <c r="S162" s="89">
        <v>1146.58</v>
      </c>
      <c r="T162" s="89">
        <f t="shared" si="85"/>
        <v>564644.05000000005</v>
      </c>
      <c r="U162" s="89">
        <v>189.58</v>
      </c>
      <c r="V162" s="89">
        <f t="shared" si="82"/>
        <v>56464.405000000006</v>
      </c>
      <c r="W162" s="347">
        <v>37.61</v>
      </c>
      <c r="X162" s="256">
        <v>4.87E-2</v>
      </c>
      <c r="Y162" s="256">
        <v>0.41810000000000003</v>
      </c>
      <c r="Z162" s="648">
        <v>0.2288</v>
      </c>
      <c r="AA162" s="89">
        <f t="shared" si="71"/>
        <v>2686000</v>
      </c>
      <c r="AB162" s="89">
        <f t="shared" si="72"/>
        <v>1146.58</v>
      </c>
      <c r="AC162" s="257">
        <f t="shared" si="73"/>
        <v>0.2288</v>
      </c>
      <c r="AD162" s="90">
        <f t="shared" si="74"/>
        <v>614556.80000000005</v>
      </c>
      <c r="AE162" s="89">
        <f t="shared" si="75"/>
        <v>36757.42</v>
      </c>
      <c r="AF162" s="89">
        <f t="shared" si="76"/>
        <v>26061.350000000002</v>
      </c>
      <c r="AG162" s="270">
        <f t="shared" si="77"/>
        <v>2.1343633655994045E-2</v>
      </c>
      <c r="AH162" s="271">
        <f t="shared" si="78"/>
        <v>3.5886759368702772</v>
      </c>
      <c r="AI162" s="240">
        <f t="shared" si="79"/>
        <v>3.6100195705262714</v>
      </c>
      <c r="AJ162" s="316">
        <v>69.260789644012945</v>
      </c>
      <c r="AK162" s="672">
        <f t="shared" si="83"/>
        <v>-65.650770073486669</v>
      </c>
      <c r="AL162">
        <f t="shared" si="80"/>
        <v>150</v>
      </c>
      <c r="AM162">
        <f t="shared" si="86"/>
        <v>150</v>
      </c>
    </row>
    <row r="163" spans="1:39" x14ac:dyDescent="0.2">
      <c r="A163" s="6">
        <v>152</v>
      </c>
      <c r="B163" s="199">
        <v>60492</v>
      </c>
      <c r="C163" s="680" t="s">
        <v>215</v>
      </c>
      <c r="D163" s="173" t="s">
        <v>136</v>
      </c>
      <c r="E163" s="173" t="s">
        <v>136</v>
      </c>
      <c r="F163" s="174" t="s">
        <v>113</v>
      </c>
      <c r="G163" s="179" t="s">
        <v>4</v>
      </c>
      <c r="H163" s="179" t="s">
        <v>294</v>
      </c>
      <c r="I163" s="182" t="s">
        <v>10</v>
      </c>
      <c r="J163" s="181" t="s">
        <v>136</v>
      </c>
      <c r="K163" s="200" t="b">
        <v>0</v>
      </c>
      <c r="L163" s="650">
        <v>1168500</v>
      </c>
      <c r="M163" s="89">
        <v>1164331.99</v>
      </c>
      <c r="N163" s="89">
        <f t="shared" si="84"/>
        <v>69292.05</v>
      </c>
      <c r="O163" s="89">
        <v>58176.12</v>
      </c>
      <c r="P163" s="89">
        <f t="shared" si="81"/>
        <v>6929.2050000000008</v>
      </c>
      <c r="Q163" s="651">
        <v>41256.9</v>
      </c>
      <c r="R163" s="650">
        <v>1227000</v>
      </c>
      <c r="S163" s="89">
        <v>37393.85</v>
      </c>
      <c r="T163" s="89">
        <f t="shared" si="85"/>
        <v>513008.7</v>
      </c>
      <c r="U163" s="89">
        <v>37393.85</v>
      </c>
      <c r="V163" s="89">
        <f t="shared" si="82"/>
        <v>51300.87</v>
      </c>
      <c r="W163" s="347">
        <v>14042.93</v>
      </c>
      <c r="X163" s="256">
        <v>5.9299999999999999E-2</v>
      </c>
      <c r="Y163" s="256">
        <v>0.41810000000000003</v>
      </c>
      <c r="Z163" s="648">
        <v>0.22869999999999999</v>
      </c>
      <c r="AA163" s="89">
        <f t="shared" si="71"/>
        <v>2395500</v>
      </c>
      <c r="AB163" s="89">
        <f t="shared" si="72"/>
        <v>1201725.8400000001</v>
      </c>
      <c r="AC163" s="257">
        <f t="shared" si="73"/>
        <v>0.22869999999999999</v>
      </c>
      <c r="AD163" s="90">
        <f t="shared" si="74"/>
        <v>547850.85</v>
      </c>
      <c r="AE163" s="89">
        <f t="shared" si="75"/>
        <v>95569.97</v>
      </c>
      <c r="AF163" s="89">
        <f t="shared" si="76"/>
        <v>55299.83</v>
      </c>
      <c r="AG163" s="270">
        <f t="shared" si="77"/>
        <v>25.082985597996242</v>
      </c>
      <c r="AH163" s="271">
        <f t="shared" si="78"/>
        <v>10.466714070079476</v>
      </c>
      <c r="AI163" s="240">
        <f t="shared" si="79"/>
        <v>35.549699668075718</v>
      </c>
      <c r="AJ163" s="316">
        <v>5.5862317294672099</v>
      </c>
      <c r="AK163" s="672">
        <f t="shared" si="83"/>
        <v>29.96346793860851</v>
      </c>
      <c r="AL163">
        <f t="shared" si="80"/>
        <v>151</v>
      </c>
      <c r="AM163">
        <f t="shared" si="86"/>
        <v>151</v>
      </c>
    </row>
    <row r="164" spans="1:39" x14ac:dyDescent="0.2">
      <c r="A164" s="6">
        <v>153</v>
      </c>
      <c r="B164" s="199">
        <v>60493</v>
      </c>
      <c r="C164" s="680" t="s">
        <v>216</v>
      </c>
      <c r="D164" s="173" t="s">
        <v>136</v>
      </c>
      <c r="E164" s="173" t="s">
        <v>136</v>
      </c>
      <c r="F164" s="174" t="s">
        <v>113</v>
      </c>
      <c r="G164" s="179" t="s">
        <v>4</v>
      </c>
      <c r="H164" s="179" t="s">
        <v>294</v>
      </c>
      <c r="I164" s="180" t="s">
        <v>10</v>
      </c>
      <c r="J164" s="181" t="s">
        <v>136</v>
      </c>
      <c r="K164" s="200" t="b">
        <v>0</v>
      </c>
      <c r="L164" s="650">
        <v>934010</v>
      </c>
      <c r="M164" s="89">
        <v>695000.04</v>
      </c>
      <c r="N164" s="89">
        <f t="shared" si="84"/>
        <v>45299.485000000001</v>
      </c>
      <c r="O164" s="89">
        <v>46934.04</v>
      </c>
      <c r="P164" s="89">
        <f t="shared" si="81"/>
        <v>4529.9485000000004</v>
      </c>
      <c r="Q164" s="651">
        <v>33489.599999999999</v>
      </c>
      <c r="R164" s="650">
        <v>1718500</v>
      </c>
      <c r="S164" s="89">
        <v>62081.69</v>
      </c>
      <c r="T164" s="89">
        <f t="shared" si="85"/>
        <v>668840.19999999995</v>
      </c>
      <c r="U164" s="89">
        <v>57721.48</v>
      </c>
      <c r="V164" s="89">
        <f t="shared" si="82"/>
        <v>66884.02</v>
      </c>
      <c r="W164" s="347">
        <v>13616.8</v>
      </c>
      <c r="X164" s="256">
        <v>4.8500000000000001E-2</v>
      </c>
      <c r="Y164" s="256">
        <v>0.38919999999999999</v>
      </c>
      <c r="Z164" s="648">
        <v>0.2535</v>
      </c>
      <c r="AA164" s="89">
        <f t="shared" si="71"/>
        <v>2652510</v>
      </c>
      <c r="AB164" s="89">
        <f t="shared" si="72"/>
        <v>757081.73</v>
      </c>
      <c r="AC164" s="257">
        <f t="shared" si="73"/>
        <v>0.2535</v>
      </c>
      <c r="AD164" s="90">
        <f t="shared" si="74"/>
        <v>672411.28500000003</v>
      </c>
      <c r="AE164" s="89">
        <f t="shared" si="75"/>
        <v>104655.52</v>
      </c>
      <c r="AF164" s="89">
        <f t="shared" si="76"/>
        <v>47106.399999999994</v>
      </c>
      <c r="AG164" s="270">
        <f t="shared" si="77"/>
        <v>14.27104384149353</v>
      </c>
      <c r="AH164" s="271">
        <f t="shared" si="78"/>
        <v>9.3385273865533058</v>
      </c>
      <c r="AI164" s="240">
        <f t="shared" si="79"/>
        <v>23.609571228046836</v>
      </c>
      <c r="AJ164" s="316">
        <v>26.351842522691744</v>
      </c>
      <c r="AK164" s="672">
        <f t="shared" si="83"/>
        <v>-2.7422712946449082</v>
      </c>
      <c r="AL164" t="str">
        <f t="shared" si="80"/>
        <v/>
      </c>
      <c r="AM164" t="str">
        <f t="shared" si="86"/>
        <v/>
      </c>
    </row>
    <row r="165" spans="1:39" x14ac:dyDescent="0.2">
      <c r="A165" s="6">
        <v>154</v>
      </c>
      <c r="B165" s="199">
        <v>60494</v>
      </c>
      <c r="C165" s="680" t="s">
        <v>217</v>
      </c>
      <c r="D165" s="173" t="s">
        <v>136</v>
      </c>
      <c r="E165" s="173" t="s">
        <v>136</v>
      </c>
      <c r="F165" s="174" t="s">
        <v>113</v>
      </c>
      <c r="G165" s="179" t="s">
        <v>4</v>
      </c>
      <c r="H165" s="179" t="s">
        <v>294</v>
      </c>
      <c r="I165" s="182" t="s">
        <v>10</v>
      </c>
      <c r="J165" s="181" t="s">
        <v>136</v>
      </c>
      <c r="K165" s="200" t="b">
        <v>0</v>
      </c>
      <c r="L165" s="650">
        <v>535000</v>
      </c>
      <c r="M165" s="89">
        <v>492677.38</v>
      </c>
      <c r="N165" s="89">
        <f t="shared" si="84"/>
        <v>23700.5</v>
      </c>
      <c r="O165" s="89">
        <v>42806.7</v>
      </c>
      <c r="P165" s="89">
        <f t="shared" si="81"/>
        <v>2370.0500000000002</v>
      </c>
      <c r="Q165" s="651">
        <v>37666.620000000003</v>
      </c>
      <c r="R165" s="650">
        <v>387500</v>
      </c>
      <c r="S165" s="89">
        <v>23853.97</v>
      </c>
      <c r="T165" s="89">
        <f t="shared" si="85"/>
        <v>37083.75</v>
      </c>
      <c r="U165" s="89">
        <v>23853.97</v>
      </c>
      <c r="V165" s="89">
        <f t="shared" si="82"/>
        <v>3708.375</v>
      </c>
      <c r="W165" s="347">
        <v>4860.05</v>
      </c>
      <c r="X165" s="256">
        <v>4.4299999999999999E-2</v>
      </c>
      <c r="Y165" s="256">
        <v>9.5699999999999993E-2</v>
      </c>
      <c r="Z165" s="648">
        <v>6.4199999999999993E-2</v>
      </c>
      <c r="AA165" s="89">
        <f t="shared" si="71"/>
        <v>922500</v>
      </c>
      <c r="AB165" s="89">
        <f t="shared" si="72"/>
        <v>516531.35</v>
      </c>
      <c r="AC165" s="257">
        <f t="shared" si="73"/>
        <v>6.4199999999999993E-2</v>
      </c>
      <c r="AD165" s="90">
        <f t="shared" si="74"/>
        <v>59224.499999999993</v>
      </c>
      <c r="AE165" s="89">
        <f t="shared" si="75"/>
        <v>66660.67</v>
      </c>
      <c r="AF165" s="89">
        <f t="shared" si="76"/>
        <v>42526.670000000006</v>
      </c>
      <c r="AG165" s="270">
        <f t="shared" si="77"/>
        <v>27.996279132791329</v>
      </c>
      <c r="AH165" s="271">
        <f t="shared" si="78"/>
        <v>60</v>
      </c>
      <c r="AI165" s="240">
        <f t="shared" si="79"/>
        <v>87.996279132791329</v>
      </c>
      <c r="AJ165" s="316">
        <v>32.355088558220949</v>
      </c>
      <c r="AK165" s="672">
        <f t="shared" si="83"/>
        <v>55.641190574570381</v>
      </c>
      <c r="AL165" t="str">
        <f t="shared" si="80"/>
        <v/>
      </c>
      <c r="AM165" t="str">
        <f t="shared" si="86"/>
        <v/>
      </c>
    </row>
    <row r="166" spans="1:39" x14ac:dyDescent="0.2">
      <c r="A166" s="6">
        <v>155</v>
      </c>
      <c r="B166" s="199">
        <v>60495</v>
      </c>
      <c r="C166" s="680" t="s">
        <v>218</v>
      </c>
      <c r="D166" s="173" t="s">
        <v>136</v>
      </c>
      <c r="E166" s="173" t="s">
        <v>136</v>
      </c>
      <c r="F166" s="174" t="s">
        <v>113</v>
      </c>
      <c r="G166" s="179" t="s">
        <v>4</v>
      </c>
      <c r="H166" s="179" t="s">
        <v>294</v>
      </c>
      <c r="I166" s="180" t="s">
        <v>10</v>
      </c>
      <c r="J166" s="181" t="s">
        <v>136</v>
      </c>
      <c r="K166" s="200" t="b">
        <v>0</v>
      </c>
      <c r="L166" s="650">
        <v>1118000</v>
      </c>
      <c r="M166" s="89">
        <v>0</v>
      </c>
      <c r="N166" s="89">
        <f t="shared" si="84"/>
        <v>64396.799999999996</v>
      </c>
      <c r="O166" s="89">
        <v>65329.56</v>
      </c>
      <c r="P166" s="89">
        <f t="shared" si="81"/>
        <v>6439.68</v>
      </c>
      <c r="Q166" s="651">
        <v>51169.38</v>
      </c>
      <c r="R166" s="650">
        <v>1650800</v>
      </c>
      <c r="S166" s="89">
        <v>949527.61</v>
      </c>
      <c r="T166" s="89">
        <f t="shared" si="85"/>
        <v>702745.56</v>
      </c>
      <c r="U166" s="89">
        <v>432895.41</v>
      </c>
      <c r="V166" s="89">
        <f t="shared" si="82"/>
        <v>70274.556000000011</v>
      </c>
      <c r="W166" s="347">
        <v>90489.89</v>
      </c>
      <c r="X166" s="256">
        <v>5.7599999999999998E-2</v>
      </c>
      <c r="Y166" s="256">
        <v>0.42570000000000002</v>
      </c>
      <c r="Z166" s="648">
        <v>0.24529999999999999</v>
      </c>
      <c r="AA166" s="89">
        <f t="shared" si="71"/>
        <v>2768800</v>
      </c>
      <c r="AB166" s="89">
        <f t="shared" si="72"/>
        <v>949527.61</v>
      </c>
      <c r="AC166" s="257">
        <f t="shared" si="73"/>
        <v>0.24529999999999999</v>
      </c>
      <c r="AD166" s="90">
        <f t="shared" si="74"/>
        <v>679186.64</v>
      </c>
      <c r="AE166" s="89">
        <f t="shared" si="75"/>
        <v>498224.97</v>
      </c>
      <c r="AF166" s="89">
        <f t="shared" si="76"/>
        <v>141659.26999999999</v>
      </c>
      <c r="AG166" s="270">
        <f t="shared" si="77"/>
        <v>17.146915811904073</v>
      </c>
      <c r="AH166" s="271">
        <f t="shared" si="78"/>
        <v>44.013672294849613</v>
      </c>
      <c r="AI166" s="240">
        <f t="shared" si="79"/>
        <v>61.160588106753686</v>
      </c>
      <c r="AJ166" s="316">
        <v>68.390946780809998</v>
      </c>
      <c r="AK166" s="672">
        <f t="shared" si="83"/>
        <v>-7.2303586740563119</v>
      </c>
      <c r="AL166" t="str">
        <f t="shared" si="80"/>
        <v/>
      </c>
      <c r="AM166" t="str">
        <f t="shared" si="86"/>
        <v/>
      </c>
    </row>
    <row r="167" spans="1:39" x14ac:dyDescent="0.2">
      <c r="A167" s="6">
        <v>156</v>
      </c>
      <c r="B167" s="199">
        <v>60496</v>
      </c>
      <c r="C167" s="680" t="s">
        <v>219</v>
      </c>
      <c r="D167" s="173" t="s">
        <v>136</v>
      </c>
      <c r="E167" s="173" t="s">
        <v>136</v>
      </c>
      <c r="F167" s="174" t="s">
        <v>113</v>
      </c>
      <c r="G167" s="179" t="s">
        <v>4</v>
      </c>
      <c r="H167" s="179" t="s">
        <v>294</v>
      </c>
      <c r="I167" s="180" t="s">
        <v>10</v>
      </c>
      <c r="J167" s="181" t="s">
        <v>136</v>
      </c>
      <c r="K167" s="200" t="b">
        <v>0</v>
      </c>
      <c r="L167" s="650">
        <v>1071500</v>
      </c>
      <c r="M167" s="89">
        <v>956819.12</v>
      </c>
      <c r="N167" s="89">
        <f t="shared" si="84"/>
        <v>73290.600000000006</v>
      </c>
      <c r="O167" s="89">
        <v>57984.36</v>
      </c>
      <c r="P167" s="89">
        <f t="shared" si="81"/>
        <v>7329.0600000000013</v>
      </c>
      <c r="Q167" s="651">
        <v>41313.24</v>
      </c>
      <c r="R167" s="650">
        <v>1054000</v>
      </c>
      <c r="S167" s="89">
        <v>97087.99</v>
      </c>
      <c r="T167" s="89">
        <f t="shared" si="85"/>
        <v>342339.19999999995</v>
      </c>
      <c r="U167" s="89">
        <v>90277.21</v>
      </c>
      <c r="V167" s="89">
        <f t="shared" si="82"/>
        <v>34233.919999999998</v>
      </c>
      <c r="W167" s="347">
        <v>22659.09</v>
      </c>
      <c r="X167" s="256">
        <v>6.8400000000000002E-2</v>
      </c>
      <c r="Y167" s="256">
        <v>0.32479999999999998</v>
      </c>
      <c r="Z167" s="648">
        <v>0.1983</v>
      </c>
      <c r="AA167" s="89">
        <f t="shared" si="71"/>
        <v>2125500</v>
      </c>
      <c r="AB167" s="89">
        <f t="shared" si="72"/>
        <v>1053907.1100000001</v>
      </c>
      <c r="AC167" s="257">
        <f t="shared" si="73"/>
        <v>0.1983</v>
      </c>
      <c r="AD167" s="90">
        <f t="shared" si="74"/>
        <v>421486.65</v>
      </c>
      <c r="AE167" s="89">
        <f t="shared" si="75"/>
        <v>148261.57</v>
      </c>
      <c r="AF167" s="89">
        <f t="shared" si="76"/>
        <v>63972.33</v>
      </c>
      <c r="AG167" s="270">
        <f t="shared" si="77"/>
        <v>24.791980945659844</v>
      </c>
      <c r="AH167" s="271">
        <f t="shared" si="78"/>
        <v>21.105518288657542</v>
      </c>
      <c r="AI167" s="240">
        <f t="shared" si="79"/>
        <v>45.897499234317387</v>
      </c>
      <c r="AJ167" s="316">
        <v>65.065405049848266</v>
      </c>
      <c r="AK167" s="672">
        <f t="shared" si="83"/>
        <v>-19.167905815530879</v>
      </c>
      <c r="AL167">
        <f t="shared" si="80"/>
        <v>155</v>
      </c>
      <c r="AM167">
        <f t="shared" si="86"/>
        <v>155</v>
      </c>
    </row>
    <row r="168" spans="1:39" x14ac:dyDescent="0.2">
      <c r="A168" s="6">
        <v>157</v>
      </c>
      <c r="B168" s="199">
        <v>60929</v>
      </c>
      <c r="C168" s="680" t="s">
        <v>220</v>
      </c>
      <c r="D168" s="173" t="s">
        <v>136</v>
      </c>
      <c r="E168" s="173" t="s">
        <v>136</v>
      </c>
      <c r="F168" s="174" t="s">
        <v>113</v>
      </c>
      <c r="G168" s="179" t="s">
        <v>4</v>
      </c>
      <c r="H168" s="179" t="s">
        <v>294</v>
      </c>
      <c r="I168" s="180" t="s">
        <v>10</v>
      </c>
      <c r="J168" s="181" t="s">
        <v>136</v>
      </c>
      <c r="K168" s="200" t="b">
        <v>0</v>
      </c>
      <c r="L168" s="650">
        <v>924700</v>
      </c>
      <c r="M168" s="89">
        <v>0</v>
      </c>
      <c r="N168" s="89">
        <f t="shared" si="84"/>
        <v>45495.24</v>
      </c>
      <c r="O168" s="89">
        <v>42067.44</v>
      </c>
      <c r="P168" s="89">
        <f t="shared" si="81"/>
        <v>4549.5240000000003</v>
      </c>
      <c r="Q168" s="651">
        <v>29136</v>
      </c>
      <c r="R168" s="650">
        <v>1280500</v>
      </c>
      <c r="S168" s="89">
        <v>223050.66</v>
      </c>
      <c r="T168" s="89">
        <f t="shared" si="85"/>
        <v>563420</v>
      </c>
      <c r="U168" s="89">
        <v>223050.66</v>
      </c>
      <c r="V168" s="89">
        <f t="shared" si="82"/>
        <v>56342</v>
      </c>
      <c r="W168" s="347">
        <v>39306.46</v>
      </c>
      <c r="X168" s="256">
        <v>4.9200000000000001E-2</v>
      </c>
      <c r="Y168" s="256">
        <v>0.44</v>
      </c>
      <c r="Z168" s="648">
        <v>0.23480000000000001</v>
      </c>
      <c r="AA168" s="89">
        <f t="shared" si="71"/>
        <v>2205200</v>
      </c>
      <c r="AB168" s="89">
        <f t="shared" si="72"/>
        <v>223050.66</v>
      </c>
      <c r="AC168" s="257">
        <f t="shared" si="73"/>
        <v>0.23480000000000001</v>
      </c>
      <c r="AD168" s="90">
        <f t="shared" si="74"/>
        <v>517780.96</v>
      </c>
      <c r="AE168" s="89">
        <f t="shared" si="75"/>
        <v>265118.09999999998</v>
      </c>
      <c r="AF168" s="89">
        <f t="shared" si="76"/>
        <v>68442.459999999992</v>
      </c>
      <c r="AG168" s="270">
        <f t="shared" si="77"/>
        <v>5.0573793760203154</v>
      </c>
      <c r="AH168" s="271">
        <f t="shared" si="78"/>
        <v>30.721651101268762</v>
      </c>
      <c r="AI168" s="240">
        <f t="shared" si="79"/>
        <v>35.779030477289076</v>
      </c>
      <c r="AJ168" s="316">
        <v>63.331543636125332</v>
      </c>
      <c r="AK168" s="672">
        <f t="shared" si="83"/>
        <v>-27.552513158836256</v>
      </c>
      <c r="AL168" t="str">
        <f t="shared" si="80"/>
        <v/>
      </c>
      <c r="AM168" t="str">
        <f t="shared" si="86"/>
        <v/>
      </c>
    </row>
    <row r="169" spans="1:39" x14ac:dyDescent="0.2">
      <c r="A169" s="6">
        <v>158</v>
      </c>
      <c r="B169" s="199">
        <v>60498</v>
      </c>
      <c r="C169" s="680" t="s">
        <v>221</v>
      </c>
      <c r="D169" s="173" t="s">
        <v>136</v>
      </c>
      <c r="E169" s="173" t="s">
        <v>136</v>
      </c>
      <c r="F169" s="174" t="s">
        <v>113</v>
      </c>
      <c r="G169" s="179" t="s">
        <v>4</v>
      </c>
      <c r="H169" s="179" t="s">
        <v>294</v>
      </c>
      <c r="I169" s="180" t="s">
        <v>10</v>
      </c>
      <c r="J169" s="181" t="s">
        <v>136</v>
      </c>
      <c r="K169" s="200" t="b">
        <v>0</v>
      </c>
      <c r="L169" s="650">
        <v>1358500</v>
      </c>
      <c r="M169" s="89">
        <v>748178.92</v>
      </c>
      <c r="N169" s="89">
        <f t="shared" si="84"/>
        <v>75804.3</v>
      </c>
      <c r="O169" s="89">
        <v>61939.5</v>
      </c>
      <c r="P169" s="89">
        <f t="shared" si="81"/>
        <v>7580.43</v>
      </c>
      <c r="Q169" s="651">
        <v>49768.26</v>
      </c>
      <c r="R169" s="650">
        <v>1409000</v>
      </c>
      <c r="S169" s="89">
        <v>132189.16</v>
      </c>
      <c r="T169" s="89">
        <f t="shared" si="85"/>
        <v>613196.79999999993</v>
      </c>
      <c r="U169" s="89">
        <v>3384.18</v>
      </c>
      <c r="V169" s="89">
        <f t="shared" si="82"/>
        <v>61319.679999999993</v>
      </c>
      <c r="W169" s="347">
        <v>616.44000000000005</v>
      </c>
      <c r="X169" s="256">
        <v>5.5800000000000002E-2</v>
      </c>
      <c r="Y169" s="256">
        <v>0.43519999999999998</v>
      </c>
      <c r="Z169" s="648">
        <v>0.26540000000000002</v>
      </c>
      <c r="AA169" s="89">
        <f t="shared" si="71"/>
        <v>2767500</v>
      </c>
      <c r="AB169" s="89">
        <f t="shared" si="72"/>
        <v>880368.08000000007</v>
      </c>
      <c r="AC169" s="257">
        <f t="shared" si="73"/>
        <v>0.26540000000000002</v>
      </c>
      <c r="AD169" s="90">
        <f t="shared" si="74"/>
        <v>734494.50000000012</v>
      </c>
      <c r="AE169" s="89">
        <f t="shared" si="75"/>
        <v>65323.68</v>
      </c>
      <c r="AF169" s="89">
        <f t="shared" si="76"/>
        <v>50384.700000000004</v>
      </c>
      <c r="AG169" s="270">
        <f t="shared" si="77"/>
        <v>15.905475700090335</v>
      </c>
      <c r="AH169" s="271">
        <f t="shared" si="78"/>
        <v>5.3362153154312244</v>
      </c>
      <c r="AI169" s="240">
        <f t="shared" si="79"/>
        <v>21.24169101552156</v>
      </c>
      <c r="AJ169" s="316">
        <v>46.05254442219988</v>
      </c>
      <c r="AK169" s="672">
        <f t="shared" si="83"/>
        <v>-24.810853406678319</v>
      </c>
      <c r="AL169">
        <f t="shared" si="80"/>
        <v>157</v>
      </c>
      <c r="AM169">
        <f t="shared" si="86"/>
        <v>157</v>
      </c>
    </row>
    <row r="170" spans="1:39" x14ac:dyDescent="0.2">
      <c r="A170" s="6">
        <v>159</v>
      </c>
      <c r="B170" s="199">
        <v>60930</v>
      </c>
      <c r="C170" s="680" t="s">
        <v>222</v>
      </c>
      <c r="D170" s="173" t="s">
        <v>136</v>
      </c>
      <c r="E170" s="173" t="s">
        <v>136</v>
      </c>
      <c r="F170" s="174" t="s">
        <v>113</v>
      </c>
      <c r="G170" s="179" t="s">
        <v>4</v>
      </c>
      <c r="H170" s="179" t="s">
        <v>294</v>
      </c>
      <c r="I170" s="180" t="s">
        <v>10</v>
      </c>
      <c r="J170" s="181" t="s">
        <v>136</v>
      </c>
      <c r="K170" s="200" t="b">
        <v>0</v>
      </c>
      <c r="L170" s="650">
        <v>1453500</v>
      </c>
      <c r="M170" s="89">
        <v>1463426.5</v>
      </c>
      <c r="N170" s="89">
        <f t="shared" si="84"/>
        <v>71657.549999999988</v>
      </c>
      <c r="O170" s="89">
        <v>58889.22</v>
      </c>
      <c r="P170" s="89">
        <f t="shared" si="81"/>
        <v>7165.7549999999992</v>
      </c>
      <c r="Q170" s="651">
        <v>45271.199999999997</v>
      </c>
      <c r="R170" s="650">
        <v>978500</v>
      </c>
      <c r="S170" s="89">
        <v>764157.94</v>
      </c>
      <c r="T170" s="89">
        <f t="shared" si="85"/>
        <v>318110.34999999998</v>
      </c>
      <c r="U170" s="89">
        <v>254391.33</v>
      </c>
      <c r="V170" s="89">
        <f t="shared" si="82"/>
        <v>31811.035</v>
      </c>
      <c r="W170" s="347">
        <v>48531.48</v>
      </c>
      <c r="X170" s="256">
        <v>4.9299999999999997E-2</v>
      </c>
      <c r="Y170" s="256">
        <v>0.3251</v>
      </c>
      <c r="Z170" s="648">
        <v>0.17680000000000001</v>
      </c>
      <c r="AA170" s="89">
        <f t="shared" si="71"/>
        <v>2432000</v>
      </c>
      <c r="AB170" s="89">
        <f t="shared" si="72"/>
        <v>2227584.44</v>
      </c>
      <c r="AC170" s="257">
        <f t="shared" si="73"/>
        <v>0.17680000000000001</v>
      </c>
      <c r="AD170" s="90">
        <f t="shared" si="74"/>
        <v>429977.60000000003</v>
      </c>
      <c r="AE170" s="89">
        <f t="shared" si="75"/>
        <v>313280.55</v>
      </c>
      <c r="AF170" s="89">
        <f t="shared" si="76"/>
        <v>93802.68</v>
      </c>
      <c r="AG170" s="270">
        <f t="shared" si="77"/>
        <v>40</v>
      </c>
      <c r="AH170" s="271">
        <f t="shared" si="78"/>
        <v>43.715842406674206</v>
      </c>
      <c r="AI170" s="240">
        <f t="shared" si="79"/>
        <v>83.715842406674199</v>
      </c>
      <c r="AJ170" s="316">
        <v>40.103777078742453</v>
      </c>
      <c r="AK170" s="672">
        <f t="shared" si="83"/>
        <v>43.612065327931745</v>
      </c>
      <c r="AL170" t="str">
        <f t="shared" si="80"/>
        <v/>
      </c>
      <c r="AM170" t="str">
        <f t="shared" si="86"/>
        <v/>
      </c>
    </row>
    <row r="171" spans="1:39" x14ac:dyDescent="0.2">
      <c r="A171" s="6">
        <v>160</v>
      </c>
      <c r="B171" s="199">
        <v>60931</v>
      </c>
      <c r="C171" s="680" t="s">
        <v>223</v>
      </c>
      <c r="D171" s="173" t="s">
        <v>136</v>
      </c>
      <c r="E171" s="173" t="s">
        <v>136</v>
      </c>
      <c r="F171" s="174" t="s">
        <v>113</v>
      </c>
      <c r="G171" s="179" t="s">
        <v>4</v>
      </c>
      <c r="H171" s="179" t="s">
        <v>294</v>
      </c>
      <c r="I171" s="180" t="s">
        <v>10</v>
      </c>
      <c r="J171" s="181" t="s">
        <v>136</v>
      </c>
      <c r="K171" s="200" t="b">
        <v>0</v>
      </c>
      <c r="L171" s="650">
        <v>1289750</v>
      </c>
      <c r="M171" s="89">
        <v>0</v>
      </c>
      <c r="N171" s="89">
        <f t="shared" si="84"/>
        <v>92990.974999999991</v>
      </c>
      <c r="O171" s="89">
        <v>71554.740000000005</v>
      </c>
      <c r="P171" s="89">
        <f t="shared" si="81"/>
        <v>9299.0974999999999</v>
      </c>
      <c r="Q171" s="651">
        <v>58795.38</v>
      </c>
      <c r="R171" s="650">
        <v>1233250</v>
      </c>
      <c r="S171" s="89">
        <v>687613.81</v>
      </c>
      <c r="T171" s="89">
        <f t="shared" si="85"/>
        <v>549906.17500000005</v>
      </c>
      <c r="U171" s="89">
        <v>533356.43999999994</v>
      </c>
      <c r="V171" s="89">
        <f t="shared" si="82"/>
        <v>54990.617500000008</v>
      </c>
      <c r="W171" s="347">
        <v>110991.7</v>
      </c>
      <c r="X171" s="256">
        <v>7.2099999999999997E-2</v>
      </c>
      <c r="Y171" s="256">
        <v>0.44590000000000002</v>
      </c>
      <c r="Z171" s="648">
        <v>0.25209999999999999</v>
      </c>
      <c r="AA171" s="89">
        <f t="shared" ref="AA171:AA189" si="87">IF(jakaKS=1,L171+R171,IF(jakaKS=2,L171,IF(jakaKS=3,R171,0)))</f>
        <v>2523000</v>
      </c>
      <c r="AB171" s="89">
        <f t="shared" ref="AB171:AB189" si="88">IF(jakaKS=1,M171+S171,IF(jakaKS=2,M171,IF(jakaKS=3,S171,0)))+IF(uspora="A",IF(jakaKS=1,Q171+W171,IF(jakaKS=2,Q171,IF(jakaKS=3,W171,0))),0)</f>
        <v>687613.81</v>
      </c>
      <c r="AC171" s="257">
        <f t="shared" ref="AC171:AC189" si="89">IF(jakaKS=1,Z171,IF(jakaKS=2,X171,IF(jakaKS=3,Y171,0)))</f>
        <v>0.25209999999999999</v>
      </c>
      <c r="AD171" s="90">
        <f t="shared" ref="AD171:AD189" si="90">IF(jakaKS=1,AA171*Z171,IF(jakaKS=2,N171,IF(jakaKS=3,T171,0)))</f>
        <v>636048.29999999993</v>
      </c>
      <c r="AE171" s="89">
        <f t="shared" ref="AE171:AE189" si="91">IF(jakaKS=1,O171+U171,IF(jakaKS=2,O171,IF(jakaKS=3,U171,0)))+IF(uspora="A",IF(jakaKS=1,Q171+W171,IF(jakaKS=2,Q171,IF(jakaKS=3,W171,0))),0)</f>
        <v>604911.17999999993</v>
      </c>
      <c r="AF171" s="89">
        <f t="shared" ref="AF171:AF189" si="92">IF(jakaKS=1,Q171+W171,IF(jakaKS=2,Q171,IF(jakaKS=3,W171,0)))</f>
        <v>169787.08</v>
      </c>
      <c r="AG171" s="270">
        <f t="shared" si="77"/>
        <v>13.626908640507335</v>
      </c>
      <c r="AH171" s="271">
        <f t="shared" si="78"/>
        <v>57.062758913120277</v>
      </c>
      <c r="AI171" s="240">
        <f t="shared" si="79"/>
        <v>70.689667553627615</v>
      </c>
      <c r="AJ171" s="316">
        <v>95.415787414043535</v>
      </c>
      <c r="AK171" s="672">
        <f t="shared" si="83"/>
        <v>-24.72611986041592</v>
      </c>
      <c r="AL171" t="str">
        <f t="shared" ref="AL171:AL186" si="93">IF($M170=AL$11,$A170,"")</f>
        <v/>
      </c>
      <c r="AM171" t="str">
        <f t="shared" si="86"/>
        <v/>
      </c>
    </row>
    <row r="172" spans="1:39" x14ac:dyDescent="0.2">
      <c r="A172" s="6">
        <v>161</v>
      </c>
      <c r="B172" s="199">
        <v>60932</v>
      </c>
      <c r="C172" s="680" t="s">
        <v>224</v>
      </c>
      <c r="D172" s="173" t="s">
        <v>136</v>
      </c>
      <c r="E172" s="173" t="s">
        <v>136</v>
      </c>
      <c r="F172" s="174" t="s">
        <v>113</v>
      </c>
      <c r="G172" s="179" t="s">
        <v>4</v>
      </c>
      <c r="H172" s="179" t="s">
        <v>294</v>
      </c>
      <c r="I172" s="180" t="s">
        <v>10</v>
      </c>
      <c r="J172" s="181" t="s">
        <v>136</v>
      </c>
      <c r="K172" s="200" t="b">
        <v>0</v>
      </c>
      <c r="L172" s="650">
        <v>981000</v>
      </c>
      <c r="M172" s="89">
        <v>0</v>
      </c>
      <c r="N172" s="89">
        <f t="shared" si="84"/>
        <v>93293.1</v>
      </c>
      <c r="O172" s="89">
        <v>138161.82</v>
      </c>
      <c r="P172" s="89">
        <f t="shared" si="81"/>
        <v>9329.3100000000013</v>
      </c>
      <c r="Q172" s="651">
        <v>97937.04</v>
      </c>
      <c r="R172" s="650">
        <v>733650</v>
      </c>
      <c r="S172" s="89">
        <v>166467.70000000001</v>
      </c>
      <c r="T172" s="89">
        <f t="shared" si="85"/>
        <v>236161.93500000003</v>
      </c>
      <c r="U172" s="89">
        <v>162482.78</v>
      </c>
      <c r="V172" s="89">
        <f t="shared" si="82"/>
        <v>23616.193500000005</v>
      </c>
      <c r="W172" s="347">
        <v>60482.82</v>
      </c>
      <c r="X172" s="256">
        <v>9.5100000000000004E-2</v>
      </c>
      <c r="Y172" s="256">
        <v>0.32190000000000002</v>
      </c>
      <c r="Z172" s="648">
        <v>0.18210000000000001</v>
      </c>
      <c r="AA172" s="89">
        <f t="shared" si="87"/>
        <v>1714650</v>
      </c>
      <c r="AB172" s="89">
        <f t="shared" si="88"/>
        <v>166467.70000000001</v>
      </c>
      <c r="AC172" s="257">
        <f t="shared" si="89"/>
        <v>0.18210000000000001</v>
      </c>
      <c r="AD172" s="90">
        <f t="shared" si="90"/>
        <v>312237.76500000001</v>
      </c>
      <c r="AE172" s="89">
        <f t="shared" si="91"/>
        <v>300644.59999999998</v>
      </c>
      <c r="AF172" s="89">
        <f t="shared" si="92"/>
        <v>158419.85999999999</v>
      </c>
      <c r="AG172" s="270">
        <f t="shared" si="77"/>
        <v>4.8542763829352928</v>
      </c>
      <c r="AH172" s="271">
        <f t="shared" si="78"/>
        <v>57.772242893168283</v>
      </c>
      <c r="AI172" s="240">
        <f t="shared" si="79"/>
        <v>62.626519276103579</v>
      </c>
      <c r="AJ172" s="316">
        <v>49.108547930923166</v>
      </c>
      <c r="AK172" s="672">
        <f t="shared" si="83"/>
        <v>13.517971345180413</v>
      </c>
      <c r="AL172">
        <f t="shared" si="93"/>
        <v>160</v>
      </c>
      <c r="AM172">
        <f t="shared" si="86"/>
        <v>160</v>
      </c>
    </row>
    <row r="173" spans="1:39" x14ac:dyDescent="0.2">
      <c r="A173" s="6">
        <v>162</v>
      </c>
      <c r="B173" s="199">
        <v>60505</v>
      </c>
      <c r="C173" s="680" t="s">
        <v>225</v>
      </c>
      <c r="D173" s="173" t="s">
        <v>136</v>
      </c>
      <c r="E173" s="173" t="s">
        <v>136</v>
      </c>
      <c r="F173" s="174" t="s">
        <v>113</v>
      </c>
      <c r="G173" s="179" t="s">
        <v>4</v>
      </c>
      <c r="H173" s="179" t="s">
        <v>294</v>
      </c>
      <c r="I173" s="180" t="s">
        <v>11</v>
      </c>
      <c r="J173" s="181" t="s">
        <v>136</v>
      </c>
      <c r="K173" s="200" t="b">
        <v>0</v>
      </c>
      <c r="L173" s="650">
        <v>1618000</v>
      </c>
      <c r="M173" s="89">
        <v>0</v>
      </c>
      <c r="N173" s="89">
        <f t="shared" si="84"/>
        <v>397057.2</v>
      </c>
      <c r="O173" s="89">
        <v>494742.12</v>
      </c>
      <c r="P173" s="89">
        <f t="shared" si="81"/>
        <v>39705.72</v>
      </c>
      <c r="Q173" s="651">
        <v>355889.64</v>
      </c>
      <c r="R173" s="650">
        <v>745500</v>
      </c>
      <c r="S173" s="89">
        <v>450225.32</v>
      </c>
      <c r="T173" s="89">
        <f t="shared" si="85"/>
        <v>253917.30000000002</v>
      </c>
      <c r="U173" s="89">
        <v>409423.83</v>
      </c>
      <c r="V173" s="89">
        <f t="shared" si="82"/>
        <v>25391.730000000003</v>
      </c>
      <c r="W173" s="347">
        <v>146292.85999999999</v>
      </c>
      <c r="X173" s="256">
        <v>0.24540000000000001</v>
      </c>
      <c r="Y173" s="256">
        <v>0.34060000000000001</v>
      </c>
      <c r="Z173" s="648">
        <v>0.27689999999999998</v>
      </c>
      <c r="AA173" s="89">
        <f t="shared" si="87"/>
        <v>2363500</v>
      </c>
      <c r="AB173" s="89">
        <f t="shared" si="88"/>
        <v>450225.32</v>
      </c>
      <c r="AC173" s="257">
        <f t="shared" si="89"/>
        <v>0.27689999999999998</v>
      </c>
      <c r="AD173" s="90">
        <f t="shared" si="90"/>
        <v>654453.14999999991</v>
      </c>
      <c r="AE173" s="89">
        <f t="shared" si="91"/>
        <v>904165.95</v>
      </c>
      <c r="AF173" s="89">
        <f t="shared" si="92"/>
        <v>502182.5</v>
      </c>
      <c r="AG173" s="270">
        <f t="shared" si="77"/>
        <v>9.5245466469219373</v>
      </c>
      <c r="AH173" s="271">
        <f t="shared" si="78"/>
        <v>60</v>
      </c>
      <c r="AI173" s="240">
        <f t="shared" si="79"/>
        <v>69.524546646921934</v>
      </c>
      <c r="AJ173" s="316">
        <v>46.669115799088694</v>
      </c>
      <c r="AK173" s="672">
        <f t="shared" si="83"/>
        <v>22.85543084783324</v>
      </c>
      <c r="AL173">
        <f t="shared" si="93"/>
        <v>161</v>
      </c>
      <c r="AM173">
        <f t="shared" si="86"/>
        <v>161</v>
      </c>
    </row>
    <row r="174" spans="1:39" x14ac:dyDescent="0.2">
      <c r="A174" s="6">
        <v>163</v>
      </c>
      <c r="B174" s="199">
        <v>60508</v>
      </c>
      <c r="C174" s="680" t="s">
        <v>226</v>
      </c>
      <c r="D174" s="173" t="s">
        <v>136</v>
      </c>
      <c r="E174" s="173" t="s">
        <v>136</v>
      </c>
      <c r="F174" s="174" t="s">
        <v>113</v>
      </c>
      <c r="G174" s="179" t="s">
        <v>4</v>
      </c>
      <c r="H174" s="179" t="s">
        <v>294</v>
      </c>
      <c r="I174" s="180" t="s">
        <v>46</v>
      </c>
      <c r="J174" s="181" t="s">
        <v>136</v>
      </c>
      <c r="K174" s="200" t="b">
        <v>0</v>
      </c>
      <c r="L174" s="650">
        <v>1037500</v>
      </c>
      <c r="M174" s="89">
        <v>1135552.8899999999</v>
      </c>
      <c r="N174" s="89">
        <f t="shared" si="84"/>
        <v>61938.75</v>
      </c>
      <c r="O174" s="89">
        <v>41717.699999999997</v>
      </c>
      <c r="P174" s="89">
        <f t="shared" si="81"/>
        <v>6193.875</v>
      </c>
      <c r="Q174" s="651">
        <v>33166.080000000002</v>
      </c>
      <c r="R174" s="650">
        <v>1562750</v>
      </c>
      <c r="S174" s="89">
        <v>1129197.67</v>
      </c>
      <c r="T174" s="89">
        <f t="shared" si="85"/>
        <v>660886.97499999998</v>
      </c>
      <c r="U174" s="89">
        <v>923485.48</v>
      </c>
      <c r="V174" s="89">
        <f t="shared" si="82"/>
        <v>66088.697499999995</v>
      </c>
      <c r="W174" s="347">
        <v>187587.08</v>
      </c>
      <c r="X174" s="256">
        <v>5.9700000000000003E-2</v>
      </c>
      <c r="Y174" s="256">
        <v>0.4229</v>
      </c>
      <c r="Z174" s="648">
        <v>0.2802</v>
      </c>
      <c r="AA174" s="89">
        <f t="shared" si="87"/>
        <v>2600250</v>
      </c>
      <c r="AB174" s="89">
        <f t="shared" si="88"/>
        <v>2264750.5599999996</v>
      </c>
      <c r="AC174" s="257">
        <f t="shared" si="89"/>
        <v>0.2802</v>
      </c>
      <c r="AD174" s="90">
        <f t="shared" si="90"/>
        <v>728590.05</v>
      </c>
      <c r="AE174" s="89">
        <f t="shared" si="91"/>
        <v>965203.17999999993</v>
      </c>
      <c r="AF174" s="89">
        <f t="shared" si="92"/>
        <v>220753.15999999997</v>
      </c>
      <c r="AG174" s="270">
        <f t="shared" si="77"/>
        <v>40</v>
      </c>
      <c r="AH174" s="271">
        <f t="shared" si="78"/>
        <v>60</v>
      </c>
      <c r="AI174" s="240">
        <f t="shared" si="79"/>
        <v>100</v>
      </c>
      <c r="AJ174" s="316">
        <v>23.35409756954537</v>
      </c>
      <c r="AK174" s="672">
        <f t="shared" si="83"/>
        <v>76.645902430454626</v>
      </c>
      <c r="AL174">
        <f t="shared" si="93"/>
        <v>162</v>
      </c>
      <c r="AM174">
        <f t="shared" si="86"/>
        <v>162</v>
      </c>
    </row>
    <row r="175" spans="1:39" x14ac:dyDescent="0.2">
      <c r="A175" s="6">
        <v>164</v>
      </c>
      <c r="B175" s="199">
        <v>60510</v>
      </c>
      <c r="C175" s="680" t="s">
        <v>227</v>
      </c>
      <c r="D175" s="173" t="s">
        <v>136</v>
      </c>
      <c r="E175" s="173" t="s">
        <v>136</v>
      </c>
      <c r="F175" s="174" t="s">
        <v>113</v>
      </c>
      <c r="G175" s="179" t="s">
        <v>4</v>
      </c>
      <c r="H175" s="179" t="s">
        <v>294</v>
      </c>
      <c r="I175" s="180" t="s">
        <v>49</v>
      </c>
      <c r="J175" s="181" t="s">
        <v>136</v>
      </c>
      <c r="K175" s="200" t="b">
        <v>0</v>
      </c>
      <c r="L175" s="650">
        <v>877250</v>
      </c>
      <c r="M175" s="89">
        <v>576098.65</v>
      </c>
      <c r="N175" s="89">
        <f t="shared" si="84"/>
        <v>329407.375</v>
      </c>
      <c r="O175" s="89">
        <v>174637.74</v>
      </c>
      <c r="P175" s="89">
        <f t="shared" si="81"/>
        <v>32940.737500000003</v>
      </c>
      <c r="Q175" s="651">
        <v>132721.74</v>
      </c>
      <c r="R175" s="650">
        <v>447000</v>
      </c>
      <c r="S175" s="89">
        <v>120216954.68000001</v>
      </c>
      <c r="T175" s="89">
        <f t="shared" si="85"/>
        <v>28071.599999999999</v>
      </c>
      <c r="U175" s="89">
        <v>0</v>
      </c>
      <c r="V175" s="89">
        <f t="shared" si="82"/>
        <v>2807.16</v>
      </c>
      <c r="W175" s="347">
        <v>0</v>
      </c>
      <c r="X175" s="256">
        <v>0.3755</v>
      </c>
      <c r="Y175" s="256">
        <v>6.2799999999999995E-2</v>
      </c>
      <c r="Z175" s="648">
        <v>0.24060000000000001</v>
      </c>
      <c r="AA175" s="89">
        <f t="shared" si="87"/>
        <v>1324250</v>
      </c>
      <c r="AB175" s="89">
        <f t="shared" si="88"/>
        <v>120793053.33000001</v>
      </c>
      <c r="AC175" s="257">
        <f t="shared" si="89"/>
        <v>0.24060000000000001</v>
      </c>
      <c r="AD175" s="90">
        <f t="shared" si="90"/>
        <v>318614.55</v>
      </c>
      <c r="AE175" s="89">
        <f t="shared" si="91"/>
        <v>174637.74</v>
      </c>
      <c r="AF175" s="89">
        <f t="shared" si="92"/>
        <v>132721.74</v>
      </c>
      <c r="AG175" s="270">
        <f t="shared" si="77"/>
        <v>40</v>
      </c>
      <c r="AH175" s="271">
        <f t="shared" si="78"/>
        <v>32.88696137699926</v>
      </c>
      <c r="AI175" s="240">
        <f t="shared" si="79"/>
        <v>72.886961376999267</v>
      </c>
      <c r="AJ175" s="316">
        <v>70.823836468983401</v>
      </c>
      <c r="AK175" s="672">
        <f t="shared" si="83"/>
        <v>2.0631249080158653</v>
      </c>
      <c r="AL175" t="str">
        <f t="shared" si="93"/>
        <v/>
      </c>
      <c r="AM175" t="str">
        <f t="shared" si="86"/>
        <v/>
      </c>
    </row>
    <row r="176" spans="1:39" x14ac:dyDescent="0.2">
      <c r="A176" s="6">
        <v>165</v>
      </c>
      <c r="B176" s="199">
        <v>60467</v>
      </c>
      <c r="C176" s="680" t="s">
        <v>228</v>
      </c>
      <c r="D176" s="173" t="s">
        <v>136</v>
      </c>
      <c r="E176" s="173" t="s">
        <v>136</v>
      </c>
      <c r="F176" s="174" t="s">
        <v>113</v>
      </c>
      <c r="G176" s="179" t="s">
        <v>4</v>
      </c>
      <c r="H176" s="179" t="s">
        <v>294</v>
      </c>
      <c r="I176" s="182" t="s">
        <v>9</v>
      </c>
      <c r="J176" s="181" t="s">
        <v>136</v>
      </c>
      <c r="K176" s="200" t="b">
        <v>0</v>
      </c>
      <c r="L176" s="650">
        <v>1062000</v>
      </c>
      <c r="M176" s="89">
        <v>0</v>
      </c>
      <c r="N176" s="89">
        <f t="shared" si="84"/>
        <v>48214.8</v>
      </c>
      <c r="O176" s="89">
        <v>43397.16</v>
      </c>
      <c r="P176" s="89">
        <f t="shared" si="81"/>
        <v>4821.4800000000005</v>
      </c>
      <c r="Q176" s="651">
        <v>31538.1</v>
      </c>
      <c r="R176" s="650">
        <v>1048500</v>
      </c>
      <c r="S176" s="89">
        <v>0</v>
      </c>
      <c r="T176" s="89">
        <f t="shared" si="85"/>
        <v>414891.45</v>
      </c>
      <c r="U176" s="89">
        <v>0</v>
      </c>
      <c r="V176" s="89">
        <f t="shared" si="82"/>
        <v>41489.145000000004</v>
      </c>
      <c r="W176" s="347">
        <v>0</v>
      </c>
      <c r="X176" s="256">
        <v>4.5400000000000003E-2</v>
      </c>
      <c r="Y176" s="256">
        <v>0.3957</v>
      </c>
      <c r="Z176" s="648">
        <v>0.21809999999999999</v>
      </c>
      <c r="AA176" s="89">
        <f t="shared" si="87"/>
        <v>2110500</v>
      </c>
      <c r="AB176" s="89">
        <f t="shared" si="88"/>
        <v>0</v>
      </c>
      <c r="AC176" s="257">
        <f t="shared" si="89"/>
        <v>0.21809999999999999</v>
      </c>
      <c r="AD176" s="90">
        <f t="shared" si="90"/>
        <v>460300.05</v>
      </c>
      <c r="AE176" s="89">
        <f t="shared" si="91"/>
        <v>43397.16</v>
      </c>
      <c r="AF176" s="89">
        <f t="shared" si="92"/>
        <v>31538.1</v>
      </c>
      <c r="AG176" s="270">
        <f t="shared" si="77"/>
        <v>0</v>
      </c>
      <c r="AH176" s="271">
        <f t="shared" si="78"/>
        <v>5.6568092921128299</v>
      </c>
      <c r="AI176" s="240">
        <f t="shared" si="79"/>
        <v>5.6568092921128299</v>
      </c>
      <c r="AJ176" s="316">
        <v>58.838913579849113</v>
      </c>
      <c r="AK176" s="672">
        <f t="shared" si="83"/>
        <v>-53.18210428773628</v>
      </c>
      <c r="AL176" t="str">
        <f t="shared" si="93"/>
        <v/>
      </c>
      <c r="AM176" t="str">
        <f t="shared" si="86"/>
        <v/>
      </c>
    </row>
    <row r="177" spans="1:48" x14ac:dyDescent="0.2">
      <c r="A177" s="6">
        <v>166</v>
      </c>
      <c r="B177" s="199">
        <v>60511</v>
      </c>
      <c r="C177" s="680" t="s">
        <v>229</v>
      </c>
      <c r="D177" s="173" t="s">
        <v>136</v>
      </c>
      <c r="E177" s="173" t="s">
        <v>136</v>
      </c>
      <c r="F177" s="174" t="s">
        <v>113</v>
      </c>
      <c r="G177" s="179" t="s">
        <v>4</v>
      </c>
      <c r="H177" s="179" t="s">
        <v>294</v>
      </c>
      <c r="I177" s="180" t="s">
        <v>9</v>
      </c>
      <c r="J177" s="181" t="s">
        <v>136</v>
      </c>
      <c r="K177" s="200" t="b">
        <v>0</v>
      </c>
      <c r="L177" s="650">
        <v>1280000</v>
      </c>
      <c r="M177" s="89">
        <v>0</v>
      </c>
      <c r="N177" s="89">
        <f t="shared" si="84"/>
        <v>118143.99999999999</v>
      </c>
      <c r="O177" s="89">
        <v>91637.16</v>
      </c>
      <c r="P177" s="89">
        <f t="shared" si="81"/>
        <v>11814.4</v>
      </c>
      <c r="Q177" s="651">
        <v>71253.42</v>
      </c>
      <c r="R177" s="650">
        <v>740000</v>
      </c>
      <c r="S177" s="89">
        <v>0</v>
      </c>
      <c r="T177" s="89">
        <f t="shared" si="85"/>
        <v>178562</v>
      </c>
      <c r="U177" s="89">
        <v>0</v>
      </c>
      <c r="V177" s="89">
        <f t="shared" si="82"/>
        <v>17856.2</v>
      </c>
      <c r="W177" s="347">
        <v>0</v>
      </c>
      <c r="X177" s="256">
        <v>9.2299999999999993E-2</v>
      </c>
      <c r="Y177" s="256">
        <v>0.24129999999999999</v>
      </c>
      <c r="Z177" s="648">
        <v>0.14929999999999999</v>
      </c>
      <c r="AA177" s="89">
        <f t="shared" si="87"/>
        <v>2020000</v>
      </c>
      <c r="AB177" s="89">
        <f t="shared" si="88"/>
        <v>0</v>
      </c>
      <c r="AC177" s="257">
        <f t="shared" si="89"/>
        <v>0.14929999999999999</v>
      </c>
      <c r="AD177" s="90">
        <f t="shared" si="90"/>
        <v>301586</v>
      </c>
      <c r="AE177" s="89">
        <f t="shared" si="91"/>
        <v>91637.16</v>
      </c>
      <c r="AF177" s="89">
        <f t="shared" si="92"/>
        <v>71253.42</v>
      </c>
      <c r="AG177" s="270">
        <f t="shared" si="77"/>
        <v>0</v>
      </c>
      <c r="AH177" s="271">
        <f t="shared" si="78"/>
        <v>18.231050512954845</v>
      </c>
      <c r="AI177" s="240">
        <f t="shared" si="79"/>
        <v>18.231050512954845</v>
      </c>
      <c r="AJ177" s="316">
        <v>68.969132995529066</v>
      </c>
      <c r="AK177" s="672">
        <f t="shared" si="83"/>
        <v>-50.738082482574221</v>
      </c>
      <c r="AL177">
        <f t="shared" si="93"/>
        <v>165</v>
      </c>
      <c r="AM177">
        <f t="shared" si="86"/>
        <v>165</v>
      </c>
    </row>
    <row r="178" spans="1:48" x14ac:dyDescent="0.2">
      <c r="A178" s="6">
        <v>167</v>
      </c>
      <c r="B178" s="199">
        <v>60512</v>
      </c>
      <c r="C178" s="680" t="s">
        <v>230</v>
      </c>
      <c r="D178" s="173" t="s">
        <v>136</v>
      </c>
      <c r="E178" s="173" t="s">
        <v>136</v>
      </c>
      <c r="F178" s="174" t="s">
        <v>113</v>
      </c>
      <c r="G178" s="179" t="s">
        <v>4</v>
      </c>
      <c r="H178" s="179" t="s">
        <v>294</v>
      </c>
      <c r="I178" s="180" t="s">
        <v>9</v>
      </c>
      <c r="J178" s="181" t="s">
        <v>136</v>
      </c>
      <c r="K178" s="200" t="b">
        <v>0</v>
      </c>
      <c r="L178" s="650">
        <v>1051750</v>
      </c>
      <c r="M178" s="89">
        <v>0</v>
      </c>
      <c r="N178" s="89">
        <f t="shared" si="84"/>
        <v>38704.400000000001</v>
      </c>
      <c r="O178" s="89">
        <v>42309.06</v>
      </c>
      <c r="P178" s="89">
        <f t="shared" si="81"/>
        <v>3870.4400000000005</v>
      </c>
      <c r="Q178" s="651">
        <v>40811.519999999997</v>
      </c>
      <c r="R178" s="650">
        <v>1179000</v>
      </c>
      <c r="S178" s="89">
        <v>10494.32</v>
      </c>
      <c r="T178" s="89">
        <f t="shared" si="85"/>
        <v>358533.89999999997</v>
      </c>
      <c r="U178" s="89">
        <v>81.58</v>
      </c>
      <c r="V178" s="89">
        <f t="shared" si="82"/>
        <v>35853.39</v>
      </c>
      <c r="W178" s="347">
        <v>21.59</v>
      </c>
      <c r="X178" s="256">
        <v>3.6799999999999999E-2</v>
      </c>
      <c r="Y178" s="256">
        <v>0.30409999999999998</v>
      </c>
      <c r="Z178" s="648">
        <v>0.1696</v>
      </c>
      <c r="AA178" s="89">
        <f t="shared" si="87"/>
        <v>2230750</v>
      </c>
      <c r="AB178" s="89">
        <f t="shared" si="88"/>
        <v>10494.32</v>
      </c>
      <c r="AC178" s="257">
        <f t="shared" si="89"/>
        <v>0.1696</v>
      </c>
      <c r="AD178" s="90">
        <f t="shared" si="90"/>
        <v>378335.2</v>
      </c>
      <c r="AE178" s="89">
        <f t="shared" si="91"/>
        <v>42390.64</v>
      </c>
      <c r="AF178" s="89">
        <f t="shared" si="92"/>
        <v>40833.109999999993</v>
      </c>
      <c r="AG178" s="270">
        <f t="shared" si="77"/>
        <v>0.23521954499607756</v>
      </c>
      <c r="AH178" s="271">
        <f t="shared" si="78"/>
        <v>6.7227115002780602</v>
      </c>
      <c r="AI178" s="240">
        <f t="shared" si="79"/>
        <v>6.9579310452741376</v>
      </c>
      <c r="AJ178" s="316">
        <v>90.478548243340526</v>
      </c>
      <c r="AK178" s="672">
        <f t="shared" si="83"/>
        <v>-83.52061719806639</v>
      </c>
      <c r="AL178">
        <f t="shared" si="93"/>
        <v>166</v>
      </c>
      <c r="AM178">
        <f t="shared" si="86"/>
        <v>166</v>
      </c>
    </row>
    <row r="179" spans="1:48" x14ac:dyDescent="0.2">
      <c r="A179" s="6">
        <v>168</v>
      </c>
      <c r="B179" s="199">
        <v>60476</v>
      </c>
      <c r="C179" s="680" t="s">
        <v>231</v>
      </c>
      <c r="D179" s="173" t="s">
        <v>136</v>
      </c>
      <c r="E179" s="173" t="s">
        <v>136</v>
      </c>
      <c r="F179" s="174" t="s">
        <v>113</v>
      </c>
      <c r="G179" s="179" t="s">
        <v>4</v>
      </c>
      <c r="H179" s="179" t="s">
        <v>294</v>
      </c>
      <c r="I179" s="182" t="s">
        <v>8</v>
      </c>
      <c r="J179" s="181" t="s">
        <v>136</v>
      </c>
      <c r="K179" s="200" t="b">
        <v>0</v>
      </c>
      <c r="L179" s="650">
        <v>1126658.665</v>
      </c>
      <c r="M179" s="89">
        <v>0</v>
      </c>
      <c r="N179" s="89">
        <f t="shared" si="84"/>
        <v>48446.322594999998</v>
      </c>
      <c r="O179" s="89">
        <v>53440.08</v>
      </c>
      <c r="P179" s="89">
        <f t="shared" si="81"/>
        <v>4844.6322595000001</v>
      </c>
      <c r="Q179" s="651">
        <v>49967.7</v>
      </c>
      <c r="R179" s="650">
        <v>310000</v>
      </c>
      <c r="S179" s="89">
        <v>0</v>
      </c>
      <c r="T179" s="89">
        <f t="shared" si="85"/>
        <v>54095</v>
      </c>
      <c r="U179" s="89">
        <v>0</v>
      </c>
      <c r="V179" s="89">
        <f t="shared" si="82"/>
        <v>5409.5</v>
      </c>
      <c r="W179" s="347">
        <v>0</v>
      </c>
      <c r="X179" s="256">
        <v>4.2999999999999997E-2</v>
      </c>
      <c r="Y179" s="256">
        <v>0.17449999999999999</v>
      </c>
      <c r="Z179" s="648">
        <v>6.8400000000000002E-2</v>
      </c>
      <c r="AA179" s="89">
        <f t="shared" si="87"/>
        <v>1436658.665</v>
      </c>
      <c r="AB179" s="89">
        <f t="shared" si="88"/>
        <v>0</v>
      </c>
      <c r="AC179" s="257">
        <f t="shared" si="89"/>
        <v>6.8400000000000002E-2</v>
      </c>
      <c r="AD179" s="90">
        <f t="shared" si="90"/>
        <v>98267.452686000004</v>
      </c>
      <c r="AE179" s="89">
        <f t="shared" si="91"/>
        <v>53440.08</v>
      </c>
      <c r="AF179" s="89">
        <f t="shared" si="92"/>
        <v>49967.7</v>
      </c>
      <c r="AG179" s="270">
        <f t="shared" si="77"/>
        <v>0</v>
      </c>
      <c r="AH179" s="271">
        <f t="shared" si="78"/>
        <v>32.629367225439545</v>
      </c>
      <c r="AI179" s="240">
        <f t="shared" si="79"/>
        <v>32.629367225439545</v>
      </c>
      <c r="AJ179" s="316">
        <v>80.770259022438665</v>
      </c>
      <c r="AK179" s="672">
        <f t="shared" si="83"/>
        <v>-48.140891796999121</v>
      </c>
      <c r="AL179">
        <f t="shared" si="93"/>
        <v>167</v>
      </c>
      <c r="AM179">
        <f t="shared" si="86"/>
        <v>167</v>
      </c>
    </row>
    <row r="180" spans="1:48" x14ac:dyDescent="0.2">
      <c r="A180" s="6">
        <v>169</v>
      </c>
      <c r="B180" s="199">
        <v>60477</v>
      </c>
      <c r="C180" s="680" t="s">
        <v>232</v>
      </c>
      <c r="D180" s="173" t="s">
        <v>136</v>
      </c>
      <c r="E180" s="173" t="s">
        <v>136</v>
      </c>
      <c r="F180" s="174" t="s">
        <v>113</v>
      </c>
      <c r="G180" s="179" t="s">
        <v>4</v>
      </c>
      <c r="H180" s="179" t="s">
        <v>294</v>
      </c>
      <c r="I180" s="180" t="s">
        <v>8</v>
      </c>
      <c r="J180" s="181" t="s">
        <v>136</v>
      </c>
      <c r="K180" s="200" t="b">
        <v>0</v>
      </c>
      <c r="L180" s="650">
        <v>1991000</v>
      </c>
      <c r="M180" s="89">
        <v>1898499.9</v>
      </c>
      <c r="N180" s="89">
        <f t="shared" si="84"/>
        <v>76852.600000000006</v>
      </c>
      <c r="O180" s="89">
        <v>93267.24</v>
      </c>
      <c r="P180" s="89">
        <f t="shared" si="81"/>
        <v>7685.2600000000011</v>
      </c>
      <c r="Q180" s="651">
        <v>82194.36</v>
      </c>
      <c r="R180" s="650">
        <v>653000</v>
      </c>
      <c r="S180" s="89">
        <v>14530.84</v>
      </c>
      <c r="T180" s="89">
        <f t="shared" si="85"/>
        <v>56876.299999999996</v>
      </c>
      <c r="U180" s="89">
        <v>14530.84</v>
      </c>
      <c r="V180" s="89">
        <f t="shared" si="82"/>
        <v>5687.63</v>
      </c>
      <c r="W180" s="347">
        <v>3588.64</v>
      </c>
      <c r="X180" s="256">
        <v>3.8600000000000002E-2</v>
      </c>
      <c r="Y180" s="256">
        <v>8.7099999999999997E-2</v>
      </c>
      <c r="Z180" s="648">
        <v>5.04E-2</v>
      </c>
      <c r="AA180" s="89">
        <f t="shared" si="87"/>
        <v>2644000</v>
      </c>
      <c r="AB180" s="89">
        <f t="shared" si="88"/>
        <v>1913030.74</v>
      </c>
      <c r="AC180" s="257">
        <f t="shared" si="89"/>
        <v>5.04E-2</v>
      </c>
      <c r="AD180" s="90">
        <f t="shared" si="90"/>
        <v>133257.60000000001</v>
      </c>
      <c r="AE180" s="89">
        <f t="shared" si="91"/>
        <v>107798.08</v>
      </c>
      <c r="AF180" s="89">
        <f t="shared" si="92"/>
        <v>85783</v>
      </c>
      <c r="AG180" s="270">
        <f t="shared" si="77"/>
        <v>36.176829425113468</v>
      </c>
      <c r="AH180" s="271">
        <f t="shared" si="78"/>
        <v>48.536704848353864</v>
      </c>
      <c r="AI180" s="240">
        <f t="shared" si="79"/>
        <v>84.713534273467332</v>
      </c>
      <c r="AJ180" s="316">
        <v>6.5336181968050555</v>
      </c>
      <c r="AK180" s="672">
        <f t="shared" si="83"/>
        <v>78.17991607666228</v>
      </c>
      <c r="AL180">
        <f t="shared" si="93"/>
        <v>168</v>
      </c>
      <c r="AM180">
        <f t="shared" si="86"/>
        <v>168</v>
      </c>
    </row>
    <row r="181" spans="1:48" x14ac:dyDescent="0.2">
      <c r="A181" s="6">
        <v>170</v>
      </c>
      <c r="B181" s="199">
        <v>60480</v>
      </c>
      <c r="C181" s="680" t="s">
        <v>233</v>
      </c>
      <c r="D181" s="173" t="s">
        <v>136</v>
      </c>
      <c r="E181" s="173" t="s">
        <v>136</v>
      </c>
      <c r="F181" s="174" t="s">
        <v>113</v>
      </c>
      <c r="G181" s="179" t="s">
        <v>4</v>
      </c>
      <c r="H181" s="179" t="s">
        <v>294</v>
      </c>
      <c r="I181" s="180" t="s">
        <v>8</v>
      </c>
      <c r="J181" s="181" t="s">
        <v>136</v>
      </c>
      <c r="K181" s="200" t="b">
        <v>0</v>
      </c>
      <c r="L181" s="650">
        <v>1110750</v>
      </c>
      <c r="M181" s="89">
        <v>0</v>
      </c>
      <c r="N181" s="89">
        <f t="shared" si="84"/>
        <v>166834.65</v>
      </c>
      <c r="O181" s="89">
        <v>154965.42000000001</v>
      </c>
      <c r="P181" s="89">
        <f t="shared" si="81"/>
        <v>16683.465</v>
      </c>
      <c r="Q181" s="651">
        <v>118935.3</v>
      </c>
      <c r="R181" s="650">
        <v>160000</v>
      </c>
      <c r="S181" s="89">
        <v>1645.6</v>
      </c>
      <c r="T181" s="89">
        <f t="shared" si="85"/>
        <v>12944</v>
      </c>
      <c r="U181" s="89">
        <v>1645.6</v>
      </c>
      <c r="V181" s="89">
        <f t="shared" si="82"/>
        <v>1294.4000000000001</v>
      </c>
      <c r="W181" s="347">
        <v>285.08</v>
      </c>
      <c r="X181" s="256">
        <v>0.1502</v>
      </c>
      <c r="Y181" s="256">
        <v>8.09E-2</v>
      </c>
      <c r="Z181" s="648">
        <v>0.13189999999999999</v>
      </c>
      <c r="AA181" s="89">
        <f t="shared" si="87"/>
        <v>1270750</v>
      </c>
      <c r="AB181" s="89">
        <f t="shared" si="88"/>
        <v>1645.6</v>
      </c>
      <c r="AC181" s="257">
        <f t="shared" si="89"/>
        <v>0.13189999999999999</v>
      </c>
      <c r="AD181" s="90">
        <f t="shared" si="90"/>
        <v>167611.92499999999</v>
      </c>
      <c r="AE181" s="89">
        <f t="shared" si="91"/>
        <v>156611.02000000002</v>
      </c>
      <c r="AF181" s="89">
        <f t="shared" si="92"/>
        <v>119220.38</v>
      </c>
      <c r="AG181" s="270">
        <f t="shared" si="77"/>
        <v>6.4749163879598656E-2</v>
      </c>
      <c r="AH181" s="271">
        <f t="shared" si="78"/>
        <v>56.062008714475425</v>
      </c>
      <c r="AI181" s="240">
        <f t="shared" si="79"/>
        <v>56.126757878355022</v>
      </c>
      <c r="AJ181" s="316">
        <v>20.978494468343712</v>
      </c>
      <c r="AK181" s="672">
        <f t="shared" si="83"/>
        <v>35.14826341001131</v>
      </c>
      <c r="AL181" t="str">
        <f t="shared" si="93"/>
        <v/>
      </c>
      <c r="AM181" t="str">
        <f t="shared" si="86"/>
        <v/>
      </c>
    </row>
    <row r="182" spans="1:48" x14ac:dyDescent="0.2">
      <c r="A182" s="6">
        <v>171</v>
      </c>
      <c r="B182" s="199">
        <v>61067</v>
      </c>
      <c r="C182" s="680" t="s">
        <v>234</v>
      </c>
      <c r="D182" s="173" t="s">
        <v>136</v>
      </c>
      <c r="E182" s="173" t="s">
        <v>136</v>
      </c>
      <c r="F182" s="174" t="s">
        <v>113</v>
      </c>
      <c r="G182" s="179" t="s">
        <v>4</v>
      </c>
      <c r="H182" s="179" t="s">
        <v>294</v>
      </c>
      <c r="I182" s="180" t="s">
        <v>8</v>
      </c>
      <c r="J182" s="181" t="s">
        <v>136</v>
      </c>
      <c r="K182" s="200" t="b">
        <v>0</v>
      </c>
      <c r="L182" s="650">
        <v>1225000</v>
      </c>
      <c r="M182" s="89">
        <v>0</v>
      </c>
      <c r="N182" s="89">
        <f t="shared" si="84"/>
        <v>64190</v>
      </c>
      <c r="O182" s="89">
        <v>57794.16</v>
      </c>
      <c r="P182" s="89">
        <f t="shared" si="81"/>
        <v>6419</v>
      </c>
      <c r="Q182" s="651">
        <v>39538.080000000002</v>
      </c>
      <c r="R182" s="650">
        <v>1202500</v>
      </c>
      <c r="S182" s="89">
        <v>78362.38</v>
      </c>
      <c r="T182" s="89">
        <f t="shared" si="85"/>
        <v>470899</v>
      </c>
      <c r="U182" s="89">
        <v>72010.61</v>
      </c>
      <c r="V182" s="89">
        <f t="shared" si="82"/>
        <v>47089.9</v>
      </c>
      <c r="W182" s="347">
        <v>11645.71</v>
      </c>
      <c r="X182" s="256">
        <v>5.2400000000000002E-2</v>
      </c>
      <c r="Y182" s="256">
        <v>0.3916</v>
      </c>
      <c r="Z182" s="648">
        <v>0.21659999999999999</v>
      </c>
      <c r="AA182" s="89">
        <f t="shared" si="87"/>
        <v>2427500</v>
      </c>
      <c r="AB182" s="89">
        <f t="shared" si="88"/>
        <v>78362.38</v>
      </c>
      <c r="AC182" s="257">
        <f t="shared" si="89"/>
        <v>0.21659999999999999</v>
      </c>
      <c r="AD182" s="90">
        <f t="shared" si="90"/>
        <v>525796.5</v>
      </c>
      <c r="AE182" s="89">
        <f t="shared" si="91"/>
        <v>129804.77</v>
      </c>
      <c r="AF182" s="89">
        <f t="shared" si="92"/>
        <v>51183.79</v>
      </c>
      <c r="AG182" s="270">
        <f t="shared" si="77"/>
        <v>1.6140552008238929</v>
      </c>
      <c r="AH182" s="271">
        <f t="shared" si="78"/>
        <v>14.812358393408857</v>
      </c>
      <c r="AI182" s="240">
        <f t="shared" si="79"/>
        <v>16.426413594232748</v>
      </c>
      <c r="AJ182" s="316">
        <v>9.9953229557598959</v>
      </c>
      <c r="AK182" s="672">
        <f t="shared" si="83"/>
        <v>6.4310906384728526</v>
      </c>
      <c r="AL182">
        <f t="shared" si="93"/>
        <v>170</v>
      </c>
      <c r="AM182">
        <f t="shared" si="86"/>
        <v>170</v>
      </c>
    </row>
    <row r="183" spans="1:48" x14ac:dyDescent="0.2">
      <c r="A183" s="6">
        <v>172</v>
      </c>
      <c r="B183" s="199">
        <v>60506</v>
      </c>
      <c r="C183" s="680" t="s">
        <v>235</v>
      </c>
      <c r="D183" s="173" t="s">
        <v>136</v>
      </c>
      <c r="E183" s="173" t="s">
        <v>136</v>
      </c>
      <c r="F183" s="174" t="s">
        <v>113</v>
      </c>
      <c r="G183" s="179" t="s">
        <v>4</v>
      </c>
      <c r="H183" s="179" t="s">
        <v>294</v>
      </c>
      <c r="I183" s="182" t="s">
        <v>12</v>
      </c>
      <c r="J183" s="181" t="s">
        <v>136</v>
      </c>
      <c r="K183" s="200" t="b">
        <v>0</v>
      </c>
      <c r="L183" s="650">
        <v>1596800</v>
      </c>
      <c r="M183" s="89">
        <v>1965252.1</v>
      </c>
      <c r="N183" s="89">
        <f t="shared" si="84"/>
        <v>54450.879999999997</v>
      </c>
      <c r="O183" s="89">
        <v>98213.22</v>
      </c>
      <c r="P183" s="89">
        <f t="shared" si="81"/>
        <v>5445.0879999999997</v>
      </c>
      <c r="Q183" s="651">
        <v>81015.12</v>
      </c>
      <c r="R183" s="650">
        <v>1958000</v>
      </c>
      <c r="S183" s="89">
        <v>117937.52</v>
      </c>
      <c r="T183" s="89">
        <f t="shared" si="85"/>
        <v>856820.79999999993</v>
      </c>
      <c r="U183" s="89">
        <v>26674.1</v>
      </c>
      <c r="V183" s="89">
        <f t="shared" si="82"/>
        <v>85682.08</v>
      </c>
      <c r="W183" s="347">
        <v>4492.05</v>
      </c>
      <c r="X183" s="256">
        <v>3.4099999999999998E-2</v>
      </c>
      <c r="Y183" s="256">
        <v>0.43759999999999999</v>
      </c>
      <c r="Z183" s="648">
        <v>0.2571</v>
      </c>
      <c r="AA183" s="89">
        <f t="shared" si="87"/>
        <v>3554800</v>
      </c>
      <c r="AB183" s="89">
        <f t="shared" si="88"/>
        <v>2083189.62</v>
      </c>
      <c r="AC183" s="257">
        <f t="shared" si="89"/>
        <v>0.2571</v>
      </c>
      <c r="AD183" s="90">
        <f t="shared" si="90"/>
        <v>913939.08</v>
      </c>
      <c r="AE183" s="89">
        <f t="shared" si="91"/>
        <v>124887.32</v>
      </c>
      <c r="AF183" s="89">
        <f t="shared" si="92"/>
        <v>85507.17</v>
      </c>
      <c r="AG183" s="270">
        <f t="shared" si="77"/>
        <v>29.301080510858558</v>
      </c>
      <c r="AH183" s="271">
        <f t="shared" si="78"/>
        <v>8.1988388110069668</v>
      </c>
      <c r="AI183" s="240">
        <f t="shared" si="79"/>
        <v>37.499919321865526</v>
      </c>
      <c r="AJ183" s="316">
        <v>16.798102748728496</v>
      </c>
      <c r="AK183" s="672">
        <f t="shared" si="83"/>
        <v>20.70181657313703</v>
      </c>
      <c r="AL183">
        <f t="shared" si="93"/>
        <v>171</v>
      </c>
      <c r="AM183">
        <f t="shared" si="86"/>
        <v>171</v>
      </c>
    </row>
    <row r="184" spans="1:48" x14ac:dyDescent="0.2">
      <c r="A184" s="6">
        <v>173</v>
      </c>
      <c r="B184" s="199">
        <v>60507</v>
      </c>
      <c r="C184" s="680" t="s">
        <v>236</v>
      </c>
      <c r="D184" s="173" t="s">
        <v>136</v>
      </c>
      <c r="E184" s="173" t="s">
        <v>136</v>
      </c>
      <c r="F184" s="174" t="s">
        <v>113</v>
      </c>
      <c r="G184" s="179" t="s">
        <v>4</v>
      </c>
      <c r="H184" s="179" t="s">
        <v>294</v>
      </c>
      <c r="I184" s="182" t="s">
        <v>12</v>
      </c>
      <c r="J184" s="181" t="s">
        <v>136</v>
      </c>
      <c r="K184" s="200" t="b">
        <v>0</v>
      </c>
      <c r="L184" s="650">
        <v>1461000</v>
      </c>
      <c r="M184" s="89">
        <v>0</v>
      </c>
      <c r="N184" s="89">
        <f t="shared" si="84"/>
        <v>475409.4</v>
      </c>
      <c r="O184" s="89">
        <v>250174.56</v>
      </c>
      <c r="P184" s="89">
        <f t="shared" si="81"/>
        <v>47540.94</v>
      </c>
      <c r="Q184" s="651">
        <v>171602.82</v>
      </c>
      <c r="R184" s="650">
        <v>1062000</v>
      </c>
      <c r="S184" s="89">
        <v>34280.65</v>
      </c>
      <c r="T184" s="89">
        <f t="shared" si="85"/>
        <v>377541</v>
      </c>
      <c r="U184" s="89">
        <v>34280.65</v>
      </c>
      <c r="V184" s="89">
        <f t="shared" si="82"/>
        <v>37754.1</v>
      </c>
      <c r="W184" s="347">
        <v>14304.29</v>
      </c>
      <c r="X184" s="256">
        <v>0.32540000000000002</v>
      </c>
      <c r="Y184" s="256">
        <v>0.35549999999999998</v>
      </c>
      <c r="Z184" s="648">
        <v>0.34060000000000001</v>
      </c>
      <c r="AA184" s="89">
        <f t="shared" si="87"/>
        <v>2523000</v>
      </c>
      <c r="AB184" s="89">
        <f t="shared" si="88"/>
        <v>34280.65</v>
      </c>
      <c r="AC184" s="257">
        <f t="shared" si="89"/>
        <v>0.34060000000000001</v>
      </c>
      <c r="AD184" s="90">
        <f t="shared" si="90"/>
        <v>859333.8</v>
      </c>
      <c r="AE184" s="89">
        <f t="shared" si="91"/>
        <v>284455.21000000002</v>
      </c>
      <c r="AF184" s="89">
        <f t="shared" si="92"/>
        <v>185907.11000000002</v>
      </c>
      <c r="AG184" s="270">
        <f t="shared" si="77"/>
        <v>0.67936286167261206</v>
      </c>
      <c r="AH184" s="271">
        <f t="shared" si="78"/>
        <v>19.86109774804622</v>
      </c>
      <c r="AI184" s="240">
        <f t="shared" si="79"/>
        <v>20.540460609718831</v>
      </c>
      <c r="AJ184" s="316">
        <v>79.216049776604862</v>
      </c>
      <c r="AK184" s="672">
        <f t="shared" si="83"/>
        <v>-58.675589166886027</v>
      </c>
      <c r="AL184" t="str">
        <f t="shared" si="93"/>
        <v/>
      </c>
      <c r="AM184" t="str">
        <f t="shared" si="86"/>
        <v/>
      </c>
    </row>
    <row r="185" spans="1:48" x14ac:dyDescent="0.2">
      <c r="A185" s="6">
        <v>174</v>
      </c>
      <c r="B185" s="199">
        <v>60515</v>
      </c>
      <c r="C185" s="680" t="s">
        <v>237</v>
      </c>
      <c r="D185" s="173" t="s">
        <v>136</v>
      </c>
      <c r="E185" s="173" t="s">
        <v>136</v>
      </c>
      <c r="F185" s="174" t="s">
        <v>113</v>
      </c>
      <c r="G185" s="179" t="s">
        <v>4</v>
      </c>
      <c r="H185" s="179" t="s">
        <v>294</v>
      </c>
      <c r="I185" s="182" t="s">
        <v>47</v>
      </c>
      <c r="J185" s="181" t="s">
        <v>136</v>
      </c>
      <c r="K185" s="200" t="b">
        <v>0</v>
      </c>
      <c r="L185" s="650">
        <v>96000</v>
      </c>
      <c r="M185" s="89">
        <v>0</v>
      </c>
      <c r="N185" s="89">
        <f t="shared" si="84"/>
        <v>9.6000000000000002E-2</v>
      </c>
      <c r="O185" s="89">
        <v>0</v>
      </c>
      <c r="P185" s="89">
        <f t="shared" si="81"/>
        <v>9.6000000000000009E-3</v>
      </c>
      <c r="Q185" s="651">
        <v>0</v>
      </c>
      <c r="R185" s="650">
        <v>157000</v>
      </c>
      <c r="S185" s="89">
        <v>0</v>
      </c>
      <c r="T185" s="89">
        <f t="shared" si="85"/>
        <v>14192.8</v>
      </c>
      <c r="U185" s="89">
        <v>0</v>
      </c>
      <c r="V185" s="89">
        <f t="shared" si="82"/>
        <v>1419.28</v>
      </c>
      <c r="W185" s="347">
        <v>0</v>
      </c>
      <c r="X185" s="256">
        <v>9.9999999999999995E-7</v>
      </c>
      <c r="Y185" s="256">
        <v>9.0399999999999994E-2</v>
      </c>
      <c r="Z185" s="648">
        <v>4.4999999999999998E-2</v>
      </c>
      <c r="AA185" s="89">
        <f t="shared" si="87"/>
        <v>253000</v>
      </c>
      <c r="AB185" s="89">
        <f t="shared" si="88"/>
        <v>0</v>
      </c>
      <c r="AC185" s="257">
        <f t="shared" si="89"/>
        <v>4.4999999999999998E-2</v>
      </c>
      <c r="AD185" s="90">
        <f t="shared" si="90"/>
        <v>11385</v>
      </c>
      <c r="AE185" s="89">
        <f t="shared" si="91"/>
        <v>0</v>
      </c>
      <c r="AF185" s="89">
        <f t="shared" si="92"/>
        <v>0</v>
      </c>
      <c r="AG185" s="270">
        <f t="shared" si="77"/>
        <v>0</v>
      </c>
      <c r="AH185" s="271">
        <f t="shared" si="78"/>
        <v>0</v>
      </c>
      <c r="AI185" s="240">
        <f t="shared" si="79"/>
        <v>0</v>
      </c>
      <c r="AJ185" s="316">
        <v>60.063795905621099</v>
      </c>
      <c r="AK185" s="672">
        <f t="shared" si="83"/>
        <v>-60.063795905621099</v>
      </c>
      <c r="AL185">
        <f t="shared" si="93"/>
        <v>173</v>
      </c>
      <c r="AM185">
        <f t="shared" si="86"/>
        <v>173</v>
      </c>
    </row>
    <row r="186" spans="1:48" x14ac:dyDescent="0.2">
      <c r="A186" s="6">
        <v>175</v>
      </c>
      <c r="B186" s="199"/>
      <c r="C186" s="680"/>
      <c r="D186" s="173"/>
      <c r="E186" s="173"/>
      <c r="F186" s="174"/>
      <c r="G186" s="179"/>
      <c r="H186" s="179"/>
      <c r="I186" s="182"/>
      <c r="J186" s="181"/>
      <c r="K186" s="200"/>
      <c r="L186" s="650"/>
      <c r="M186" s="89"/>
      <c r="N186" s="89">
        <f t="shared" si="84"/>
        <v>0</v>
      </c>
      <c r="O186" s="89"/>
      <c r="P186" s="89">
        <f t="shared" si="81"/>
        <v>0</v>
      </c>
      <c r="Q186" s="651"/>
      <c r="R186" s="650"/>
      <c r="S186" s="89"/>
      <c r="T186" s="89">
        <f t="shared" si="85"/>
        <v>0</v>
      </c>
      <c r="U186" s="89"/>
      <c r="V186" s="89">
        <f t="shared" si="82"/>
        <v>0</v>
      </c>
      <c r="W186" s="347"/>
      <c r="X186" s="256"/>
      <c r="Y186" s="256"/>
      <c r="Z186" s="648"/>
      <c r="AA186" s="89">
        <f t="shared" si="87"/>
        <v>0</v>
      </c>
      <c r="AB186" s="89">
        <f t="shared" si="88"/>
        <v>0</v>
      </c>
      <c r="AC186" s="257">
        <f t="shared" si="89"/>
        <v>0</v>
      </c>
      <c r="AD186" s="90">
        <f t="shared" si="90"/>
        <v>0</v>
      </c>
      <c r="AE186" s="89">
        <f t="shared" si="91"/>
        <v>0</v>
      </c>
      <c r="AF186" s="89">
        <f t="shared" si="92"/>
        <v>0</v>
      </c>
      <c r="AG186" s="270" t="e">
        <f t="shared" si="77"/>
        <v>#DIV/0!</v>
      </c>
      <c r="AH186" s="271" t="e">
        <f t="shared" si="78"/>
        <v>#DIV/0!</v>
      </c>
      <c r="AI186" s="240" t="e">
        <f t="shared" si="79"/>
        <v>#DIV/0!</v>
      </c>
      <c r="AJ186" s="316">
        <v>17.674514364785672</v>
      </c>
      <c r="AK186" s="672" t="e">
        <f t="shared" si="83"/>
        <v>#DIV/0!</v>
      </c>
      <c r="AL186">
        <f t="shared" si="93"/>
        <v>174</v>
      </c>
      <c r="AM186">
        <f t="shared" si="86"/>
        <v>174</v>
      </c>
    </row>
    <row r="187" spans="1:48" x14ac:dyDescent="0.2">
      <c r="A187" s="6">
        <v>176</v>
      </c>
      <c r="B187" s="199"/>
      <c r="C187" s="680"/>
      <c r="D187" s="173"/>
      <c r="E187" s="173"/>
      <c r="F187" s="174"/>
      <c r="G187" s="179"/>
      <c r="H187" s="179"/>
      <c r="I187" s="182"/>
      <c r="J187" s="181"/>
      <c r="K187" s="200"/>
      <c r="L187" s="650"/>
      <c r="M187" s="89"/>
      <c r="N187" s="89">
        <f t="shared" si="84"/>
        <v>0</v>
      </c>
      <c r="O187" s="89"/>
      <c r="P187" s="89">
        <f t="shared" si="81"/>
        <v>0</v>
      </c>
      <c r="Q187" s="651"/>
      <c r="R187" s="650"/>
      <c r="S187" s="89"/>
      <c r="T187" s="89">
        <f t="shared" si="85"/>
        <v>0</v>
      </c>
      <c r="U187" s="89"/>
      <c r="V187" s="89">
        <f t="shared" si="82"/>
        <v>0</v>
      </c>
      <c r="W187" s="347"/>
      <c r="X187" s="256"/>
      <c r="Y187" s="256"/>
      <c r="Z187" s="648"/>
      <c r="AA187" s="89">
        <f t="shared" si="87"/>
        <v>0</v>
      </c>
      <c r="AB187" s="89">
        <f t="shared" si="88"/>
        <v>0</v>
      </c>
      <c r="AC187" s="257">
        <f t="shared" si="89"/>
        <v>0</v>
      </c>
      <c r="AD187" s="90">
        <f t="shared" si="90"/>
        <v>0</v>
      </c>
      <c r="AE187" s="89">
        <f t="shared" si="91"/>
        <v>0</v>
      </c>
      <c r="AF187" s="89">
        <f t="shared" si="92"/>
        <v>0</v>
      </c>
      <c r="AG187" s="270" t="e">
        <f t="shared" si="77"/>
        <v>#DIV/0!</v>
      </c>
      <c r="AH187" s="271" t="e">
        <f t="shared" si="78"/>
        <v>#DIV/0!</v>
      </c>
      <c r="AI187" s="240" t="e">
        <f t="shared" si="79"/>
        <v>#DIV/0!</v>
      </c>
      <c r="AJ187" s="316">
        <v>30.957260221188221</v>
      </c>
      <c r="AK187" s="672" t="e">
        <f t="shared" si="83"/>
        <v>#DIV/0!</v>
      </c>
    </row>
    <row r="188" spans="1:48" x14ac:dyDescent="0.2">
      <c r="A188" s="6">
        <v>177</v>
      </c>
      <c r="B188" s="199"/>
      <c r="C188" s="680"/>
      <c r="D188" s="173"/>
      <c r="E188" s="173"/>
      <c r="F188" s="174"/>
      <c r="G188" s="179"/>
      <c r="H188" s="179"/>
      <c r="I188" s="182"/>
      <c r="J188" s="181"/>
      <c r="K188" s="200"/>
      <c r="L188" s="650"/>
      <c r="M188" s="89"/>
      <c r="N188" s="89">
        <f t="shared" si="84"/>
        <v>0</v>
      </c>
      <c r="O188" s="89"/>
      <c r="P188" s="89">
        <f t="shared" si="81"/>
        <v>0</v>
      </c>
      <c r="Q188" s="651"/>
      <c r="R188" s="650"/>
      <c r="S188" s="89"/>
      <c r="T188" s="89">
        <f t="shared" si="85"/>
        <v>0</v>
      </c>
      <c r="U188" s="89"/>
      <c r="V188" s="89">
        <f t="shared" si="82"/>
        <v>0</v>
      </c>
      <c r="W188" s="347"/>
      <c r="X188" s="256"/>
      <c r="Y188" s="256"/>
      <c r="Z188" s="648"/>
      <c r="AA188" s="89">
        <f t="shared" si="87"/>
        <v>0</v>
      </c>
      <c r="AB188" s="89">
        <f t="shared" si="88"/>
        <v>0</v>
      </c>
      <c r="AC188" s="257">
        <f t="shared" si="89"/>
        <v>0</v>
      </c>
      <c r="AD188" s="90">
        <f t="shared" si="90"/>
        <v>0</v>
      </c>
      <c r="AE188" s="89">
        <f t="shared" si="91"/>
        <v>0</v>
      </c>
      <c r="AF188" s="89">
        <f t="shared" si="92"/>
        <v>0</v>
      </c>
      <c r="AG188" s="270" t="e">
        <f t="shared" si="77"/>
        <v>#DIV/0!</v>
      </c>
      <c r="AH188" s="271" t="e">
        <f t="shared" si="78"/>
        <v>#DIV/0!</v>
      </c>
      <c r="AI188" s="240" t="e">
        <f t="shared" si="79"/>
        <v>#DIV/0!</v>
      </c>
      <c r="AJ188" s="316">
        <v>39.996487357459543</v>
      </c>
      <c r="AK188" s="672" t="e">
        <f t="shared" si="83"/>
        <v>#DIV/0!</v>
      </c>
    </row>
    <row r="189" spans="1:48" ht="12" thickBot="1" x14ac:dyDescent="0.25">
      <c r="A189" s="6">
        <v>178</v>
      </c>
      <c r="B189" s="199"/>
      <c r="C189" s="682"/>
      <c r="D189" s="173"/>
      <c r="E189" s="173"/>
      <c r="F189" s="174"/>
      <c r="G189" s="179"/>
      <c r="H189" s="179"/>
      <c r="I189" s="180"/>
      <c r="J189" s="181"/>
      <c r="K189" s="200"/>
      <c r="L189" s="650"/>
      <c r="M189" s="652"/>
      <c r="N189" s="89">
        <f t="shared" si="84"/>
        <v>0</v>
      </c>
      <c r="O189" s="652"/>
      <c r="P189" s="89">
        <f t="shared" si="81"/>
        <v>0</v>
      </c>
      <c r="Q189" s="653"/>
      <c r="R189" s="650"/>
      <c r="S189" s="89"/>
      <c r="T189" s="89">
        <f t="shared" si="85"/>
        <v>0</v>
      </c>
      <c r="U189" s="89"/>
      <c r="V189" s="89">
        <f t="shared" si="82"/>
        <v>0</v>
      </c>
      <c r="W189" s="348"/>
      <c r="X189" s="362"/>
      <c r="Y189" s="362"/>
      <c r="Z189" s="649"/>
      <c r="AA189" s="89">
        <f t="shared" si="87"/>
        <v>0</v>
      </c>
      <c r="AB189" s="89">
        <f t="shared" si="88"/>
        <v>0</v>
      </c>
      <c r="AC189" s="257">
        <f t="shared" si="89"/>
        <v>0</v>
      </c>
      <c r="AD189" s="90">
        <f t="shared" si="90"/>
        <v>0</v>
      </c>
      <c r="AE189" s="89">
        <f t="shared" si="91"/>
        <v>0</v>
      </c>
      <c r="AF189" s="89">
        <f t="shared" si="92"/>
        <v>0</v>
      </c>
      <c r="AG189" s="270" t="e">
        <f t="shared" si="77"/>
        <v>#DIV/0!</v>
      </c>
      <c r="AH189" s="272" t="e">
        <f t="shared" si="78"/>
        <v>#DIV/0!</v>
      </c>
      <c r="AI189" s="240" t="e">
        <f t="shared" si="79"/>
        <v>#DIV/0!</v>
      </c>
      <c r="AJ189" s="316">
        <v>0</v>
      </c>
      <c r="AK189" s="672" t="e">
        <f t="shared" si="83"/>
        <v>#DIV/0!</v>
      </c>
    </row>
    <row r="190" spans="1:48" ht="12" thickTop="1" x14ac:dyDescent="0.2">
      <c r="A190" s="195">
        <v>179</v>
      </c>
      <c r="B190" s="192" t="s">
        <v>85</v>
      </c>
      <c r="C190" s="85" t="s">
        <v>33</v>
      </c>
      <c r="D190" s="811"/>
      <c r="E190" s="811"/>
      <c r="F190" s="811"/>
      <c r="G190" s="811"/>
      <c r="H190" s="811"/>
      <c r="I190" s="811"/>
      <c r="J190" s="811"/>
      <c r="K190" s="812"/>
      <c r="L190" s="654">
        <f t="shared" ref="L190:W199" si="94">SUMIF($I$12:$I$189,$C190,L$12:L$189)</f>
        <v>2285000</v>
      </c>
      <c r="M190" s="655">
        <f t="shared" si="94"/>
        <v>1252583.05</v>
      </c>
      <c r="N190" s="655">
        <f t="shared" si="94"/>
        <v>216906.97790203852</v>
      </c>
      <c r="O190" s="655">
        <f t="shared" si="94"/>
        <v>61114.32</v>
      </c>
      <c r="P190" s="655">
        <f t="shared" si="94"/>
        <v>21690.697790203852</v>
      </c>
      <c r="Q190" s="655">
        <f t="shared" si="94"/>
        <v>54338.880000000005</v>
      </c>
      <c r="R190" s="655">
        <f t="shared" si="94"/>
        <v>1244500</v>
      </c>
      <c r="S190" s="655">
        <f t="shared" si="94"/>
        <v>101044.92</v>
      </c>
      <c r="T190" s="655">
        <f t="shared" si="94"/>
        <v>460047.54782387009</v>
      </c>
      <c r="U190" s="655">
        <f t="shared" si="94"/>
        <v>40971.160000000003</v>
      </c>
      <c r="V190" s="655">
        <f t="shared" si="94"/>
        <v>46004.754782387012</v>
      </c>
      <c r="W190" s="656">
        <f t="shared" si="94"/>
        <v>5901.09</v>
      </c>
      <c r="X190" s="296">
        <f>N190/L190</f>
        <v>9.4926467353189728E-2</v>
      </c>
      <c r="Y190" s="295">
        <f>T190/R190</f>
        <v>0.36966456233336287</v>
      </c>
      <c r="Z190" s="297">
        <f>(T190+N190)/(R190+L190)</f>
        <v>0.19179898731432457</v>
      </c>
      <c r="AA190" s="86">
        <f t="shared" ref="AA190:AB213" si="95">SUMIF($I$12:$I$189,$C190,AA$12:AA$189)</f>
        <v>3529500</v>
      </c>
      <c r="AB190" s="86">
        <f t="shared" si="95"/>
        <v>1353627.97</v>
      </c>
      <c r="AC190" s="294">
        <f>AD190/AA190</f>
        <v>0.18332159889195335</v>
      </c>
      <c r="AD190" s="86">
        <f t="shared" ref="AD190:AF213" si="96">SUMIF($I$12:$I$189,$C190,AD$12:AD$189)</f>
        <v>647033.58328914933</v>
      </c>
      <c r="AE190" s="86">
        <f t="shared" si="96"/>
        <v>102085.48000000001</v>
      </c>
      <c r="AF190" s="86">
        <f t="shared" si="96"/>
        <v>60239.97</v>
      </c>
      <c r="AG190" s="224">
        <f t="shared" si="77"/>
        <v>19.175916843745572</v>
      </c>
      <c r="AH190" s="224">
        <f t="shared" si="78"/>
        <v>9.4664774104357043</v>
      </c>
      <c r="AI190" s="241">
        <f t="shared" si="79"/>
        <v>28.642394254181276</v>
      </c>
      <c r="AJ190" s="317">
        <v>40.872458574016434</v>
      </c>
      <c r="AK190" s="322">
        <f t="shared" si="83"/>
        <v>-12.230064319835158</v>
      </c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19" customFormat="1" x14ac:dyDescent="0.2">
      <c r="A191" s="196">
        <v>180</v>
      </c>
      <c r="B191" s="193" t="s">
        <v>86</v>
      </c>
      <c r="C191" s="84" t="s">
        <v>34</v>
      </c>
      <c r="D191" s="813"/>
      <c r="E191" s="813"/>
      <c r="F191" s="813"/>
      <c r="G191" s="813"/>
      <c r="H191" s="813"/>
      <c r="I191" s="813"/>
      <c r="J191" s="813"/>
      <c r="K191" s="814"/>
      <c r="L191" s="657">
        <f t="shared" si="94"/>
        <v>7578073</v>
      </c>
      <c r="M191" s="658">
        <f t="shared" si="94"/>
        <v>0</v>
      </c>
      <c r="N191" s="658">
        <f t="shared" si="94"/>
        <v>1794582.4425000001</v>
      </c>
      <c r="O191" s="658">
        <f t="shared" si="94"/>
        <v>366344.4</v>
      </c>
      <c r="P191" s="658">
        <f t="shared" si="94"/>
        <v>179458.24425000002</v>
      </c>
      <c r="Q191" s="658">
        <f t="shared" si="94"/>
        <v>292550.22000000003</v>
      </c>
      <c r="R191" s="658">
        <f t="shared" si="94"/>
        <v>1910200</v>
      </c>
      <c r="S191" s="658">
        <f t="shared" si="94"/>
        <v>7508.54</v>
      </c>
      <c r="T191" s="658">
        <f t="shared" si="94"/>
        <v>703256.84</v>
      </c>
      <c r="U191" s="658">
        <f t="shared" si="94"/>
        <v>7508.54</v>
      </c>
      <c r="V191" s="658">
        <f t="shared" si="94"/>
        <v>70325.684000000008</v>
      </c>
      <c r="W191" s="659">
        <f t="shared" si="94"/>
        <v>2044.14</v>
      </c>
      <c r="X191" s="296">
        <f t="shared" ref="X191:X213" si="97">N191/L191</f>
        <v>0.23681250398353251</v>
      </c>
      <c r="Y191" s="295">
        <f t="shared" ref="Y191:Y213" si="98">T191/R191</f>
        <v>0.36815874777510205</v>
      </c>
      <c r="Z191" s="297">
        <f t="shared" ref="Z191:Z213" si="99">(T191+N191)/(R191+L191)</f>
        <v>0.26325541882068532</v>
      </c>
      <c r="AA191" s="87">
        <f t="shared" si="95"/>
        <v>9488273</v>
      </c>
      <c r="AB191" s="87">
        <f t="shared" si="95"/>
        <v>7508.54</v>
      </c>
      <c r="AC191" s="295">
        <f t="shared" ref="AC191:AC213" si="100">AD191/AA191</f>
        <v>0.24935439633745782</v>
      </c>
      <c r="AD191" s="87">
        <f t="shared" si="96"/>
        <v>2365942.5861999998</v>
      </c>
      <c r="AE191" s="87">
        <f t="shared" si="96"/>
        <v>373852.94</v>
      </c>
      <c r="AF191" s="87">
        <f t="shared" si="96"/>
        <v>294594.36000000004</v>
      </c>
      <c r="AG191" s="225">
        <f t="shared" si="77"/>
        <v>3.956747450247268E-2</v>
      </c>
      <c r="AH191" s="225">
        <f t="shared" si="78"/>
        <v>9.4808625242370237</v>
      </c>
      <c r="AI191" s="242">
        <f t="shared" si="79"/>
        <v>9.5204299987394965</v>
      </c>
      <c r="AJ191" s="318">
        <v>41.825582049319728</v>
      </c>
      <c r="AK191" s="322">
        <f t="shared" si="83"/>
        <v>-32.305152050580233</v>
      </c>
    </row>
    <row r="192" spans="1:48" s="19" customFormat="1" x14ac:dyDescent="0.2">
      <c r="A192" s="196">
        <v>181</v>
      </c>
      <c r="B192" s="193" t="s">
        <v>87</v>
      </c>
      <c r="C192" s="84" t="s">
        <v>35</v>
      </c>
      <c r="D192" s="813"/>
      <c r="E192" s="813"/>
      <c r="F192" s="813"/>
      <c r="G192" s="813"/>
      <c r="H192" s="813"/>
      <c r="I192" s="813"/>
      <c r="J192" s="813"/>
      <c r="K192" s="814"/>
      <c r="L192" s="657">
        <f t="shared" si="94"/>
        <v>2205800</v>
      </c>
      <c r="M192" s="658">
        <f t="shared" si="94"/>
        <v>1447179.26</v>
      </c>
      <c r="N192" s="658">
        <f t="shared" si="94"/>
        <v>552933.23860470671</v>
      </c>
      <c r="O192" s="658">
        <f t="shared" si="94"/>
        <v>319206.48</v>
      </c>
      <c r="P192" s="658">
        <f t="shared" si="94"/>
        <v>55293.323860470686</v>
      </c>
      <c r="Q192" s="658">
        <f t="shared" si="94"/>
        <v>255273.96</v>
      </c>
      <c r="R192" s="658">
        <f t="shared" si="94"/>
        <v>1473200</v>
      </c>
      <c r="S192" s="658">
        <f t="shared" si="94"/>
        <v>896159.25</v>
      </c>
      <c r="T192" s="658">
        <f t="shared" si="94"/>
        <v>524893.25049772847</v>
      </c>
      <c r="U192" s="658">
        <f t="shared" si="94"/>
        <v>646357.4</v>
      </c>
      <c r="V192" s="658">
        <f t="shared" si="94"/>
        <v>52489.325049772844</v>
      </c>
      <c r="W192" s="659">
        <f t="shared" si="94"/>
        <v>139993.34</v>
      </c>
      <c r="X192" s="296">
        <f t="shared" si="97"/>
        <v>0.25067242660472694</v>
      </c>
      <c r="Y192" s="295">
        <f t="shared" si="98"/>
        <v>0.35629463107366854</v>
      </c>
      <c r="Z192" s="297">
        <f t="shared" si="99"/>
        <v>0.29296724357228465</v>
      </c>
      <c r="AA192" s="87">
        <f t="shared" si="95"/>
        <v>3679000</v>
      </c>
      <c r="AB192" s="87">
        <f t="shared" si="95"/>
        <v>2343338.5099999998</v>
      </c>
      <c r="AC192" s="295">
        <f t="shared" si="100"/>
        <v>0.28411706312362345</v>
      </c>
      <c r="AD192" s="87">
        <f t="shared" si="96"/>
        <v>1045266.6752318107</v>
      </c>
      <c r="AE192" s="87">
        <f t="shared" si="96"/>
        <v>965563.87999999989</v>
      </c>
      <c r="AF192" s="87">
        <f t="shared" si="96"/>
        <v>395267.30000000005</v>
      </c>
      <c r="AG192" s="225">
        <f t="shared" si="77"/>
        <v>31.847492661049195</v>
      </c>
      <c r="AH192" s="225">
        <f t="shared" si="78"/>
        <v>55.424930472553235</v>
      </c>
      <c r="AI192" s="242">
        <f t="shared" si="79"/>
        <v>87.27242313360243</v>
      </c>
      <c r="AJ192" s="318">
        <v>34.288449581472506</v>
      </c>
      <c r="AK192" s="322">
        <f t="shared" si="83"/>
        <v>52.983973552129925</v>
      </c>
    </row>
    <row r="193" spans="1:37" s="19" customFormat="1" x14ac:dyDescent="0.2">
      <c r="A193" s="196">
        <v>182</v>
      </c>
      <c r="B193" s="193" t="s">
        <v>88</v>
      </c>
      <c r="C193" s="84" t="s">
        <v>36</v>
      </c>
      <c r="D193" s="813"/>
      <c r="E193" s="813"/>
      <c r="F193" s="813"/>
      <c r="G193" s="813"/>
      <c r="H193" s="813"/>
      <c r="I193" s="813"/>
      <c r="J193" s="813"/>
      <c r="K193" s="814"/>
      <c r="L193" s="657">
        <f t="shared" si="94"/>
        <v>1218500</v>
      </c>
      <c r="M193" s="658">
        <f t="shared" si="94"/>
        <v>0</v>
      </c>
      <c r="N193" s="658">
        <f t="shared" si="94"/>
        <v>292627.6957135672</v>
      </c>
      <c r="O193" s="658">
        <f t="shared" si="94"/>
        <v>157303.62</v>
      </c>
      <c r="P193" s="658">
        <f t="shared" si="94"/>
        <v>29262.769571356719</v>
      </c>
      <c r="Q193" s="658">
        <f t="shared" si="94"/>
        <v>137411.22</v>
      </c>
      <c r="R193" s="658">
        <f t="shared" si="94"/>
        <v>360500</v>
      </c>
      <c r="S193" s="658">
        <f t="shared" si="94"/>
        <v>0</v>
      </c>
      <c r="T193" s="658">
        <f t="shared" si="94"/>
        <v>29773.859637090176</v>
      </c>
      <c r="U193" s="658">
        <f t="shared" si="94"/>
        <v>0</v>
      </c>
      <c r="V193" s="658">
        <f t="shared" si="94"/>
        <v>2977.3859637090177</v>
      </c>
      <c r="W193" s="659">
        <f t="shared" si="94"/>
        <v>0</v>
      </c>
      <c r="X193" s="296">
        <f t="shared" si="97"/>
        <v>0.24015403833694476</v>
      </c>
      <c r="Y193" s="295">
        <f t="shared" si="98"/>
        <v>8.2590456690957492E-2</v>
      </c>
      <c r="Z193" s="297">
        <f t="shared" si="99"/>
        <v>0.20418084569389322</v>
      </c>
      <c r="AA193" s="87">
        <f t="shared" si="95"/>
        <v>1579000</v>
      </c>
      <c r="AB193" s="87">
        <f t="shared" si="95"/>
        <v>0</v>
      </c>
      <c r="AC193" s="295">
        <f t="shared" si="100"/>
        <v>0.17325511522452644</v>
      </c>
      <c r="AD193" s="87">
        <f t="shared" si="96"/>
        <v>273569.82693952724</v>
      </c>
      <c r="AE193" s="87">
        <f t="shared" si="96"/>
        <v>157303.62</v>
      </c>
      <c r="AF193" s="87">
        <f t="shared" si="96"/>
        <v>137411.22</v>
      </c>
      <c r="AG193" s="225">
        <f t="shared" si="77"/>
        <v>0</v>
      </c>
      <c r="AH193" s="225">
        <f t="shared" si="78"/>
        <v>34.500212635241837</v>
      </c>
      <c r="AI193" s="242">
        <f t="shared" si="79"/>
        <v>34.500212635241837</v>
      </c>
      <c r="AJ193" s="318">
        <v>47.994911906684308</v>
      </c>
      <c r="AK193" s="322">
        <f t="shared" si="83"/>
        <v>-13.494699271442471</v>
      </c>
    </row>
    <row r="194" spans="1:37" s="19" customFormat="1" x14ac:dyDescent="0.2">
      <c r="A194" s="196">
        <v>183</v>
      </c>
      <c r="B194" s="193" t="s">
        <v>89</v>
      </c>
      <c r="C194" s="84" t="s">
        <v>7</v>
      </c>
      <c r="D194" s="813"/>
      <c r="E194" s="813"/>
      <c r="F194" s="813"/>
      <c r="G194" s="813"/>
      <c r="H194" s="813"/>
      <c r="I194" s="813"/>
      <c r="J194" s="813"/>
      <c r="K194" s="814"/>
      <c r="L194" s="657">
        <f t="shared" si="94"/>
        <v>36304399.18</v>
      </c>
      <c r="M194" s="658">
        <f t="shared" si="94"/>
        <v>23148750.82</v>
      </c>
      <c r="N194" s="658">
        <f t="shared" si="94"/>
        <v>6456686.3858888615</v>
      </c>
      <c r="O194" s="658">
        <f t="shared" si="94"/>
        <v>526473.42000000004</v>
      </c>
      <c r="P194" s="658">
        <f t="shared" si="94"/>
        <v>645668.63858888624</v>
      </c>
      <c r="Q194" s="658">
        <f t="shared" si="94"/>
        <v>581076.12</v>
      </c>
      <c r="R194" s="658">
        <f t="shared" si="94"/>
        <v>5157640.0950000007</v>
      </c>
      <c r="S194" s="658">
        <f t="shared" si="94"/>
        <v>1427800.79</v>
      </c>
      <c r="T194" s="658">
        <f t="shared" si="94"/>
        <v>1265169.6557616955</v>
      </c>
      <c r="U194" s="658">
        <f t="shared" si="94"/>
        <v>771384.22</v>
      </c>
      <c r="V194" s="658">
        <f t="shared" si="94"/>
        <v>126516.96557616952</v>
      </c>
      <c r="W194" s="659">
        <f t="shared" si="94"/>
        <v>156904.09000000003</v>
      </c>
      <c r="X194" s="296">
        <f t="shared" si="97"/>
        <v>0.17784859498365788</v>
      </c>
      <c r="Y194" s="295">
        <f t="shared" si="98"/>
        <v>0.24530010478788464</v>
      </c>
      <c r="Z194" s="297">
        <f t="shared" si="99"/>
        <v>0.18623917628447514</v>
      </c>
      <c r="AA194" s="87">
        <f t="shared" si="95"/>
        <v>41462039.275000006</v>
      </c>
      <c r="AB194" s="87">
        <f t="shared" si="95"/>
        <v>24576551.609999999</v>
      </c>
      <c r="AC194" s="295">
        <f t="shared" si="100"/>
        <v>0.18357701078473512</v>
      </c>
      <c r="AD194" s="87">
        <f t="shared" si="96"/>
        <v>7611477.2311437875</v>
      </c>
      <c r="AE194" s="87">
        <f t="shared" si="96"/>
        <v>1297857.6399999999</v>
      </c>
      <c r="AF194" s="87">
        <f t="shared" si="96"/>
        <v>737980.21</v>
      </c>
      <c r="AG194" s="225">
        <f t="shared" si="77"/>
        <v>29.637412968274695</v>
      </c>
      <c r="AH194" s="225">
        <f t="shared" si="78"/>
        <v>10.230794369504819</v>
      </c>
      <c r="AI194" s="242">
        <f t="shared" si="79"/>
        <v>39.868207337779516</v>
      </c>
      <c r="AJ194" s="318">
        <v>23.830327615383673</v>
      </c>
      <c r="AK194" s="322">
        <f t="shared" si="83"/>
        <v>16.037879722395843</v>
      </c>
    </row>
    <row r="195" spans="1:37" s="19" customFormat="1" x14ac:dyDescent="0.2">
      <c r="A195" s="196">
        <v>184</v>
      </c>
      <c r="B195" s="193" t="s">
        <v>90</v>
      </c>
      <c r="C195" s="84" t="s">
        <v>37</v>
      </c>
      <c r="D195" s="813"/>
      <c r="E195" s="813"/>
      <c r="F195" s="813"/>
      <c r="G195" s="813"/>
      <c r="H195" s="813"/>
      <c r="I195" s="813"/>
      <c r="J195" s="813"/>
      <c r="K195" s="814"/>
      <c r="L195" s="657">
        <f t="shared" si="94"/>
        <v>1090305</v>
      </c>
      <c r="M195" s="658">
        <f t="shared" si="94"/>
        <v>0</v>
      </c>
      <c r="N195" s="658">
        <f t="shared" si="94"/>
        <v>234739.49352455488</v>
      </c>
      <c r="O195" s="658">
        <f t="shared" si="94"/>
        <v>95108.34</v>
      </c>
      <c r="P195" s="658">
        <f t="shared" si="94"/>
        <v>23473.949352455489</v>
      </c>
      <c r="Q195" s="658">
        <f t="shared" si="94"/>
        <v>78398.759999999995</v>
      </c>
      <c r="R195" s="658">
        <f t="shared" si="94"/>
        <v>628250</v>
      </c>
      <c r="S195" s="658">
        <f t="shared" si="94"/>
        <v>24975.68</v>
      </c>
      <c r="T195" s="658">
        <f t="shared" si="94"/>
        <v>18012.314653020345</v>
      </c>
      <c r="U195" s="658">
        <f t="shared" si="94"/>
        <v>23563.61</v>
      </c>
      <c r="V195" s="658">
        <f t="shared" si="94"/>
        <v>1801.2314653020344</v>
      </c>
      <c r="W195" s="659">
        <f t="shared" si="94"/>
        <v>2408.4</v>
      </c>
      <c r="X195" s="296">
        <f t="shared" si="97"/>
        <v>0.21529708982766738</v>
      </c>
      <c r="Y195" s="295">
        <f t="shared" si="98"/>
        <v>2.8670616240382564E-2</v>
      </c>
      <c r="Z195" s="297">
        <f t="shared" si="99"/>
        <v>0.14707228350420862</v>
      </c>
      <c r="AA195" s="87">
        <f t="shared" si="95"/>
        <v>1718555</v>
      </c>
      <c r="AB195" s="87">
        <f t="shared" si="95"/>
        <v>24975.68</v>
      </c>
      <c r="AC195" s="295">
        <f t="shared" si="100"/>
        <v>0.16478052443444013</v>
      </c>
      <c r="AD195" s="87">
        <f t="shared" si="96"/>
        <v>283184.39416942926</v>
      </c>
      <c r="AE195" s="87">
        <f t="shared" si="96"/>
        <v>118671.95</v>
      </c>
      <c r="AF195" s="87">
        <f t="shared" si="96"/>
        <v>80807.159999999989</v>
      </c>
      <c r="AG195" s="225">
        <f t="shared" si="77"/>
        <v>0.726647677845632</v>
      </c>
      <c r="AH195" s="225">
        <f t="shared" si="78"/>
        <v>25.143747842756877</v>
      </c>
      <c r="AI195" s="242">
        <f t="shared" si="79"/>
        <v>25.870395520602511</v>
      </c>
      <c r="AJ195" s="318">
        <v>27.418666663989637</v>
      </c>
      <c r="AK195" s="322">
        <f t="shared" si="83"/>
        <v>-1.5482711433871259</v>
      </c>
    </row>
    <row r="196" spans="1:37" s="19" customFormat="1" x14ac:dyDescent="0.2">
      <c r="A196" s="196">
        <v>185</v>
      </c>
      <c r="B196" s="193" t="s">
        <v>91</v>
      </c>
      <c r="C196" s="84" t="s">
        <v>38</v>
      </c>
      <c r="D196" s="813"/>
      <c r="E196" s="813"/>
      <c r="F196" s="813"/>
      <c r="G196" s="813"/>
      <c r="H196" s="813"/>
      <c r="I196" s="813"/>
      <c r="J196" s="813"/>
      <c r="K196" s="814"/>
      <c r="L196" s="657">
        <f t="shared" si="94"/>
        <v>3352750</v>
      </c>
      <c r="M196" s="658">
        <f t="shared" si="94"/>
        <v>0</v>
      </c>
      <c r="N196" s="658">
        <f t="shared" si="94"/>
        <v>1083443.2164018217</v>
      </c>
      <c r="O196" s="658">
        <f t="shared" si="94"/>
        <v>552615.48</v>
      </c>
      <c r="P196" s="658">
        <f t="shared" si="94"/>
        <v>108344.32164018218</v>
      </c>
      <c r="Q196" s="658">
        <f t="shared" si="94"/>
        <v>443181.54</v>
      </c>
      <c r="R196" s="658">
        <f t="shared" si="94"/>
        <v>1621900</v>
      </c>
      <c r="S196" s="658">
        <f t="shared" si="94"/>
        <v>36644.980000000003</v>
      </c>
      <c r="T196" s="658">
        <f t="shared" si="94"/>
        <v>428504.76905708632</v>
      </c>
      <c r="U196" s="658">
        <f t="shared" si="94"/>
        <v>35021.06</v>
      </c>
      <c r="V196" s="658">
        <f t="shared" si="94"/>
        <v>42850.476905708631</v>
      </c>
      <c r="W196" s="659">
        <f t="shared" si="94"/>
        <v>5302.9</v>
      </c>
      <c r="X196" s="296">
        <f t="shared" si="97"/>
        <v>0.32315061260213906</v>
      </c>
      <c r="Y196" s="295">
        <f t="shared" si="98"/>
        <v>0.26419925338003963</v>
      </c>
      <c r="Z196" s="297">
        <f t="shared" si="99"/>
        <v>0.30393052485278527</v>
      </c>
      <c r="AA196" s="87">
        <f t="shared" si="95"/>
        <v>4974650</v>
      </c>
      <c r="AB196" s="87">
        <f t="shared" si="95"/>
        <v>36644.980000000003</v>
      </c>
      <c r="AC196" s="295">
        <f t="shared" si="100"/>
        <v>0.25870377272564815</v>
      </c>
      <c r="AD196" s="87">
        <f t="shared" si="96"/>
        <v>1286960.7229896456</v>
      </c>
      <c r="AE196" s="87">
        <f t="shared" si="96"/>
        <v>587636.54</v>
      </c>
      <c r="AF196" s="87">
        <f t="shared" si="96"/>
        <v>448484.44</v>
      </c>
      <c r="AG196" s="225">
        <f t="shared" si="77"/>
        <v>0.36831716804197284</v>
      </c>
      <c r="AH196" s="225">
        <f t="shared" si="78"/>
        <v>27.396478983518815</v>
      </c>
      <c r="AI196" s="242">
        <f t="shared" si="79"/>
        <v>27.764796151560788</v>
      </c>
      <c r="AJ196" s="318">
        <v>49.055768502924813</v>
      </c>
      <c r="AK196" s="322">
        <f t="shared" si="83"/>
        <v>-21.290972351364026</v>
      </c>
    </row>
    <row r="197" spans="1:37" s="19" customFormat="1" x14ac:dyDescent="0.2">
      <c r="A197" s="196">
        <v>186</v>
      </c>
      <c r="B197" s="193" t="s">
        <v>92</v>
      </c>
      <c r="C197" s="84" t="s">
        <v>8</v>
      </c>
      <c r="D197" s="813"/>
      <c r="E197" s="813"/>
      <c r="F197" s="813"/>
      <c r="G197" s="813"/>
      <c r="H197" s="813"/>
      <c r="I197" s="813"/>
      <c r="J197" s="813"/>
      <c r="K197" s="814"/>
      <c r="L197" s="657">
        <f t="shared" si="94"/>
        <v>54559658.664999999</v>
      </c>
      <c r="M197" s="658">
        <f t="shared" si="94"/>
        <v>19460083.269999996</v>
      </c>
      <c r="N197" s="658">
        <f t="shared" si="94"/>
        <v>5747429.9377785977</v>
      </c>
      <c r="O197" s="658">
        <f t="shared" si="94"/>
        <v>2463066.2100000004</v>
      </c>
      <c r="P197" s="658">
        <f t="shared" si="94"/>
        <v>574742.99377785961</v>
      </c>
      <c r="Q197" s="658">
        <f t="shared" si="94"/>
        <v>1912984.2200000002</v>
      </c>
      <c r="R197" s="658">
        <f t="shared" si="94"/>
        <v>21438800</v>
      </c>
      <c r="S197" s="658">
        <f t="shared" si="94"/>
        <v>9315018.9800000004</v>
      </c>
      <c r="T197" s="658">
        <f t="shared" si="94"/>
        <v>9275261.594879834</v>
      </c>
      <c r="U197" s="658">
        <f t="shared" si="94"/>
        <v>6172725.5999999996</v>
      </c>
      <c r="V197" s="658">
        <f t="shared" si="94"/>
        <v>927526.15948798356</v>
      </c>
      <c r="W197" s="659">
        <f t="shared" si="94"/>
        <v>1061586.02</v>
      </c>
      <c r="X197" s="296">
        <f t="shared" si="97"/>
        <v>0.10534211683889386</v>
      </c>
      <c r="Y197" s="295">
        <f t="shared" si="98"/>
        <v>0.43263902806499588</v>
      </c>
      <c r="Z197" s="297">
        <f t="shared" si="99"/>
        <v>0.19767100276175625</v>
      </c>
      <c r="AA197" s="87">
        <f t="shared" si="95"/>
        <v>75998458.665000007</v>
      </c>
      <c r="AB197" s="87">
        <f t="shared" si="95"/>
        <v>28775102.249999996</v>
      </c>
      <c r="AC197" s="295">
        <f t="shared" si="100"/>
        <v>0.19715412270483398</v>
      </c>
      <c r="AD197" s="87">
        <f t="shared" si="96"/>
        <v>14983409.445017666</v>
      </c>
      <c r="AE197" s="87">
        <f t="shared" si="96"/>
        <v>8635791.8100000005</v>
      </c>
      <c r="AF197" s="87">
        <f t="shared" si="96"/>
        <v>2974570.2399999998</v>
      </c>
      <c r="AG197" s="225">
        <f t="shared" si="77"/>
        <v>18.931372264298268</v>
      </c>
      <c r="AH197" s="225">
        <f t="shared" si="78"/>
        <v>34.581415565086637</v>
      </c>
      <c r="AI197" s="242">
        <f t="shared" si="79"/>
        <v>53.512787829384905</v>
      </c>
      <c r="AJ197" s="318">
        <v>57.229141902833554</v>
      </c>
      <c r="AK197" s="322">
        <f t="shared" si="83"/>
        <v>-3.7163540734486489</v>
      </c>
    </row>
    <row r="198" spans="1:37" s="19" customFormat="1" x14ac:dyDescent="0.2">
      <c r="A198" s="196">
        <v>187</v>
      </c>
      <c r="B198" s="193" t="s">
        <v>93</v>
      </c>
      <c r="C198" s="84" t="s">
        <v>39</v>
      </c>
      <c r="D198" s="813"/>
      <c r="E198" s="813"/>
      <c r="F198" s="813"/>
      <c r="G198" s="813"/>
      <c r="H198" s="813"/>
      <c r="I198" s="813"/>
      <c r="J198" s="813"/>
      <c r="K198" s="814"/>
      <c r="L198" s="657">
        <f t="shared" si="94"/>
        <v>1521510.645</v>
      </c>
      <c r="M198" s="658">
        <f t="shared" si="94"/>
        <v>770709.6</v>
      </c>
      <c r="N198" s="658">
        <f t="shared" si="94"/>
        <v>441593.53278103552</v>
      </c>
      <c r="O198" s="658">
        <f t="shared" si="94"/>
        <v>231022.86000000004</v>
      </c>
      <c r="P198" s="658">
        <f t="shared" si="94"/>
        <v>44159.353278103554</v>
      </c>
      <c r="Q198" s="658">
        <f t="shared" si="94"/>
        <v>159383.52000000002</v>
      </c>
      <c r="R198" s="658">
        <f t="shared" si="94"/>
        <v>1050562.1949999998</v>
      </c>
      <c r="S198" s="658">
        <f t="shared" si="94"/>
        <v>122212.68000000001</v>
      </c>
      <c r="T198" s="658">
        <f t="shared" si="94"/>
        <v>250367.64026044682</v>
      </c>
      <c r="U198" s="658">
        <f t="shared" si="94"/>
        <v>12723.52</v>
      </c>
      <c r="V198" s="658">
        <f t="shared" si="94"/>
        <v>25036.764026044682</v>
      </c>
      <c r="W198" s="659">
        <f t="shared" si="94"/>
        <v>3031.96</v>
      </c>
      <c r="X198" s="296">
        <f t="shared" si="97"/>
        <v>0.29023361369978157</v>
      </c>
      <c r="Y198" s="295">
        <f t="shared" si="98"/>
        <v>0.23831777066796778</v>
      </c>
      <c r="Z198" s="297">
        <f t="shared" si="99"/>
        <v>0.26902860691981118</v>
      </c>
      <c r="AA198" s="87">
        <f t="shared" si="95"/>
        <v>2572072.84</v>
      </c>
      <c r="AB198" s="87">
        <f t="shared" si="95"/>
        <v>892922.28</v>
      </c>
      <c r="AC198" s="295">
        <f t="shared" si="100"/>
        <v>0.27118539508371092</v>
      </c>
      <c r="AD198" s="87">
        <f t="shared" si="96"/>
        <v>697508.58929948241</v>
      </c>
      <c r="AE198" s="87">
        <f t="shared" si="96"/>
        <v>243746.38000000003</v>
      </c>
      <c r="AF198" s="87">
        <f t="shared" si="96"/>
        <v>162415.48000000001</v>
      </c>
      <c r="AG198" s="225">
        <f t="shared" si="77"/>
        <v>17.358028631879648</v>
      </c>
      <c r="AH198" s="225">
        <f t="shared" si="78"/>
        <v>20.967172339322552</v>
      </c>
      <c r="AI198" s="242">
        <f t="shared" si="79"/>
        <v>38.3252009712022</v>
      </c>
      <c r="AJ198" s="318">
        <v>55.752395158140011</v>
      </c>
      <c r="AK198" s="322">
        <f t="shared" si="83"/>
        <v>-17.427194186937811</v>
      </c>
    </row>
    <row r="199" spans="1:37" s="19" customFormat="1" x14ac:dyDescent="0.2">
      <c r="A199" s="196">
        <v>188</v>
      </c>
      <c r="B199" s="193" t="s">
        <v>94</v>
      </c>
      <c r="C199" s="84" t="s">
        <v>40</v>
      </c>
      <c r="D199" s="813"/>
      <c r="E199" s="813"/>
      <c r="F199" s="813"/>
      <c r="G199" s="813"/>
      <c r="H199" s="813"/>
      <c r="I199" s="813"/>
      <c r="J199" s="813"/>
      <c r="K199" s="814"/>
      <c r="L199" s="657">
        <f t="shared" si="94"/>
        <v>1111000</v>
      </c>
      <c r="M199" s="658">
        <f t="shared" si="94"/>
        <v>0</v>
      </c>
      <c r="N199" s="658">
        <f t="shared" si="94"/>
        <v>328189.5898413189</v>
      </c>
      <c r="O199" s="658">
        <f t="shared" si="94"/>
        <v>117403.68</v>
      </c>
      <c r="P199" s="658">
        <f t="shared" si="94"/>
        <v>32818.958984131888</v>
      </c>
      <c r="Q199" s="658">
        <f t="shared" si="94"/>
        <v>104970.48</v>
      </c>
      <c r="R199" s="658">
        <f t="shared" si="94"/>
        <v>321000</v>
      </c>
      <c r="S199" s="658">
        <f t="shared" si="94"/>
        <v>1804.59</v>
      </c>
      <c r="T199" s="658">
        <f t="shared" si="94"/>
        <v>17768.047395860285</v>
      </c>
      <c r="U199" s="658">
        <f t="shared" si="94"/>
        <v>1804.59</v>
      </c>
      <c r="V199" s="658">
        <f t="shared" si="94"/>
        <v>1776.8047395860285</v>
      </c>
      <c r="W199" s="659">
        <f t="shared" si="94"/>
        <v>468.33</v>
      </c>
      <c r="X199" s="296">
        <f t="shared" si="97"/>
        <v>0.29540017087427445</v>
      </c>
      <c r="Y199" s="295">
        <f t="shared" si="98"/>
        <v>5.5352172572773473E-2</v>
      </c>
      <c r="Z199" s="297">
        <f t="shared" si="99"/>
        <v>0.24159052879691287</v>
      </c>
      <c r="AA199" s="87">
        <f t="shared" si="95"/>
        <v>1432000</v>
      </c>
      <c r="AB199" s="87">
        <f t="shared" si="95"/>
        <v>1804.59</v>
      </c>
      <c r="AC199" s="295">
        <f t="shared" si="100"/>
        <v>0.24458492601616141</v>
      </c>
      <c r="AD199" s="87">
        <f t="shared" si="96"/>
        <v>350245.61405514315</v>
      </c>
      <c r="AE199" s="87">
        <f t="shared" si="96"/>
        <v>119208.26999999999</v>
      </c>
      <c r="AF199" s="87">
        <f t="shared" si="96"/>
        <v>105438.81</v>
      </c>
      <c r="AG199" s="225">
        <f t="shared" si="77"/>
        <v>6.300942737430168E-2</v>
      </c>
      <c r="AH199" s="225">
        <f t="shared" si="78"/>
        <v>20.421372639584007</v>
      </c>
      <c r="AI199" s="242">
        <f t="shared" si="79"/>
        <v>20.484382066958307</v>
      </c>
      <c r="AJ199" s="318">
        <v>33.056339685378347</v>
      </c>
      <c r="AK199" s="322">
        <f t="shared" si="83"/>
        <v>-12.57195761842004</v>
      </c>
    </row>
    <row r="200" spans="1:37" s="19" customFormat="1" x14ac:dyDescent="0.2">
      <c r="A200" s="196">
        <v>189</v>
      </c>
      <c r="B200" s="193" t="s">
        <v>95</v>
      </c>
      <c r="C200" s="84" t="s">
        <v>9</v>
      </c>
      <c r="D200" s="813"/>
      <c r="E200" s="813"/>
      <c r="F200" s="813"/>
      <c r="G200" s="813"/>
      <c r="H200" s="813"/>
      <c r="I200" s="813"/>
      <c r="J200" s="813"/>
      <c r="K200" s="814"/>
      <c r="L200" s="657">
        <f t="shared" ref="L200:W213" si="101">SUMIF($I$12:$I$189,$C200,L$12:L$189)</f>
        <v>158964601.5</v>
      </c>
      <c r="M200" s="658">
        <f t="shared" si="101"/>
        <v>11528406.67</v>
      </c>
      <c r="N200" s="658">
        <f t="shared" si="101"/>
        <v>30731045.847807232</v>
      </c>
      <c r="O200" s="658">
        <f t="shared" si="101"/>
        <v>28056349.039999995</v>
      </c>
      <c r="P200" s="658">
        <f t="shared" si="101"/>
        <v>3073104.5847807229</v>
      </c>
      <c r="Q200" s="658">
        <f t="shared" si="101"/>
        <v>7061559.6599999992</v>
      </c>
      <c r="R200" s="658">
        <f t="shared" si="101"/>
        <v>41893232</v>
      </c>
      <c r="S200" s="658">
        <f t="shared" si="101"/>
        <v>7783031.620000001</v>
      </c>
      <c r="T200" s="658">
        <f t="shared" si="101"/>
        <v>16066371.480923055</v>
      </c>
      <c r="U200" s="658">
        <f t="shared" si="101"/>
        <v>6324865.4600000009</v>
      </c>
      <c r="V200" s="658">
        <f t="shared" si="101"/>
        <v>1606637.1480923055</v>
      </c>
      <c r="W200" s="659">
        <f t="shared" si="101"/>
        <v>1275739.8400000001</v>
      </c>
      <c r="X200" s="296">
        <f t="shared" si="97"/>
        <v>0.19332005715629233</v>
      </c>
      <c r="Y200" s="295">
        <f t="shared" si="98"/>
        <v>0.38350756706770811</v>
      </c>
      <c r="Z200" s="297">
        <f t="shared" si="99"/>
        <v>0.23298776310225552</v>
      </c>
      <c r="AA200" s="87">
        <f t="shared" si="95"/>
        <v>200857833.5</v>
      </c>
      <c r="AB200" s="87">
        <f t="shared" si="95"/>
        <v>19311438.290000003</v>
      </c>
      <c r="AC200" s="295">
        <f t="shared" si="100"/>
        <v>0.22947439316728299</v>
      </c>
      <c r="AD200" s="87">
        <f t="shared" si="96"/>
        <v>46091729.455307662</v>
      </c>
      <c r="AE200" s="87">
        <f t="shared" si="96"/>
        <v>34381214.499999985</v>
      </c>
      <c r="AF200" s="87">
        <f t="shared" si="96"/>
        <v>8337299.4999999991</v>
      </c>
      <c r="AG200" s="225">
        <f t="shared" si="77"/>
        <v>4.8072405127281232</v>
      </c>
      <c r="AH200" s="225">
        <f t="shared" si="78"/>
        <v>44.755813990452253</v>
      </c>
      <c r="AI200" s="242">
        <f t="shared" si="79"/>
        <v>49.563054503180375</v>
      </c>
      <c r="AJ200" s="318">
        <v>25.716692224751789</v>
      </c>
      <c r="AK200" s="322">
        <f t="shared" si="83"/>
        <v>23.846362278428586</v>
      </c>
    </row>
    <row r="201" spans="1:37" s="19" customFormat="1" x14ac:dyDescent="0.2">
      <c r="A201" s="196">
        <v>190</v>
      </c>
      <c r="B201" s="193" t="s">
        <v>96</v>
      </c>
      <c r="C201" s="84" t="s">
        <v>41</v>
      </c>
      <c r="D201" s="813"/>
      <c r="E201" s="813"/>
      <c r="F201" s="813"/>
      <c r="G201" s="813"/>
      <c r="H201" s="813"/>
      <c r="I201" s="813"/>
      <c r="J201" s="813"/>
      <c r="K201" s="814"/>
      <c r="L201" s="657">
        <f t="shared" si="101"/>
        <v>2546500</v>
      </c>
      <c r="M201" s="658">
        <f t="shared" si="101"/>
        <v>0</v>
      </c>
      <c r="N201" s="658">
        <f t="shared" si="101"/>
        <v>735203.91824068734</v>
      </c>
      <c r="O201" s="658">
        <f t="shared" si="101"/>
        <v>483130.02</v>
      </c>
      <c r="P201" s="658">
        <f t="shared" si="101"/>
        <v>73520.391824068734</v>
      </c>
      <c r="Q201" s="658">
        <f t="shared" si="101"/>
        <v>371502.54000000004</v>
      </c>
      <c r="R201" s="658">
        <f t="shared" si="101"/>
        <v>1489680</v>
      </c>
      <c r="S201" s="658">
        <f t="shared" si="101"/>
        <v>361407.41000000003</v>
      </c>
      <c r="T201" s="658">
        <f t="shared" si="101"/>
        <v>368565.53620882035</v>
      </c>
      <c r="U201" s="658">
        <f t="shared" si="101"/>
        <v>323479.11</v>
      </c>
      <c r="V201" s="658">
        <f t="shared" si="101"/>
        <v>36856.553620882041</v>
      </c>
      <c r="W201" s="659">
        <f t="shared" si="101"/>
        <v>55967.990000000005</v>
      </c>
      <c r="X201" s="296">
        <f t="shared" si="97"/>
        <v>0.28871153278644701</v>
      </c>
      <c r="Y201" s="295">
        <f t="shared" si="98"/>
        <v>0.24741255585684196</v>
      </c>
      <c r="Z201" s="297">
        <f t="shared" si="99"/>
        <v>0.27346883797291194</v>
      </c>
      <c r="AA201" s="87">
        <f t="shared" si="95"/>
        <v>4036180</v>
      </c>
      <c r="AB201" s="87">
        <f t="shared" si="95"/>
        <v>361407.41000000003</v>
      </c>
      <c r="AC201" s="295">
        <f t="shared" si="100"/>
        <v>0.27558410169717651</v>
      </c>
      <c r="AD201" s="87">
        <f t="shared" si="96"/>
        <v>1112307.0395881098</v>
      </c>
      <c r="AE201" s="87">
        <f t="shared" si="96"/>
        <v>806609.13</v>
      </c>
      <c r="AF201" s="87">
        <f t="shared" si="96"/>
        <v>427470.53</v>
      </c>
      <c r="AG201" s="225">
        <f t="shared" ref="AG201:AG213" si="102">IF((AB201/(AA201*$O$6)*vahaE)&gt;vahaE,vahaE,AB201/(AA201*$O$6)*vahaE)</f>
        <v>4.4770972801014821</v>
      </c>
      <c r="AH201" s="225">
        <f t="shared" ref="AH201:AH213" si="103">IF((AE201/AD201*vahaD)&gt;vahaD,vahaD,AE201/AD201*vahaD)</f>
        <v>43.510061590477186</v>
      </c>
      <c r="AI201" s="242">
        <f t="shared" ref="AI201:AI213" si="104">IF((AB201/(AA201*$O$6)*vahaE)&gt;vahaE,vahaE,AB201/(AA201*$O$6)*vahaE)+IF((AE201/AD201*vahaD)&gt;vahaD,vahaD,AE201/AD201*vahaD)</f>
        <v>47.987158870578668</v>
      </c>
      <c r="AJ201" s="318">
        <v>44.19603778836855</v>
      </c>
      <c r="AK201" s="322">
        <f t="shared" si="83"/>
        <v>3.7911210822101182</v>
      </c>
    </row>
    <row r="202" spans="1:37" s="19" customFormat="1" x14ac:dyDescent="0.2">
      <c r="A202" s="196">
        <v>191</v>
      </c>
      <c r="B202" s="193" t="s">
        <v>97</v>
      </c>
      <c r="C202" s="84" t="s">
        <v>42</v>
      </c>
      <c r="D202" s="813"/>
      <c r="E202" s="813"/>
      <c r="F202" s="813"/>
      <c r="G202" s="813"/>
      <c r="H202" s="813"/>
      <c r="I202" s="813"/>
      <c r="J202" s="813"/>
      <c r="K202" s="814"/>
      <c r="L202" s="657">
        <f t="shared" si="101"/>
        <v>864500</v>
      </c>
      <c r="M202" s="658">
        <f t="shared" si="101"/>
        <v>613126.01</v>
      </c>
      <c r="N202" s="658">
        <f t="shared" si="101"/>
        <v>150624.25</v>
      </c>
      <c r="O202" s="658">
        <f t="shared" si="101"/>
        <v>83124.78</v>
      </c>
      <c r="P202" s="658">
        <f t="shared" si="101"/>
        <v>15062.424999999999</v>
      </c>
      <c r="Q202" s="658">
        <f t="shared" si="101"/>
        <v>80553.42</v>
      </c>
      <c r="R202" s="658">
        <f t="shared" si="101"/>
        <v>363500</v>
      </c>
      <c r="S202" s="658">
        <f t="shared" si="101"/>
        <v>221577.97999999998</v>
      </c>
      <c r="T202" s="658">
        <f t="shared" si="101"/>
        <v>56433.45</v>
      </c>
      <c r="U202" s="658">
        <f t="shared" si="101"/>
        <v>7002.619999999999</v>
      </c>
      <c r="V202" s="658">
        <f t="shared" si="101"/>
        <v>5643.3450000000003</v>
      </c>
      <c r="W202" s="659">
        <f t="shared" si="101"/>
        <v>1741.88</v>
      </c>
      <c r="X202" s="296">
        <f t="shared" si="97"/>
        <v>0.1742327935222672</v>
      </c>
      <c r="Y202" s="295">
        <f t="shared" si="98"/>
        <v>0.15525020632737277</v>
      </c>
      <c r="Z202" s="297">
        <f t="shared" si="99"/>
        <v>0.16861376221498373</v>
      </c>
      <c r="AA202" s="87">
        <f t="shared" si="95"/>
        <v>1228000</v>
      </c>
      <c r="AB202" s="87">
        <f t="shared" si="95"/>
        <v>834703.99000000011</v>
      </c>
      <c r="AC202" s="295">
        <f t="shared" si="100"/>
        <v>0.16961722312703584</v>
      </c>
      <c r="AD202" s="87">
        <f t="shared" si="96"/>
        <v>208289.95</v>
      </c>
      <c r="AE202" s="87">
        <f t="shared" si="96"/>
        <v>90127.4</v>
      </c>
      <c r="AF202" s="87">
        <f t="shared" si="96"/>
        <v>82295.3</v>
      </c>
      <c r="AG202" s="225">
        <f t="shared" si="102"/>
        <v>33.986318811074923</v>
      </c>
      <c r="AH202" s="225">
        <f t="shared" si="103"/>
        <v>25.962097547193224</v>
      </c>
      <c r="AI202" s="242">
        <f t="shared" si="104"/>
        <v>59.948416358268148</v>
      </c>
      <c r="AJ202" s="318">
        <v>62.472534262437946</v>
      </c>
      <c r="AK202" s="322">
        <f t="shared" ref="AK202:AK213" si="105">AI202-AJ202</f>
        <v>-2.524117904169799</v>
      </c>
    </row>
    <row r="203" spans="1:37" s="19" customFormat="1" x14ac:dyDescent="0.2">
      <c r="A203" s="196">
        <v>192</v>
      </c>
      <c r="B203" s="193" t="s">
        <v>98</v>
      </c>
      <c r="C203" s="84" t="s">
        <v>43</v>
      </c>
      <c r="D203" s="813"/>
      <c r="E203" s="813"/>
      <c r="F203" s="813"/>
      <c r="G203" s="813"/>
      <c r="H203" s="813"/>
      <c r="I203" s="813"/>
      <c r="J203" s="813"/>
      <c r="K203" s="814"/>
      <c r="L203" s="657">
        <f t="shared" si="101"/>
        <v>4086415.5</v>
      </c>
      <c r="M203" s="658">
        <f t="shared" si="101"/>
        <v>1788012.43</v>
      </c>
      <c r="N203" s="658">
        <f t="shared" si="101"/>
        <v>410091.44091309269</v>
      </c>
      <c r="O203" s="658">
        <f t="shared" si="101"/>
        <v>133538.22</v>
      </c>
      <c r="P203" s="658">
        <f t="shared" si="101"/>
        <v>41009.144091309274</v>
      </c>
      <c r="Q203" s="658">
        <f t="shared" si="101"/>
        <v>123224.04000000001</v>
      </c>
      <c r="R203" s="658">
        <f t="shared" si="101"/>
        <v>2467500</v>
      </c>
      <c r="S203" s="658">
        <f t="shared" si="101"/>
        <v>241414.43</v>
      </c>
      <c r="T203" s="658">
        <f t="shared" si="101"/>
        <v>806484.99964882259</v>
      </c>
      <c r="U203" s="658">
        <f t="shared" si="101"/>
        <v>33909.07</v>
      </c>
      <c r="V203" s="658">
        <f t="shared" si="101"/>
        <v>80648.49996488227</v>
      </c>
      <c r="W203" s="659">
        <f t="shared" si="101"/>
        <v>7640.07</v>
      </c>
      <c r="X203" s="296">
        <f t="shared" si="97"/>
        <v>0.10035480751115317</v>
      </c>
      <c r="Y203" s="295">
        <f t="shared" si="98"/>
        <v>0.32684295831765858</v>
      </c>
      <c r="Z203" s="297">
        <f t="shared" si="99"/>
        <v>0.18562589654412165</v>
      </c>
      <c r="AA203" s="87">
        <f t="shared" si="95"/>
        <v>6553915.5</v>
      </c>
      <c r="AB203" s="87">
        <f t="shared" si="95"/>
        <v>2029426.8599999999</v>
      </c>
      <c r="AC203" s="295">
        <f t="shared" si="100"/>
        <v>0.18071652522497778</v>
      </c>
      <c r="AD203" s="87">
        <f t="shared" si="96"/>
        <v>1184400.8357781228</v>
      </c>
      <c r="AE203" s="87">
        <f t="shared" si="96"/>
        <v>167447.28999999998</v>
      </c>
      <c r="AF203" s="87">
        <f t="shared" si="96"/>
        <v>130864.11</v>
      </c>
      <c r="AG203" s="225">
        <f t="shared" si="102"/>
        <v>15.482552834256101</v>
      </c>
      <c r="AH203" s="225">
        <f t="shared" si="103"/>
        <v>8.4826328186432498</v>
      </c>
      <c r="AI203" s="242">
        <f t="shared" si="104"/>
        <v>23.965185652899351</v>
      </c>
      <c r="AJ203" s="318">
        <v>60.959252750647053</v>
      </c>
      <c r="AK203" s="322">
        <f t="shared" si="105"/>
        <v>-36.994067097747703</v>
      </c>
    </row>
    <row r="204" spans="1:37" s="19" customFormat="1" x14ac:dyDescent="0.2">
      <c r="A204" s="196">
        <v>193</v>
      </c>
      <c r="B204" s="193" t="s">
        <v>99</v>
      </c>
      <c r="C204" s="84" t="s">
        <v>10</v>
      </c>
      <c r="D204" s="813"/>
      <c r="E204" s="813"/>
      <c r="F204" s="813"/>
      <c r="G204" s="813"/>
      <c r="H204" s="813"/>
      <c r="I204" s="813"/>
      <c r="J204" s="813"/>
      <c r="K204" s="814"/>
      <c r="L204" s="657">
        <f t="shared" si="101"/>
        <v>68251655</v>
      </c>
      <c r="M204" s="658">
        <f t="shared" si="101"/>
        <v>25148002.779999997</v>
      </c>
      <c r="N204" s="658">
        <f t="shared" si="101"/>
        <v>10092045.523946732</v>
      </c>
      <c r="O204" s="658">
        <f t="shared" si="101"/>
        <v>22754022.369999994</v>
      </c>
      <c r="P204" s="658">
        <f t="shared" si="101"/>
        <v>1009204.5523946735</v>
      </c>
      <c r="Q204" s="658">
        <f t="shared" si="101"/>
        <v>4965951.33</v>
      </c>
      <c r="R204" s="658">
        <f t="shared" si="101"/>
        <v>27231889.850000001</v>
      </c>
      <c r="S204" s="658">
        <f t="shared" si="101"/>
        <v>10662741.16</v>
      </c>
      <c r="T204" s="658">
        <f t="shared" si="101"/>
        <v>9948058.3294363171</v>
      </c>
      <c r="U204" s="658">
        <f t="shared" si="101"/>
        <v>5571190.54</v>
      </c>
      <c r="V204" s="658">
        <f t="shared" si="101"/>
        <v>994805.8329436318</v>
      </c>
      <c r="W204" s="659">
        <f t="shared" si="101"/>
        <v>1142054.6900000002</v>
      </c>
      <c r="X204" s="296">
        <f t="shared" si="97"/>
        <v>0.14786521328965183</v>
      </c>
      <c r="Y204" s="295">
        <f t="shared" si="98"/>
        <v>0.36530914248818896</v>
      </c>
      <c r="Z204" s="297">
        <f t="shared" si="99"/>
        <v>0.20988018286150853</v>
      </c>
      <c r="AA204" s="87">
        <f t="shared" si="95"/>
        <v>95483544.849999994</v>
      </c>
      <c r="AB204" s="87">
        <f t="shared" si="95"/>
        <v>35810743.940000005</v>
      </c>
      <c r="AC204" s="295">
        <f t="shared" si="100"/>
        <v>0.2067339183630435</v>
      </c>
      <c r="AD204" s="87">
        <f t="shared" si="96"/>
        <v>19739687.366033901</v>
      </c>
      <c r="AE204" s="87">
        <f t="shared" si="96"/>
        <v>28325212.91</v>
      </c>
      <c r="AF204" s="87">
        <f t="shared" si="96"/>
        <v>6108006.0200000014</v>
      </c>
      <c r="AG204" s="225">
        <f t="shared" si="102"/>
        <v>18.752311718347357</v>
      </c>
      <c r="AH204" s="225">
        <f t="shared" si="103"/>
        <v>60</v>
      </c>
      <c r="AI204" s="242">
        <f t="shared" si="104"/>
        <v>78.752311718347357</v>
      </c>
      <c r="AJ204" s="318">
        <v>89.215743896139145</v>
      </c>
      <c r="AK204" s="322">
        <f t="shared" si="105"/>
        <v>-10.463432177791788</v>
      </c>
    </row>
    <row r="205" spans="1:37" s="19" customFormat="1" x14ac:dyDescent="0.2">
      <c r="A205" s="196">
        <v>194</v>
      </c>
      <c r="B205" s="193" t="s">
        <v>100</v>
      </c>
      <c r="C205" s="84" t="s">
        <v>44</v>
      </c>
      <c r="D205" s="813"/>
      <c r="E205" s="813"/>
      <c r="F205" s="813"/>
      <c r="G205" s="813"/>
      <c r="H205" s="813"/>
      <c r="I205" s="813"/>
      <c r="J205" s="813"/>
      <c r="K205" s="814"/>
      <c r="L205" s="657">
        <f t="shared" si="101"/>
        <v>2096450</v>
      </c>
      <c r="M205" s="658">
        <f t="shared" si="101"/>
        <v>868656.4</v>
      </c>
      <c r="N205" s="658">
        <f t="shared" si="101"/>
        <v>662660.24380991084</v>
      </c>
      <c r="O205" s="658">
        <f t="shared" si="101"/>
        <v>223640.46000000002</v>
      </c>
      <c r="P205" s="658">
        <f t="shared" si="101"/>
        <v>66266.02438099109</v>
      </c>
      <c r="Q205" s="658">
        <f t="shared" si="101"/>
        <v>180385.56</v>
      </c>
      <c r="R205" s="658">
        <f t="shared" si="101"/>
        <v>749000</v>
      </c>
      <c r="S205" s="658">
        <f t="shared" si="101"/>
        <v>48619.16</v>
      </c>
      <c r="T205" s="658">
        <f t="shared" si="101"/>
        <v>220720.67964643077</v>
      </c>
      <c r="U205" s="658">
        <f t="shared" si="101"/>
        <v>21536.16</v>
      </c>
      <c r="V205" s="658">
        <f t="shared" si="101"/>
        <v>22072.067964643076</v>
      </c>
      <c r="W205" s="659">
        <f t="shared" si="101"/>
        <v>4684.45</v>
      </c>
      <c r="X205" s="296">
        <f t="shared" si="97"/>
        <v>0.31608683431987922</v>
      </c>
      <c r="Y205" s="295">
        <f t="shared" si="98"/>
        <v>0.29468715573622267</v>
      </c>
      <c r="Z205" s="297">
        <f t="shared" si="99"/>
        <v>0.31045385561381911</v>
      </c>
      <c r="AA205" s="87">
        <f t="shared" si="95"/>
        <v>2845450</v>
      </c>
      <c r="AB205" s="87">
        <f t="shared" si="95"/>
        <v>917275.56</v>
      </c>
      <c r="AC205" s="295">
        <f t="shared" si="100"/>
        <v>0.29174705531509787</v>
      </c>
      <c r="AD205" s="87">
        <f t="shared" si="96"/>
        <v>830151.65854634531</v>
      </c>
      <c r="AE205" s="87">
        <f t="shared" si="96"/>
        <v>245176.62</v>
      </c>
      <c r="AF205" s="87">
        <f t="shared" si="96"/>
        <v>185070.01</v>
      </c>
      <c r="AG205" s="225">
        <f t="shared" si="102"/>
        <v>16.118286387038957</v>
      </c>
      <c r="AH205" s="225">
        <f t="shared" si="103"/>
        <v>17.720373197542365</v>
      </c>
      <c r="AI205" s="242">
        <f t="shared" si="104"/>
        <v>33.838659584581322</v>
      </c>
      <c r="AJ205" s="318">
        <v>28.240377444250893</v>
      </c>
      <c r="AK205" s="322">
        <f t="shared" si="105"/>
        <v>5.5982821403304293</v>
      </c>
    </row>
    <row r="206" spans="1:37" s="19" customFormat="1" x14ac:dyDescent="0.2">
      <c r="A206" s="196">
        <v>195</v>
      </c>
      <c r="B206" s="193" t="s">
        <v>101</v>
      </c>
      <c r="C206" s="84" t="s">
        <v>45</v>
      </c>
      <c r="D206" s="813"/>
      <c r="E206" s="813"/>
      <c r="F206" s="813"/>
      <c r="G206" s="813"/>
      <c r="H206" s="813"/>
      <c r="I206" s="813"/>
      <c r="J206" s="813"/>
      <c r="K206" s="814"/>
      <c r="L206" s="657">
        <f t="shared" si="101"/>
        <v>1137500</v>
      </c>
      <c r="M206" s="658">
        <f t="shared" si="101"/>
        <v>0</v>
      </c>
      <c r="N206" s="658">
        <f t="shared" si="101"/>
        <v>241718.75</v>
      </c>
      <c r="O206" s="658">
        <f t="shared" si="101"/>
        <v>398425.86</v>
      </c>
      <c r="P206" s="658">
        <f t="shared" si="101"/>
        <v>24171.875</v>
      </c>
      <c r="Q206" s="658">
        <f t="shared" si="101"/>
        <v>54791.88</v>
      </c>
      <c r="R206" s="658">
        <f t="shared" si="101"/>
        <v>109000</v>
      </c>
      <c r="S206" s="658">
        <f t="shared" si="101"/>
        <v>4980.2299999999996</v>
      </c>
      <c r="T206" s="658">
        <f t="shared" si="101"/>
        <v>8916.1999999999989</v>
      </c>
      <c r="U206" s="658">
        <f t="shared" si="101"/>
        <v>4425.43</v>
      </c>
      <c r="V206" s="658">
        <f t="shared" si="101"/>
        <v>891.61999999999989</v>
      </c>
      <c r="W206" s="659">
        <f t="shared" si="101"/>
        <v>838.79</v>
      </c>
      <c r="X206" s="296">
        <f t="shared" si="97"/>
        <v>0.21249999999999999</v>
      </c>
      <c r="Y206" s="295">
        <f t="shared" si="98"/>
        <v>8.1799999999999984E-2</v>
      </c>
      <c r="Z206" s="297">
        <f t="shared" si="99"/>
        <v>0.2010709586843161</v>
      </c>
      <c r="AA206" s="87">
        <f t="shared" si="95"/>
        <v>1246500</v>
      </c>
      <c r="AB206" s="87">
        <f t="shared" si="95"/>
        <v>4980.2299999999996</v>
      </c>
      <c r="AC206" s="295">
        <f t="shared" si="100"/>
        <v>0.19500000000000001</v>
      </c>
      <c r="AD206" s="87">
        <f t="shared" si="96"/>
        <v>243067.5</v>
      </c>
      <c r="AE206" s="87">
        <f t="shared" si="96"/>
        <v>402851.29</v>
      </c>
      <c r="AF206" s="87">
        <f t="shared" si="96"/>
        <v>55630.67</v>
      </c>
      <c r="AG206" s="225">
        <f t="shared" si="102"/>
        <v>0.19976855194544724</v>
      </c>
      <c r="AH206" s="225">
        <f t="shared" si="103"/>
        <v>60</v>
      </c>
      <c r="AI206" s="242">
        <f t="shared" si="104"/>
        <v>60.199768551945446</v>
      </c>
      <c r="AJ206" s="318">
        <v>60.379915190869738</v>
      </c>
      <c r="AK206" s="322">
        <f t="shared" si="105"/>
        <v>-0.18014663892429184</v>
      </c>
    </row>
    <row r="207" spans="1:37" s="19" customFormat="1" x14ac:dyDescent="0.2">
      <c r="A207" s="196">
        <v>196</v>
      </c>
      <c r="B207" s="193" t="s">
        <v>102</v>
      </c>
      <c r="C207" s="84" t="s">
        <v>11</v>
      </c>
      <c r="D207" s="813"/>
      <c r="E207" s="813"/>
      <c r="F207" s="813"/>
      <c r="G207" s="813"/>
      <c r="H207" s="813"/>
      <c r="I207" s="813"/>
      <c r="J207" s="813"/>
      <c r="K207" s="814"/>
      <c r="L207" s="657">
        <f t="shared" si="101"/>
        <v>6763250</v>
      </c>
      <c r="M207" s="658">
        <f t="shared" si="101"/>
        <v>0</v>
      </c>
      <c r="N207" s="658">
        <f t="shared" si="101"/>
        <v>1722095.1757040874</v>
      </c>
      <c r="O207" s="658">
        <f t="shared" si="101"/>
        <v>951493.98</v>
      </c>
      <c r="P207" s="658">
        <f t="shared" si="101"/>
        <v>172209.51757040876</v>
      </c>
      <c r="Q207" s="658">
        <f t="shared" si="101"/>
        <v>765216.96</v>
      </c>
      <c r="R207" s="658">
        <f t="shared" si="101"/>
        <v>2410600</v>
      </c>
      <c r="S207" s="658">
        <f t="shared" si="101"/>
        <v>467224.8</v>
      </c>
      <c r="T207" s="658">
        <f t="shared" si="101"/>
        <v>562921.61720456614</v>
      </c>
      <c r="U207" s="658">
        <f t="shared" si="101"/>
        <v>426066.12</v>
      </c>
      <c r="V207" s="658">
        <f t="shared" si="101"/>
        <v>56292.161720456614</v>
      </c>
      <c r="W207" s="659">
        <f t="shared" si="101"/>
        <v>150997.32999999999</v>
      </c>
      <c r="X207" s="296">
        <f t="shared" si="97"/>
        <v>0.25462539100345061</v>
      </c>
      <c r="Y207" s="295">
        <f t="shared" si="98"/>
        <v>0.23351929694041573</v>
      </c>
      <c r="Z207" s="297">
        <f t="shared" si="99"/>
        <v>0.24907937157340196</v>
      </c>
      <c r="AA207" s="87">
        <f t="shared" si="95"/>
        <v>9173850</v>
      </c>
      <c r="AB207" s="87">
        <f t="shared" si="95"/>
        <v>467224.8</v>
      </c>
      <c r="AC207" s="295">
        <f t="shared" si="100"/>
        <v>0.25093231732471616</v>
      </c>
      <c r="AD207" s="87">
        <f t="shared" si="96"/>
        <v>2302015.4392893473</v>
      </c>
      <c r="AE207" s="87">
        <f t="shared" si="96"/>
        <v>1377560.1</v>
      </c>
      <c r="AF207" s="87">
        <f t="shared" si="96"/>
        <v>916214.29</v>
      </c>
      <c r="AG207" s="225">
        <f t="shared" si="102"/>
        <v>2.546503376445004</v>
      </c>
      <c r="AH207" s="225">
        <f t="shared" si="103"/>
        <v>35.904887773261812</v>
      </c>
      <c r="AI207" s="242">
        <f t="shared" si="104"/>
        <v>38.451391149706815</v>
      </c>
      <c r="AJ207" s="318">
        <v>40.104584613867431</v>
      </c>
      <c r="AK207" s="322">
        <f t="shared" si="105"/>
        <v>-1.6531934641606156</v>
      </c>
    </row>
    <row r="208" spans="1:37" s="19" customFormat="1" x14ac:dyDescent="0.2">
      <c r="A208" s="196">
        <v>197</v>
      </c>
      <c r="B208" s="193" t="s">
        <v>103</v>
      </c>
      <c r="C208" s="84" t="s">
        <v>12</v>
      </c>
      <c r="D208" s="813"/>
      <c r="E208" s="813"/>
      <c r="F208" s="813"/>
      <c r="G208" s="813"/>
      <c r="H208" s="813"/>
      <c r="I208" s="813"/>
      <c r="J208" s="813"/>
      <c r="K208" s="814"/>
      <c r="L208" s="657">
        <f t="shared" si="101"/>
        <v>40449150</v>
      </c>
      <c r="M208" s="658">
        <f t="shared" si="101"/>
        <v>21471539.890000001</v>
      </c>
      <c r="N208" s="658">
        <f t="shared" si="101"/>
        <v>8156268.6645983383</v>
      </c>
      <c r="O208" s="658">
        <f t="shared" si="101"/>
        <v>4226785.9800000004</v>
      </c>
      <c r="P208" s="658">
        <f t="shared" si="101"/>
        <v>815626.86645983369</v>
      </c>
      <c r="Q208" s="658">
        <f t="shared" si="101"/>
        <v>3352949.0399999996</v>
      </c>
      <c r="R208" s="658">
        <f t="shared" si="101"/>
        <v>8156350</v>
      </c>
      <c r="S208" s="658">
        <f t="shared" si="101"/>
        <v>2105376.7999999998</v>
      </c>
      <c r="T208" s="658">
        <f t="shared" si="101"/>
        <v>2464989.9204767998</v>
      </c>
      <c r="U208" s="658">
        <f t="shared" si="101"/>
        <v>638142.21000000008</v>
      </c>
      <c r="V208" s="658">
        <f t="shared" si="101"/>
        <v>246498.99204768002</v>
      </c>
      <c r="W208" s="659">
        <f t="shared" si="101"/>
        <v>94587.270000000019</v>
      </c>
      <c r="X208" s="296">
        <f t="shared" si="97"/>
        <v>0.20164252313332515</v>
      </c>
      <c r="Y208" s="295">
        <f t="shared" si="98"/>
        <v>0.30221728107263662</v>
      </c>
      <c r="Z208" s="297">
        <f t="shared" si="99"/>
        <v>0.2185196857366993</v>
      </c>
      <c r="AA208" s="87">
        <f t="shared" si="95"/>
        <v>48605500</v>
      </c>
      <c r="AB208" s="87">
        <f t="shared" si="95"/>
        <v>23576916.689999998</v>
      </c>
      <c r="AC208" s="295">
        <f t="shared" si="100"/>
        <v>0.21870977362255409</v>
      </c>
      <c r="AD208" s="87">
        <f t="shared" si="96"/>
        <v>10630497.901811052</v>
      </c>
      <c r="AE208" s="87">
        <f t="shared" si="96"/>
        <v>4864928.1900000004</v>
      </c>
      <c r="AF208" s="87">
        <f t="shared" si="96"/>
        <v>3447536.3099999996</v>
      </c>
      <c r="AG208" s="225">
        <f t="shared" si="102"/>
        <v>24.253342409809587</v>
      </c>
      <c r="AH208" s="225">
        <f t="shared" si="103"/>
        <v>27.458327361155074</v>
      </c>
      <c r="AI208" s="242">
        <f t="shared" si="104"/>
        <v>51.711669770964662</v>
      </c>
      <c r="AJ208" s="318">
        <v>53.356079737045135</v>
      </c>
      <c r="AK208" s="322">
        <f t="shared" si="105"/>
        <v>-1.6444099660804739</v>
      </c>
    </row>
    <row r="209" spans="1:48" s="19" customFormat="1" x14ac:dyDescent="0.2">
      <c r="A209" s="196">
        <v>198</v>
      </c>
      <c r="B209" s="193" t="s">
        <v>104</v>
      </c>
      <c r="C209" s="84" t="s">
        <v>46</v>
      </c>
      <c r="D209" s="813"/>
      <c r="E209" s="813"/>
      <c r="F209" s="813"/>
      <c r="G209" s="813"/>
      <c r="H209" s="813"/>
      <c r="I209" s="813"/>
      <c r="J209" s="813"/>
      <c r="K209" s="814"/>
      <c r="L209" s="657">
        <f t="shared" si="101"/>
        <v>3086000</v>
      </c>
      <c r="M209" s="658">
        <f t="shared" si="101"/>
        <v>1135552.8899999999</v>
      </c>
      <c r="N209" s="658">
        <f t="shared" si="101"/>
        <v>500631.40922526474</v>
      </c>
      <c r="O209" s="658">
        <f t="shared" si="101"/>
        <v>91172.64</v>
      </c>
      <c r="P209" s="658">
        <f t="shared" si="101"/>
        <v>50063.14092252648</v>
      </c>
      <c r="Q209" s="658">
        <f t="shared" si="101"/>
        <v>88695.66</v>
      </c>
      <c r="R209" s="658">
        <f t="shared" si="101"/>
        <v>2096250</v>
      </c>
      <c r="S209" s="658">
        <f t="shared" si="101"/>
        <v>1176888.3099999998</v>
      </c>
      <c r="T209" s="658">
        <f t="shared" si="101"/>
        <v>770034.34765350784</v>
      </c>
      <c r="U209" s="658">
        <f t="shared" si="101"/>
        <v>940472.29</v>
      </c>
      <c r="V209" s="658">
        <f t="shared" si="101"/>
        <v>77003.434765350787</v>
      </c>
      <c r="W209" s="659">
        <f t="shared" si="101"/>
        <v>191784.55</v>
      </c>
      <c r="X209" s="296">
        <f t="shared" si="97"/>
        <v>0.16222663941194579</v>
      </c>
      <c r="Y209" s="295">
        <f t="shared" si="98"/>
        <v>0.36733898516565672</v>
      </c>
      <c r="Z209" s="297">
        <f t="shared" si="99"/>
        <v>0.24519576571542717</v>
      </c>
      <c r="AA209" s="87">
        <f t="shared" si="95"/>
        <v>5182250</v>
      </c>
      <c r="AB209" s="87">
        <f t="shared" si="95"/>
        <v>2312441.1999999997</v>
      </c>
      <c r="AC209" s="295">
        <f t="shared" si="100"/>
        <v>0.24804726287624954</v>
      </c>
      <c r="AD209" s="87">
        <f t="shared" si="96"/>
        <v>1285442.9280404442</v>
      </c>
      <c r="AE209" s="87">
        <f t="shared" si="96"/>
        <v>1031644.9299999999</v>
      </c>
      <c r="AF209" s="87">
        <f t="shared" si="96"/>
        <v>280480.20999999996</v>
      </c>
      <c r="AG209" s="225">
        <f t="shared" si="102"/>
        <v>22.311169858652129</v>
      </c>
      <c r="AH209" s="225">
        <f t="shared" si="103"/>
        <v>48.153593169911986</v>
      </c>
      <c r="AI209" s="242">
        <f t="shared" si="104"/>
        <v>70.464763028564107</v>
      </c>
      <c r="AJ209" s="318">
        <v>64.14623317244903</v>
      </c>
      <c r="AK209" s="322">
        <f t="shared" si="105"/>
        <v>6.3185298561150773</v>
      </c>
    </row>
    <row r="210" spans="1:48" s="19" customFormat="1" x14ac:dyDescent="0.2">
      <c r="A210" s="196">
        <v>199</v>
      </c>
      <c r="B210" s="193" t="s">
        <v>105</v>
      </c>
      <c r="C210" s="84" t="s">
        <v>47</v>
      </c>
      <c r="D210" s="813"/>
      <c r="E210" s="813"/>
      <c r="F210" s="813"/>
      <c r="G210" s="813"/>
      <c r="H210" s="813"/>
      <c r="I210" s="813"/>
      <c r="J210" s="813"/>
      <c r="K210" s="814"/>
      <c r="L210" s="657">
        <f t="shared" si="101"/>
        <v>6484390</v>
      </c>
      <c r="M210" s="658">
        <f t="shared" si="101"/>
        <v>2323912.46</v>
      </c>
      <c r="N210" s="658">
        <f t="shared" si="101"/>
        <v>1177982.1258048844</v>
      </c>
      <c r="O210" s="658">
        <f t="shared" si="101"/>
        <v>812421.41999999993</v>
      </c>
      <c r="P210" s="658">
        <f t="shared" si="101"/>
        <v>117798.21258048846</v>
      </c>
      <c r="Q210" s="658">
        <f t="shared" si="101"/>
        <v>604492.62</v>
      </c>
      <c r="R210" s="658">
        <f t="shared" si="101"/>
        <v>3511053</v>
      </c>
      <c r="S210" s="658">
        <f t="shared" si="101"/>
        <v>1952205.14</v>
      </c>
      <c r="T210" s="658">
        <f t="shared" si="101"/>
        <v>1207091.5007125058</v>
      </c>
      <c r="U210" s="658">
        <f t="shared" si="101"/>
        <v>783478.92999999993</v>
      </c>
      <c r="V210" s="658">
        <f t="shared" si="101"/>
        <v>120709.15007125058</v>
      </c>
      <c r="W210" s="659">
        <f t="shared" si="101"/>
        <v>174956.87</v>
      </c>
      <c r="X210" s="296">
        <f t="shared" si="97"/>
        <v>0.18166429314166549</v>
      </c>
      <c r="Y210" s="295">
        <f t="shared" si="98"/>
        <v>0.3437975731817508</v>
      </c>
      <c r="Z210" s="297">
        <f t="shared" si="99"/>
        <v>0.23861610000851288</v>
      </c>
      <c r="AA210" s="87">
        <f t="shared" si="95"/>
        <v>9995443</v>
      </c>
      <c r="AB210" s="87">
        <f t="shared" si="95"/>
        <v>4276117.5999999996</v>
      </c>
      <c r="AC210" s="295">
        <f t="shared" si="100"/>
        <v>0.23008585410012805</v>
      </c>
      <c r="AD210" s="87">
        <f t="shared" si="96"/>
        <v>2299810.0397641463</v>
      </c>
      <c r="AE210" s="87">
        <f t="shared" si="96"/>
        <v>1595900.35</v>
      </c>
      <c r="AF210" s="87">
        <f t="shared" si="96"/>
        <v>779449.49</v>
      </c>
      <c r="AG210" s="225">
        <f t="shared" si="102"/>
        <v>21.390335575921945</v>
      </c>
      <c r="AH210" s="225">
        <f t="shared" si="103"/>
        <v>41.6356217880586</v>
      </c>
      <c r="AI210" s="242">
        <f t="shared" si="104"/>
        <v>63.025957363980545</v>
      </c>
      <c r="AJ210" s="318">
        <v>52.834998139517623</v>
      </c>
      <c r="AK210" s="322">
        <f t="shared" si="105"/>
        <v>10.190959224462922</v>
      </c>
    </row>
    <row r="211" spans="1:48" s="19" customFormat="1" x14ac:dyDescent="0.2">
      <c r="A211" s="196">
        <v>200</v>
      </c>
      <c r="B211" s="193" t="s">
        <v>106</v>
      </c>
      <c r="C211" s="84" t="s">
        <v>48</v>
      </c>
      <c r="D211" s="813"/>
      <c r="E211" s="813"/>
      <c r="F211" s="813"/>
      <c r="G211" s="813"/>
      <c r="H211" s="813"/>
      <c r="I211" s="813"/>
      <c r="J211" s="813"/>
      <c r="K211" s="814"/>
      <c r="L211" s="657">
        <f t="shared" si="101"/>
        <v>1483000</v>
      </c>
      <c r="M211" s="658">
        <f t="shared" si="101"/>
        <v>519566.44</v>
      </c>
      <c r="N211" s="658">
        <f t="shared" si="101"/>
        <v>514970.09064056934</v>
      </c>
      <c r="O211" s="658">
        <f t="shared" si="101"/>
        <v>107388.24</v>
      </c>
      <c r="P211" s="658">
        <f t="shared" si="101"/>
        <v>51497.00906405694</v>
      </c>
      <c r="Q211" s="658">
        <f t="shared" si="101"/>
        <v>99684.24</v>
      </c>
      <c r="R211" s="658">
        <f t="shared" si="101"/>
        <v>213000</v>
      </c>
      <c r="S211" s="658">
        <f t="shared" si="101"/>
        <v>282256.09999999998</v>
      </c>
      <c r="T211" s="658">
        <f t="shared" si="101"/>
        <v>26405.311689874317</v>
      </c>
      <c r="U211" s="658">
        <f t="shared" si="101"/>
        <v>8763.59</v>
      </c>
      <c r="V211" s="658">
        <f t="shared" si="101"/>
        <v>2640.531168987432</v>
      </c>
      <c r="W211" s="659">
        <f t="shared" si="101"/>
        <v>2345.65</v>
      </c>
      <c r="X211" s="296">
        <f t="shared" si="97"/>
        <v>0.34724888107927804</v>
      </c>
      <c r="Y211" s="295">
        <f t="shared" si="98"/>
        <v>0.12396859948297802</v>
      </c>
      <c r="Z211" s="297">
        <f t="shared" si="99"/>
        <v>0.31920719477030873</v>
      </c>
      <c r="AA211" s="87">
        <f t="shared" si="95"/>
        <v>1696000</v>
      </c>
      <c r="AB211" s="87">
        <f t="shared" si="95"/>
        <v>801822.54</v>
      </c>
      <c r="AC211" s="295">
        <f t="shared" si="100"/>
        <v>0.32468997749544032</v>
      </c>
      <c r="AD211" s="87">
        <f t="shared" si="96"/>
        <v>550674.20183226676</v>
      </c>
      <c r="AE211" s="87">
        <f t="shared" si="96"/>
        <v>116151.83</v>
      </c>
      <c r="AF211" s="87">
        <f t="shared" si="96"/>
        <v>102029.89</v>
      </c>
      <c r="AG211" s="225">
        <f t="shared" si="102"/>
        <v>23.638636202830192</v>
      </c>
      <c r="AH211" s="225">
        <f t="shared" si="103"/>
        <v>12.655595226381722</v>
      </c>
      <c r="AI211" s="242">
        <f t="shared" si="104"/>
        <v>36.294231429211912</v>
      </c>
      <c r="AJ211" s="318">
        <v>57.804801914440631</v>
      </c>
      <c r="AK211" s="322">
        <f t="shared" si="105"/>
        <v>-21.510570485228719</v>
      </c>
    </row>
    <row r="212" spans="1:48" s="19" customFormat="1" x14ac:dyDescent="0.2">
      <c r="A212" s="196">
        <v>201</v>
      </c>
      <c r="B212" s="193" t="s">
        <v>107</v>
      </c>
      <c r="C212" s="84" t="s">
        <v>49</v>
      </c>
      <c r="D212" s="813"/>
      <c r="E212" s="813"/>
      <c r="F212" s="813"/>
      <c r="G212" s="813"/>
      <c r="H212" s="813"/>
      <c r="I212" s="813"/>
      <c r="J212" s="813"/>
      <c r="K212" s="814"/>
      <c r="L212" s="657">
        <f t="shared" si="101"/>
        <v>15243750</v>
      </c>
      <c r="M212" s="658">
        <f t="shared" si="101"/>
        <v>10865847.540000001</v>
      </c>
      <c r="N212" s="658">
        <f t="shared" si="101"/>
        <v>2760212.832363023</v>
      </c>
      <c r="O212" s="658">
        <f t="shared" si="101"/>
        <v>1937884.3199999998</v>
      </c>
      <c r="P212" s="658">
        <f t="shared" si="101"/>
        <v>276021.28323630232</v>
      </c>
      <c r="Q212" s="658">
        <f t="shared" si="101"/>
        <v>1557063.42</v>
      </c>
      <c r="R212" s="658">
        <f t="shared" si="101"/>
        <v>3014250</v>
      </c>
      <c r="S212" s="658">
        <f t="shared" si="101"/>
        <v>120563745.25</v>
      </c>
      <c r="T212" s="658">
        <f t="shared" si="101"/>
        <v>504178.24416700291</v>
      </c>
      <c r="U212" s="658">
        <f t="shared" si="101"/>
        <v>115718.43000000001</v>
      </c>
      <c r="V212" s="658">
        <f t="shared" si="101"/>
        <v>50417.824416700299</v>
      </c>
      <c r="W212" s="659">
        <f t="shared" si="101"/>
        <v>18517.59</v>
      </c>
      <c r="X212" s="296">
        <f t="shared" si="97"/>
        <v>0.18107177252073953</v>
      </c>
      <c r="Y212" s="295">
        <f t="shared" si="98"/>
        <v>0.16726490641685424</v>
      </c>
      <c r="Z212" s="297">
        <f t="shared" si="99"/>
        <v>0.17879236918227767</v>
      </c>
      <c r="AA212" s="87">
        <f t="shared" si="95"/>
        <v>18258000</v>
      </c>
      <c r="AB212" s="87">
        <f t="shared" si="95"/>
        <v>131429592.79000002</v>
      </c>
      <c r="AC212" s="295">
        <f t="shared" si="100"/>
        <v>0.1765466824637168</v>
      </c>
      <c r="AD212" s="87">
        <f t="shared" si="96"/>
        <v>3223389.3284225413</v>
      </c>
      <c r="AE212" s="87">
        <f t="shared" si="96"/>
        <v>2053602.75</v>
      </c>
      <c r="AF212" s="87">
        <f t="shared" si="96"/>
        <v>1575581.01</v>
      </c>
      <c r="AG212" s="225">
        <f t="shared" si="102"/>
        <v>40</v>
      </c>
      <c r="AH212" s="225">
        <f t="shared" si="103"/>
        <v>38.225653945531732</v>
      </c>
      <c r="AI212" s="242">
        <f t="shared" si="104"/>
        <v>78.225653945531732</v>
      </c>
      <c r="AJ212" s="318">
        <v>62.811568981051025</v>
      </c>
      <c r="AK212" s="322">
        <f t="shared" si="105"/>
        <v>15.414084964480708</v>
      </c>
    </row>
    <row r="213" spans="1:48" s="19" customFormat="1" x14ac:dyDescent="0.2">
      <c r="A213" s="196">
        <v>202</v>
      </c>
      <c r="B213" s="194" t="s">
        <v>108</v>
      </c>
      <c r="C213" s="201" t="s">
        <v>0</v>
      </c>
      <c r="D213" s="815"/>
      <c r="E213" s="815"/>
      <c r="F213" s="815"/>
      <c r="G213" s="815"/>
      <c r="H213" s="815"/>
      <c r="I213" s="815"/>
      <c r="J213" s="815"/>
      <c r="K213" s="816"/>
      <c r="L213" s="660">
        <f t="shared" si="101"/>
        <v>838863418.84943414</v>
      </c>
      <c r="M213" s="661">
        <f t="shared" si="101"/>
        <v>481540966.66999996</v>
      </c>
      <c r="N213" s="661">
        <f t="shared" si="101"/>
        <v>80949529.634635836</v>
      </c>
      <c r="O213" s="661">
        <f t="shared" si="101"/>
        <v>58192936.710000001</v>
      </c>
      <c r="P213" s="661">
        <f t="shared" si="101"/>
        <v>8094952.9634635849</v>
      </c>
      <c r="Q213" s="661">
        <f t="shared" si="101"/>
        <v>24886466.850000001</v>
      </c>
      <c r="R213" s="661">
        <f t="shared" si="101"/>
        <v>518725721.99119329</v>
      </c>
      <c r="S213" s="661">
        <f t="shared" si="101"/>
        <v>302433550.09000009</v>
      </c>
      <c r="T213" s="661">
        <f t="shared" si="101"/>
        <v>143100663.26747203</v>
      </c>
      <c r="U213" s="661">
        <f t="shared" si="101"/>
        <v>100474400.97000004</v>
      </c>
      <c r="V213" s="661">
        <f t="shared" si="101"/>
        <v>14310066.326747205</v>
      </c>
      <c r="W213" s="662">
        <f t="shared" si="101"/>
        <v>12729882.91</v>
      </c>
      <c r="X213" s="296">
        <f t="shared" si="97"/>
        <v>9.6499057910600455E-2</v>
      </c>
      <c r="Y213" s="295">
        <f t="shared" si="98"/>
        <v>0.27586961124303283</v>
      </c>
      <c r="Z213" s="297">
        <f t="shared" si="99"/>
        <v>0.16503534549736795</v>
      </c>
      <c r="AA213" s="87">
        <f t="shared" si="95"/>
        <v>1357589140.8406274</v>
      </c>
      <c r="AB213" s="87">
        <f t="shared" si="95"/>
        <v>783974516.76000011</v>
      </c>
      <c r="AC213" s="368">
        <f t="shared" si="100"/>
        <v>0.17339489968843674</v>
      </c>
      <c r="AD213" s="87">
        <f t="shared" si="96"/>
        <v>235399032.89417163</v>
      </c>
      <c r="AE213" s="87">
        <f t="shared" si="96"/>
        <v>158667337.67999998</v>
      </c>
      <c r="AF213" s="87">
        <f t="shared" si="96"/>
        <v>37616349.75999999</v>
      </c>
      <c r="AG213" s="225">
        <f t="shared" si="102"/>
        <v>28.873776799457836</v>
      </c>
      <c r="AH213" s="225">
        <f t="shared" si="103"/>
        <v>40.442138371400716</v>
      </c>
      <c r="AI213" s="242">
        <f t="shared" si="104"/>
        <v>69.315915170858545</v>
      </c>
      <c r="AJ213" s="319">
        <v>88.037403514679198</v>
      </c>
      <c r="AK213" s="322">
        <f t="shared" si="105"/>
        <v>-18.721488343820653</v>
      </c>
      <c r="AN213"/>
      <c r="AO213"/>
      <c r="AP213"/>
      <c r="AQ213"/>
      <c r="AR213"/>
      <c r="AS213"/>
      <c r="AT213"/>
      <c r="AU213"/>
      <c r="AV213"/>
    </row>
    <row r="214" spans="1:48" x14ac:dyDescent="0.2"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</row>
    <row r="215" spans="1:48" x14ac:dyDescent="0.2">
      <c r="A215" s="177"/>
      <c r="B215" s="278"/>
      <c r="C215" s="280" t="s">
        <v>363</v>
      </c>
      <c r="D215" s="169"/>
      <c r="E215" s="169"/>
      <c r="F215" s="169"/>
      <c r="G215" s="177"/>
      <c r="H215" s="177"/>
      <c r="I215" s="177"/>
      <c r="J215" s="177"/>
      <c r="K215" s="177"/>
      <c r="L215" s="281"/>
      <c r="M215" s="281"/>
      <c r="N215" s="281"/>
      <c r="O215" s="281"/>
      <c r="P215" s="281"/>
      <c r="Q215" s="281"/>
      <c r="R215" s="281"/>
      <c r="S215" s="281"/>
      <c r="T215" s="19"/>
      <c r="U215" s="19"/>
      <c r="V215" s="19"/>
      <c r="W215" s="19"/>
    </row>
    <row r="216" spans="1:48" ht="22.5" x14ac:dyDescent="0.2">
      <c r="A216" s="19"/>
      <c r="B216" s="279" t="s">
        <v>364</v>
      </c>
      <c r="C216" s="278"/>
      <c r="D216" s="169"/>
      <c r="E216" s="169"/>
      <c r="F216" s="169"/>
      <c r="G216" s="177"/>
      <c r="H216" s="177"/>
      <c r="I216" s="177"/>
      <c r="J216" s="177"/>
      <c r="K216" s="177"/>
      <c r="L216" s="16" t="s">
        <v>303</v>
      </c>
      <c r="M216" s="16" t="s">
        <v>304</v>
      </c>
      <c r="N216" s="16" t="s">
        <v>323</v>
      </c>
      <c r="O216" s="16" t="s">
        <v>305</v>
      </c>
      <c r="P216" s="281"/>
      <c r="Q216" s="281"/>
      <c r="R216" s="281"/>
      <c r="S216" s="281"/>
      <c r="T216" s="19"/>
      <c r="U216" s="19"/>
      <c r="V216" s="19"/>
      <c r="W216" s="19"/>
    </row>
    <row r="217" spans="1:48" x14ac:dyDescent="0.2">
      <c r="A217" s="19"/>
      <c r="B217" s="19" t="s">
        <v>5</v>
      </c>
      <c r="C217" s="19"/>
      <c r="D217" s="169"/>
      <c r="E217" s="169"/>
      <c r="F217" s="169"/>
      <c r="G217" s="177"/>
      <c r="H217" s="177"/>
      <c r="I217" s="177"/>
      <c r="J217" s="177"/>
      <c r="K217" s="177"/>
      <c r="L217" s="284">
        <f t="shared" ref="L217:L225" si="106">SUMIFS($AA$12:$AA$189,$H$12:$H$189,$B217,$I$12:$I$189,"Magistrát města Ostrava",$K$12:$K$189,FALSE)</f>
        <v>23920839</v>
      </c>
      <c r="M217" s="284">
        <f t="shared" ref="M217:M225" si="107">SUMIFS($AB$12:$AB$189,$H$12:$H$189,$B217,$I$12:$I$189,"Magistrát města Ostrava",$K$12:$K$189,FALSE)</f>
        <v>8792490.8200000003</v>
      </c>
      <c r="N217" s="284">
        <f t="shared" ref="N217:N225" si="108">SUMIFS($AD$12:$AD$189,$H$12:$H$189,$B217,$I$12:$I$189,"Magistrát města Ostrava",$K$12:$K$189,FALSE)</f>
        <v>1844374.4271</v>
      </c>
      <c r="O217" s="284">
        <f t="shared" ref="O217:O225" si="109">SUMIFS($AE$12:$AE$189,$H$12:$H$189,$B217,$I$12:$I$189,"Magistrát města Ostrava",$K$12:$K$189,FALSE)</f>
        <v>2333147.66</v>
      </c>
      <c r="P217" s="281"/>
      <c r="Q217" s="281"/>
      <c r="R217" s="281"/>
      <c r="S217" s="281"/>
      <c r="T217" s="19"/>
      <c r="U217" s="19"/>
      <c r="V217" s="19"/>
      <c r="W217" s="19"/>
    </row>
    <row r="218" spans="1:48" x14ac:dyDescent="0.2">
      <c r="A218" s="19"/>
      <c r="B218" s="19" t="s">
        <v>289</v>
      </c>
      <c r="C218" s="19"/>
      <c r="D218" s="169"/>
      <c r="E218" s="169"/>
      <c r="F218" s="169"/>
      <c r="G218" s="177"/>
      <c r="H218" s="177"/>
      <c r="I218" s="177"/>
      <c r="J218" s="177"/>
      <c r="K218" s="177"/>
      <c r="L218" s="284">
        <f t="shared" si="106"/>
        <v>315034139.84062749</v>
      </c>
      <c r="M218" s="284">
        <f t="shared" si="107"/>
        <v>200836253.26999998</v>
      </c>
      <c r="N218" s="284">
        <f t="shared" si="108"/>
        <v>104157125.41943845</v>
      </c>
      <c r="O218" s="284">
        <f t="shared" si="109"/>
        <v>72265964.460000008</v>
      </c>
      <c r="P218" s="281"/>
      <c r="Q218" s="281"/>
      <c r="R218" s="281"/>
      <c r="S218" s="281"/>
      <c r="T218" s="19"/>
      <c r="U218" s="19"/>
      <c r="V218" s="19"/>
      <c r="W218" s="19"/>
    </row>
    <row r="219" spans="1:48" x14ac:dyDescent="0.2">
      <c r="A219" s="19"/>
      <c r="B219" s="19" t="s">
        <v>444</v>
      </c>
      <c r="C219" s="19"/>
      <c r="D219" s="169"/>
      <c r="E219" s="169"/>
      <c r="F219" s="169"/>
      <c r="G219" s="177"/>
      <c r="H219" s="177"/>
      <c r="I219" s="177"/>
      <c r="J219" s="177"/>
      <c r="K219" s="177"/>
      <c r="L219" s="284">
        <f t="shared" si="106"/>
        <v>133040886</v>
      </c>
      <c r="M219" s="284">
        <f t="shared" si="107"/>
        <v>84836217.129999995</v>
      </c>
      <c r="N219" s="284">
        <f t="shared" si="108"/>
        <v>23057612.529999997</v>
      </c>
      <c r="O219" s="284">
        <f t="shared" si="109"/>
        <v>14249849.57</v>
      </c>
      <c r="P219" s="281"/>
      <c r="Q219" s="281"/>
      <c r="R219" s="281"/>
      <c r="S219" s="281"/>
      <c r="T219" s="19"/>
      <c r="U219" s="19"/>
      <c r="V219" s="19"/>
      <c r="W219" s="19"/>
    </row>
    <row r="220" spans="1:48" x14ac:dyDescent="0.2">
      <c r="A220" s="19"/>
      <c r="B220" s="19" t="s">
        <v>577</v>
      </c>
      <c r="C220" s="19"/>
      <c r="D220" s="169"/>
      <c r="E220" s="169"/>
      <c r="F220" s="169"/>
      <c r="G220" s="177"/>
      <c r="H220" s="177"/>
      <c r="I220" s="177"/>
      <c r="J220" s="177"/>
      <c r="K220" s="177"/>
      <c r="L220" s="284">
        <f t="shared" si="106"/>
        <v>91476665.5</v>
      </c>
      <c r="M220" s="284">
        <f t="shared" si="107"/>
        <v>64561650.549999997</v>
      </c>
      <c r="N220" s="284">
        <f t="shared" si="108"/>
        <v>10536267.402980616</v>
      </c>
      <c r="O220" s="284">
        <f t="shared" si="109"/>
        <v>8338141.8000000007</v>
      </c>
      <c r="P220" s="281"/>
      <c r="Q220" s="281"/>
      <c r="R220" s="281"/>
      <c r="S220" s="281"/>
      <c r="T220" s="19"/>
      <c r="U220" s="19"/>
      <c r="V220" s="19"/>
      <c r="W220" s="19"/>
    </row>
    <row r="221" spans="1:48" x14ac:dyDescent="0.2">
      <c r="A221" s="19"/>
      <c r="B221" s="19" t="s">
        <v>582</v>
      </c>
      <c r="C221" s="19"/>
      <c r="D221" s="169"/>
      <c r="E221" s="169"/>
      <c r="F221" s="169"/>
      <c r="G221" s="177"/>
      <c r="H221" s="177"/>
      <c r="I221" s="177"/>
      <c r="J221" s="177"/>
      <c r="K221" s="177"/>
      <c r="L221" s="284">
        <f t="shared" si="106"/>
        <v>80775500</v>
      </c>
      <c r="M221" s="284">
        <f t="shared" si="107"/>
        <v>60369560.61999999</v>
      </c>
      <c r="N221" s="284">
        <f t="shared" si="108"/>
        <v>11082505</v>
      </c>
      <c r="O221" s="284">
        <f t="shared" si="109"/>
        <v>7330909.4300000006</v>
      </c>
      <c r="P221" s="281"/>
      <c r="Q221" s="281"/>
      <c r="R221" s="281"/>
      <c r="S221" s="281"/>
      <c r="T221" s="19"/>
      <c r="U221" s="19"/>
      <c r="V221" s="19"/>
      <c r="W221" s="19"/>
    </row>
    <row r="222" spans="1:48" x14ac:dyDescent="0.2">
      <c r="A222" s="19"/>
      <c r="B222" s="19" t="s">
        <v>290</v>
      </c>
      <c r="C222" s="19"/>
      <c r="D222" s="169"/>
      <c r="E222" s="169"/>
      <c r="F222" s="169"/>
      <c r="G222" s="177"/>
      <c r="H222" s="177"/>
      <c r="I222" s="177"/>
      <c r="J222" s="177"/>
      <c r="K222" s="177"/>
      <c r="L222" s="284">
        <f t="shared" si="106"/>
        <v>347707000</v>
      </c>
      <c r="M222" s="284">
        <f t="shared" si="107"/>
        <v>202975722.45999998</v>
      </c>
      <c r="N222" s="284">
        <f t="shared" si="108"/>
        <v>24339490.000000004</v>
      </c>
      <c r="O222" s="284">
        <f t="shared" si="109"/>
        <v>5535929.96</v>
      </c>
      <c r="P222" s="281"/>
      <c r="Q222" s="281"/>
      <c r="R222" s="281"/>
      <c r="S222" s="281"/>
      <c r="T222" s="19"/>
      <c r="U222" s="19"/>
      <c r="V222" s="19"/>
      <c r="W222" s="19"/>
    </row>
    <row r="223" spans="1:48" x14ac:dyDescent="0.2">
      <c r="A223" s="19"/>
      <c r="B223" s="19" t="s">
        <v>575</v>
      </c>
      <c r="C223" s="19"/>
      <c r="D223" s="169"/>
      <c r="E223" s="169"/>
      <c r="F223" s="169"/>
      <c r="G223" s="177"/>
      <c r="H223" s="177"/>
      <c r="I223" s="177"/>
      <c r="J223" s="177"/>
      <c r="K223" s="177"/>
      <c r="L223" s="284">
        <f t="shared" si="106"/>
        <v>365634110.5</v>
      </c>
      <c r="M223" s="284">
        <f t="shared" si="107"/>
        <v>161602621.91</v>
      </c>
      <c r="N223" s="284">
        <f t="shared" si="108"/>
        <v>60381658.114652559</v>
      </c>
      <c r="O223" s="284">
        <f t="shared" si="109"/>
        <v>48613394.79999999</v>
      </c>
      <c r="P223" s="281"/>
      <c r="Q223" s="281"/>
      <c r="R223" s="281"/>
      <c r="S223" s="281"/>
      <c r="T223" s="19"/>
      <c r="U223" s="19"/>
      <c r="V223" s="19"/>
      <c r="W223" s="19"/>
    </row>
    <row r="224" spans="1:48" x14ac:dyDescent="0.2">
      <c r="A224" s="19"/>
      <c r="B224" s="19"/>
      <c r="C224" s="19"/>
      <c r="D224" s="169"/>
      <c r="E224" s="169"/>
      <c r="F224" s="169"/>
      <c r="G224" s="177"/>
      <c r="H224" s="177"/>
      <c r="I224" s="177"/>
      <c r="J224" s="177"/>
      <c r="K224" s="177"/>
      <c r="L224" s="284">
        <f t="shared" si="106"/>
        <v>0</v>
      </c>
      <c r="M224" s="284">
        <f t="shared" si="107"/>
        <v>0</v>
      </c>
      <c r="N224" s="284">
        <f t="shared" si="108"/>
        <v>0</v>
      </c>
      <c r="O224" s="284">
        <f t="shared" si="109"/>
        <v>0</v>
      </c>
      <c r="P224" s="281"/>
      <c r="Q224" s="281"/>
      <c r="R224" s="281"/>
      <c r="S224" s="281"/>
      <c r="T224" s="19"/>
      <c r="U224" s="19"/>
      <c r="V224" s="19"/>
      <c r="W224" s="19"/>
    </row>
    <row r="225" spans="1:23" x14ac:dyDescent="0.2">
      <c r="A225" s="19"/>
      <c r="B225" s="19"/>
      <c r="C225" s="19"/>
      <c r="D225" s="169"/>
      <c r="E225" s="169"/>
      <c r="F225" s="169"/>
      <c r="G225" s="177"/>
      <c r="H225" s="177"/>
      <c r="I225" s="177"/>
      <c r="J225" s="177"/>
      <c r="K225" s="177"/>
      <c r="L225" s="284">
        <f t="shared" si="106"/>
        <v>0</v>
      </c>
      <c r="M225" s="284">
        <f t="shared" si="107"/>
        <v>0</v>
      </c>
      <c r="N225" s="284">
        <f t="shared" si="108"/>
        <v>0</v>
      </c>
      <c r="O225" s="284">
        <f t="shared" si="109"/>
        <v>0</v>
      </c>
      <c r="P225" s="281"/>
      <c r="Q225" s="281"/>
      <c r="R225" s="281"/>
      <c r="S225" s="281"/>
      <c r="T225" s="19"/>
      <c r="U225" s="19"/>
      <c r="V225" s="19"/>
      <c r="W225" s="19"/>
    </row>
    <row r="226" spans="1:23" x14ac:dyDescent="0.2">
      <c r="A226" s="19"/>
      <c r="B226" s="19"/>
      <c r="C226" s="19"/>
      <c r="D226" s="169"/>
      <c r="E226" s="169"/>
      <c r="F226" s="169"/>
      <c r="G226" s="177"/>
      <c r="H226" s="177"/>
      <c r="I226" s="177"/>
      <c r="J226" s="177"/>
      <c r="K226" s="177"/>
      <c r="L226" s="281"/>
      <c r="M226" s="281"/>
      <c r="N226" s="281"/>
      <c r="O226" s="281"/>
      <c r="P226" s="281"/>
      <c r="Q226" s="281"/>
      <c r="R226" s="281"/>
      <c r="S226" s="281"/>
      <c r="T226" s="19"/>
      <c r="U226" s="19"/>
      <c r="V226" s="19"/>
      <c r="W226" s="19"/>
    </row>
    <row r="227" spans="1:23" x14ac:dyDescent="0.2">
      <c r="A227" s="19"/>
      <c r="B227" s="19"/>
      <c r="C227" s="19"/>
      <c r="D227" s="169"/>
      <c r="E227" s="169"/>
      <c r="F227" s="169"/>
      <c r="G227" s="177"/>
      <c r="H227" s="177"/>
      <c r="I227" s="177"/>
      <c r="J227" s="177"/>
      <c r="K227" s="177"/>
      <c r="L227" s="281"/>
      <c r="M227" s="281"/>
      <c r="N227" s="281"/>
      <c r="O227" s="281"/>
      <c r="P227" s="281"/>
      <c r="Q227" s="281"/>
      <c r="R227" s="281"/>
      <c r="S227" s="281"/>
      <c r="T227" s="19"/>
      <c r="U227" s="19"/>
      <c r="V227" s="19"/>
      <c r="W227" s="19"/>
    </row>
    <row r="228" spans="1:23" x14ac:dyDescent="0.2">
      <c r="A228" s="19"/>
      <c r="B228" s="279" t="s">
        <v>6</v>
      </c>
      <c r="C228" s="19"/>
      <c r="D228" s="169"/>
      <c r="E228" s="169"/>
      <c r="F228" s="169"/>
      <c r="G228" s="177"/>
      <c r="H228" s="177"/>
      <c r="I228" s="177"/>
      <c r="J228" s="177"/>
      <c r="K228" s="177"/>
      <c r="L228" s="281"/>
      <c r="M228" s="281"/>
      <c r="N228" s="281"/>
      <c r="O228" s="281"/>
      <c r="P228" s="281"/>
      <c r="Q228" s="281"/>
      <c r="R228" s="281"/>
      <c r="S228" s="281"/>
      <c r="T228" s="19"/>
      <c r="U228" s="19"/>
      <c r="V228" s="19"/>
      <c r="W228" s="19"/>
    </row>
    <row r="229" spans="1:23" x14ac:dyDescent="0.2">
      <c r="A229" s="19"/>
      <c r="B229" s="19" t="s">
        <v>9</v>
      </c>
      <c r="C229" s="19"/>
      <c r="D229" s="169"/>
      <c r="E229" s="169"/>
      <c r="F229" s="169"/>
      <c r="G229" s="177"/>
      <c r="H229" s="177"/>
      <c r="I229" s="177"/>
      <c r="J229" s="177"/>
      <c r="K229" s="177"/>
      <c r="L229" s="284">
        <f t="shared" ref="L229:L251" si="110">SUMIFS($AA$12:$AA$189,$I$12:$I$189,$B229,$K$12:$K$189,FALSE)</f>
        <v>200857833.5</v>
      </c>
      <c r="M229" s="284">
        <f t="shared" ref="M229:M251" si="111">SUMIFS($AB$12:$AB$189,$I$12:$I$189,$B229,$K$12:$K$189,FALSE)</f>
        <v>19311438.290000003</v>
      </c>
      <c r="N229" s="284">
        <f t="shared" ref="N229:N251" si="112">SUMIFS($AD$12:$AD$189,$I$12:$I$189,$B229,$K$12:$K$189,FALSE)</f>
        <v>46091729.455307662</v>
      </c>
      <c r="O229" s="284">
        <f t="shared" ref="O229:O251" si="113">SUMIFS($AE$12:$AE$189,$I$12:$I$189,$B229,$K$12:$K$189,FALSE)</f>
        <v>34381214.499999985</v>
      </c>
      <c r="P229" s="281"/>
      <c r="Q229" s="281"/>
      <c r="R229" s="281"/>
      <c r="S229" s="281"/>
      <c r="T229" s="19"/>
      <c r="U229" s="19"/>
      <c r="V229" s="19"/>
      <c r="W229" s="19"/>
    </row>
    <row r="230" spans="1:23" x14ac:dyDescent="0.2">
      <c r="A230" s="19"/>
      <c r="B230" s="19" t="s">
        <v>10</v>
      </c>
      <c r="C230" s="19"/>
      <c r="D230" s="169"/>
      <c r="E230" s="169"/>
      <c r="F230" s="169"/>
      <c r="G230" s="177"/>
      <c r="H230" s="177"/>
      <c r="I230" s="177"/>
      <c r="J230" s="177"/>
      <c r="K230" s="177"/>
      <c r="L230" s="284">
        <f t="shared" si="110"/>
        <v>95483544.849999994</v>
      </c>
      <c r="M230" s="284">
        <f t="shared" si="111"/>
        <v>35810743.940000005</v>
      </c>
      <c r="N230" s="284">
        <f t="shared" si="112"/>
        <v>19739687.366033901</v>
      </c>
      <c r="O230" s="284">
        <f t="shared" si="113"/>
        <v>28325212.91</v>
      </c>
      <c r="P230" s="281"/>
      <c r="Q230" s="281"/>
      <c r="R230" s="281"/>
      <c r="S230" s="281"/>
      <c r="T230" s="19"/>
      <c r="U230" s="19"/>
      <c r="V230" s="19"/>
      <c r="W230" s="19"/>
    </row>
    <row r="231" spans="1:23" x14ac:dyDescent="0.2">
      <c r="A231" s="19"/>
      <c r="B231" s="19" t="s">
        <v>12</v>
      </c>
      <c r="C231" s="19"/>
      <c r="D231" s="169"/>
      <c r="E231" s="169"/>
      <c r="F231" s="169"/>
      <c r="G231" s="177"/>
      <c r="H231" s="177"/>
      <c r="I231" s="177"/>
      <c r="J231" s="177"/>
      <c r="K231" s="177"/>
      <c r="L231" s="284">
        <f t="shared" si="110"/>
        <v>48605500</v>
      </c>
      <c r="M231" s="284">
        <f t="shared" si="111"/>
        <v>23576916.689999998</v>
      </c>
      <c r="N231" s="284">
        <f t="shared" si="112"/>
        <v>10630497.901811052</v>
      </c>
      <c r="O231" s="284">
        <f t="shared" si="113"/>
        <v>4864928.1900000004</v>
      </c>
      <c r="P231" s="281"/>
      <c r="Q231" s="281"/>
      <c r="R231" s="281"/>
      <c r="S231" s="281"/>
      <c r="T231" s="19"/>
      <c r="U231" s="19"/>
      <c r="V231" s="19"/>
      <c r="W231" s="19"/>
    </row>
    <row r="232" spans="1:23" x14ac:dyDescent="0.2">
      <c r="A232" s="19"/>
      <c r="B232" s="19" t="s">
        <v>7</v>
      </c>
      <c r="C232" s="19"/>
      <c r="D232" s="169"/>
      <c r="E232" s="169"/>
      <c r="F232" s="169"/>
      <c r="G232" s="177"/>
      <c r="H232" s="177"/>
      <c r="I232" s="177"/>
      <c r="J232" s="177"/>
      <c r="K232" s="177"/>
      <c r="L232" s="284">
        <f t="shared" si="110"/>
        <v>41462039.275000006</v>
      </c>
      <c r="M232" s="284">
        <f t="shared" si="111"/>
        <v>24576551.609999999</v>
      </c>
      <c r="N232" s="284">
        <f t="shared" si="112"/>
        <v>7611477.2311437875</v>
      </c>
      <c r="O232" s="284">
        <f t="shared" si="113"/>
        <v>1297857.6399999999</v>
      </c>
      <c r="P232" s="281"/>
      <c r="Q232" s="281"/>
      <c r="R232" s="281"/>
      <c r="S232" s="281"/>
      <c r="T232" s="19"/>
      <c r="U232" s="19"/>
      <c r="V232" s="19"/>
      <c r="W232" s="19"/>
    </row>
    <row r="233" spans="1:23" x14ac:dyDescent="0.2">
      <c r="A233" s="19"/>
      <c r="B233" s="19" t="s">
        <v>8</v>
      </c>
      <c r="C233" s="19"/>
      <c r="D233" s="169"/>
      <c r="E233" s="169"/>
      <c r="F233" s="169"/>
      <c r="G233" s="177"/>
      <c r="H233" s="177"/>
      <c r="I233" s="177"/>
      <c r="J233" s="177"/>
      <c r="K233" s="177"/>
      <c r="L233" s="284">
        <f t="shared" si="110"/>
        <v>75998458.665000007</v>
      </c>
      <c r="M233" s="284">
        <f t="shared" si="111"/>
        <v>28775102.249999996</v>
      </c>
      <c r="N233" s="284">
        <f t="shared" si="112"/>
        <v>14983409.445017666</v>
      </c>
      <c r="O233" s="284">
        <f t="shared" si="113"/>
        <v>8635791.8100000005</v>
      </c>
      <c r="P233" s="281"/>
      <c r="Q233" s="281"/>
      <c r="R233" s="281"/>
      <c r="S233" s="281"/>
      <c r="T233" s="19"/>
      <c r="U233" s="19"/>
      <c r="V233" s="19"/>
      <c r="W233" s="19"/>
    </row>
    <row r="234" spans="1:23" x14ac:dyDescent="0.2">
      <c r="A234" s="19"/>
      <c r="B234" s="19" t="s">
        <v>49</v>
      </c>
      <c r="C234" s="19"/>
      <c r="D234" s="169"/>
      <c r="E234" s="169"/>
      <c r="F234" s="169"/>
      <c r="G234" s="177"/>
      <c r="H234" s="177"/>
      <c r="I234" s="177"/>
      <c r="J234" s="177"/>
      <c r="K234" s="177"/>
      <c r="L234" s="284">
        <f t="shared" si="110"/>
        <v>18258000</v>
      </c>
      <c r="M234" s="284">
        <f t="shared" si="111"/>
        <v>131429592.79000002</v>
      </c>
      <c r="N234" s="284">
        <f t="shared" si="112"/>
        <v>3223389.3284225413</v>
      </c>
      <c r="O234" s="284">
        <f t="shared" si="113"/>
        <v>2053602.75</v>
      </c>
      <c r="P234" s="281"/>
      <c r="Q234" s="281"/>
      <c r="R234" s="281"/>
      <c r="S234" s="281"/>
      <c r="T234" s="19"/>
      <c r="U234" s="19"/>
      <c r="V234" s="19"/>
      <c r="W234" s="19"/>
    </row>
    <row r="235" spans="1:23" x14ac:dyDescent="0.2">
      <c r="A235" s="19"/>
      <c r="B235" s="19" t="s">
        <v>11</v>
      </c>
      <c r="C235" s="19"/>
      <c r="D235" s="169"/>
      <c r="E235" s="169"/>
      <c r="F235" s="169"/>
      <c r="G235" s="177"/>
      <c r="H235" s="177"/>
      <c r="I235" s="177"/>
      <c r="J235" s="177"/>
      <c r="K235" s="177"/>
      <c r="L235" s="284">
        <f t="shared" si="110"/>
        <v>9173850</v>
      </c>
      <c r="M235" s="284">
        <f t="shared" si="111"/>
        <v>467224.8</v>
      </c>
      <c r="N235" s="284">
        <f t="shared" si="112"/>
        <v>2302015.4392893473</v>
      </c>
      <c r="O235" s="284">
        <f t="shared" si="113"/>
        <v>1377560.1</v>
      </c>
      <c r="P235" s="281"/>
      <c r="Q235" s="281"/>
      <c r="R235" s="281"/>
      <c r="S235" s="281"/>
      <c r="T235" s="19"/>
      <c r="U235" s="19"/>
      <c r="V235" s="19"/>
      <c r="W235" s="19"/>
    </row>
    <row r="236" spans="1:23" x14ac:dyDescent="0.2">
      <c r="A236" s="19"/>
      <c r="B236" s="19" t="s">
        <v>47</v>
      </c>
      <c r="C236" s="19"/>
      <c r="D236" s="169"/>
      <c r="E236" s="169"/>
      <c r="F236" s="169"/>
      <c r="G236" s="177"/>
      <c r="H236" s="177"/>
      <c r="I236" s="177"/>
      <c r="J236" s="177"/>
      <c r="K236" s="177"/>
      <c r="L236" s="284">
        <f t="shared" si="110"/>
        <v>9995443</v>
      </c>
      <c r="M236" s="284">
        <f t="shared" si="111"/>
        <v>4276117.5999999996</v>
      </c>
      <c r="N236" s="284">
        <f t="shared" si="112"/>
        <v>2299810.0397641463</v>
      </c>
      <c r="O236" s="284">
        <f t="shared" si="113"/>
        <v>1595900.35</v>
      </c>
      <c r="P236" s="281"/>
      <c r="Q236" s="281"/>
      <c r="R236" s="281"/>
      <c r="S236" s="281"/>
      <c r="T236" s="19"/>
      <c r="U236" s="19"/>
      <c r="V236" s="19"/>
      <c r="W236" s="19"/>
    </row>
    <row r="237" spans="1:23" x14ac:dyDescent="0.2">
      <c r="A237" s="19"/>
      <c r="B237" s="19" t="s">
        <v>38</v>
      </c>
      <c r="C237" s="19"/>
      <c r="D237" s="169"/>
      <c r="E237" s="169"/>
      <c r="F237" s="169"/>
      <c r="G237" s="177"/>
      <c r="H237" s="177"/>
      <c r="I237" s="177"/>
      <c r="J237" s="177"/>
      <c r="K237" s="177"/>
      <c r="L237" s="284">
        <f t="shared" si="110"/>
        <v>4974650</v>
      </c>
      <c r="M237" s="284">
        <f t="shared" si="111"/>
        <v>36644.980000000003</v>
      </c>
      <c r="N237" s="284">
        <f t="shared" si="112"/>
        <v>1286960.7229896456</v>
      </c>
      <c r="O237" s="284">
        <f t="shared" si="113"/>
        <v>587636.54</v>
      </c>
      <c r="P237" s="281"/>
      <c r="Q237" s="281"/>
      <c r="R237" s="281"/>
      <c r="S237" s="281"/>
      <c r="T237" s="19"/>
      <c r="U237" s="19"/>
      <c r="V237" s="19"/>
      <c r="W237" s="19"/>
    </row>
    <row r="238" spans="1:23" x14ac:dyDescent="0.2">
      <c r="A238" s="19"/>
      <c r="B238" s="19" t="s">
        <v>46</v>
      </c>
      <c r="C238" s="19"/>
      <c r="D238" s="169"/>
      <c r="E238" s="169"/>
      <c r="F238" s="169"/>
      <c r="G238" s="177"/>
      <c r="H238" s="177"/>
      <c r="I238" s="177"/>
      <c r="J238" s="177"/>
      <c r="K238" s="177"/>
      <c r="L238" s="284">
        <f t="shared" si="110"/>
        <v>5182250</v>
      </c>
      <c r="M238" s="284">
        <f t="shared" si="111"/>
        <v>2312441.1999999997</v>
      </c>
      <c r="N238" s="284">
        <f t="shared" si="112"/>
        <v>1285442.9280404442</v>
      </c>
      <c r="O238" s="284">
        <f t="shared" si="113"/>
        <v>1031644.9299999999</v>
      </c>
      <c r="P238" s="281"/>
      <c r="Q238" s="281"/>
      <c r="R238" s="281"/>
      <c r="S238" s="281"/>
      <c r="T238" s="19"/>
      <c r="U238" s="19"/>
      <c r="V238" s="19"/>
      <c r="W238" s="19"/>
    </row>
    <row r="239" spans="1:23" x14ac:dyDescent="0.2">
      <c r="A239" s="19"/>
      <c r="B239" s="19" t="s">
        <v>43</v>
      </c>
      <c r="C239" s="19"/>
      <c r="D239" s="169"/>
      <c r="E239" s="169"/>
      <c r="F239" s="169"/>
      <c r="G239" s="177"/>
      <c r="H239" s="177"/>
      <c r="I239" s="177"/>
      <c r="J239" s="177"/>
      <c r="K239" s="177"/>
      <c r="L239" s="284">
        <f t="shared" si="110"/>
        <v>6553915.5</v>
      </c>
      <c r="M239" s="284">
        <f t="shared" si="111"/>
        <v>2029426.8599999999</v>
      </c>
      <c r="N239" s="284">
        <f t="shared" si="112"/>
        <v>1184400.8357781228</v>
      </c>
      <c r="O239" s="284">
        <f t="shared" si="113"/>
        <v>167447.28999999998</v>
      </c>
      <c r="P239" s="281"/>
      <c r="Q239" s="281"/>
      <c r="R239" s="281"/>
      <c r="S239" s="281"/>
      <c r="T239" s="19"/>
      <c r="U239" s="19"/>
      <c r="V239" s="19"/>
      <c r="W239" s="19"/>
    </row>
    <row r="240" spans="1:23" x14ac:dyDescent="0.2">
      <c r="A240" s="19"/>
      <c r="B240" s="19" t="s">
        <v>34</v>
      </c>
      <c r="C240" s="19"/>
      <c r="D240" s="169"/>
      <c r="E240" s="169"/>
      <c r="F240" s="169"/>
      <c r="G240" s="177"/>
      <c r="H240" s="177"/>
      <c r="I240" s="177"/>
      <c r="J240" s="177"/>
      <c r="K240" s="177"/>
      <c r="L240" s="284">
        <f t="shared" si="110"/>
        <v>9488273</v>
      </c>
      <c r="M240" s="284">
        <f t="shared" si="111"/>
        <v>7508.54</v>
      </c>
      <c r="N240" s="284">
        <f t="shared" si="112"/>
        <v>2365942.5861999998</v>
      </c>
      <c r="O240" s="284">
        <f t="shared" si="113"/>
        <v>373852.94</v>
      </c>
      <c r="P240" s="281"/>
      <c r="Q240" s="281"/>
      <c r="R240" s="281"/>
      <c r="S240" s="281"/>
      <c r="T240" s="19"/>
      <c r="U240" s="19"/>
      <c r="V240" s="19"/>
      <c r="W240" s="19"/>
    </row>
    <row r="241" spans="1:23" x14ac:dyDescent="0.2">
      <c r="A241" s="19"/>
      <c r="B241" s="19" t="s">
        <v>33</v>
      </c>
      <c r="C241" s="19"/>
      <c r="D241" s="169"/>
      <c r="E241" s="169"/>
      <c r="F241" s="169"/>
      <c r="G241" s="177"/>
      <c r="H241" s="177"/>
      <c r="I241" s="177"/>
      <c r="J241" s="177"/>
      <c r="K241" s="177"/>
      <c r="L241" s="284">
        <f t="shared" si="110"/>
        <v>3529500</v>
      </c>
      <c r="M241" s="284">
        <f t="shared" si="111"/>
        <v>1353627.97</v>
      </c>
      <c r="N241" s="284">
        <f t="shared" si="112"/>
        <v>647033.58328914933</v>
      </c>
      <c r="O241" s="284">
        <f t="shared" si="113"/>
        <v>102085.48000000001</v>
      </c>
      <c r="P241" s="281"/>
      <c r="Q241" s="281"/>
      <c r="R241" s="281"/>
      <c r="S241" s="281"/>
      <c r="T241" s="19"/>
      <c r="U241" s="19"/>
      <c r="V241" s="19"/>
      <c r="W241" s="19"/>
    </row>
    <row r="242" spans="1:23" x14ac:dyDescent="0.2">
      <c r="A242" s="19"/>
      <c r="B242" s="19" t="s">
        <v>45</v>
      </c>
      <c r="C242" s="19"/>
      <c r="D242" s="169"/>
      <c r="E242" s="169"/>
      <c r="F242" s="169"/>
      <c r="G242" s="177"/>
      <c r="H242" s="177"/>
      <c r="I242" s="177"/>
      <c r="J242" s="177"/>
      <c r="K242" s="177"/>
      <c r="L242" s="284">
        <f t="shared" si="110"/>
        <v>1246500</v>
      </c>
      <c r="M242" s="284">
        <f t="shared" si="111"/>
        <v>4980.2299999999996</v>
      </c>
      <c r="N242" s="284">
        <f t="shared" si="112"/>
        <v>243067.5</v>
      </c>
      <c r="O242" s="284">
        <f t="shared" si="113"/>
        <v>402851.29</v>
      </c>
      <c r="P242" s="281"/>
      <c r="Q242" s="281"/>
      <c r="R242" s="281"/>
      <c r="S242" s="281"/>
      <c r="T242" s="19"/>
      <c r="U242" s="19"/>
      <c r="V242" s="19"/>
      <c r="W242" s="19"/>
    </row>
    <row r="243" spans="1:23" x14ac:dyDescent="0.2">
      <c r="A243" s="19"/>
      <c r="B243" s="19" t="s">
        <v>40</v>
      </c>
      <c r="C243" s="19"/>
      <c r="D243" s="169"/>
      <c r="E243" s="169"/>
      <c r="F243" s="169"/>
      <c r="G243" s="177"/>
      <c r="H243" s="177"/>
      <c r="I243" s="177"/>
      <c r="J243" s="177"/>
      <c r="K243" s="177"/>
      <c r="L243" s="284">
        <f t="shared" si="110"/>
        <v>1432000</v>
      </c>
      <c r="M243" s="284">
        <f t="shared" si="111"/>
        <v>1804.59</v>
      </c>
      <c r="N243" s="284">
        <f t="shared" si="112"/>
        <v>350245.61405514315</v>
      </c>
      <c r="O243" s="284">
        <f t="shared" si="113"/>
        <v>119208.26999999999</v>
      </c>
      <c r="P243" s="281"/>
      <c r="Q243" s="281"/>
      <c r="R243" s="281"/>
      <c r="S243" s="281"/>
      <c r="T243" s="19"/>
      <c r="U243" s="19"/>
      <c r="V243" s="19"/>
      <c r="W243" s="19"/>
    </row>
    <row r="244" spans="1:23" x14ac:dyDescent="0.2">
      <c r="A244" s="19"/>
      <c r="B244" s="19" t="s">
        <v>41</v>
      </c>
      <c r="C244" s="19"/>
      <c r="D244" s="169"/>
      <c r="E244" s="169"/>
      <c r="F244" s="169"/>
      <c r="G244" s="177"/>
      <c r="H244" s="177"/>
      <c r="I244" s="177"/>
      <c r="J244" s="177"/>
      <c r="K244" s="177"/>
      <c r="L244" s="284">
        <f t="shared" si="110"/>
        <v>4036180</v>
      </c>
      <c r="M244" s="284">
        <f t="shared" si="111"/>
        <v>361407.41000000003</v>
      </c>
      <c r="N244" s="284">
        <f t="shared" si="112"/>
        <v>1112307.0395881098</v>
      </c>
      <c r="O244" s="284">
        <f t="shared" si="113"/>
        <v>806609.13</v>
      </c>
      <c r="P244" s="281"/>
      <c r="Q244" s="281"/>
      <c r="R244" s="281"/>
      <c r="S244" s="281"/>
      <c r="T244" s="19"/>
      <c r="U244" s="19"/>
      <c r="V244" s="19"/>
      <c r="W244" s="19"/>
    </row>
    <row r="245" spans="1:23" x14ac:dyDescent="0.2">
      <c r="A245" s="19"/>
      <c r="B245" s="19" t="s">
        <v>48</v>
      </c>
      <c r="C245" s="19"/>
      <c r="D245" s="169"/>
      <c r="E245" s="169"/>
      <c r="F245" s="169"/>
      <c r="G245" s="177"/>
      <c r="H245" s="177"/>
      <c r="I245" s="177"/>
      <c r="J245" s="177"/>
      <c r="K245" s="177"/>
      <c r="L245" s="284">
        <f t="shared" si="110"/>
        <v>1696000</v>
      </c>
      <c r="M245" s="284">
        <f t="shared" si="111"/>
        <v>801822.54</v>
      </c>
      <c r="N245" s="284">
        <f t="shared" si="112"/>
        <v>550674.20183226676</v>
      </c>
      <c r="O245" s="284">
        <f t="shared" si="113"/>
        <v>116151.83</v>
      </c>
      <c r="P245" s="281"/>
      <c r="Q245" s="281"/>
      <c r="R245" s="281"/>
      <c r="S245" s="281"/>
      <c r="T245" s="19"/>
      <c r="U245" s="19"/>
      <c r="V245" s="19"/>
      <c r="W245" s="19"/>
    </row>
    <row r="246" spans="1:23" x14ac:dyDescent="0.2">
      <c r="A246" s="19"/>
      <c r="B246" s="19" t="s">
        <v>35</v>
      </c>
      <c r="C246" s="19"/>
      <c r="D246" s="169"/>
      <c r="E246" s="169"/>
      <c r="F246" s="169"/>
      <c r="G246" s="177"/>
      <c r="H246" s="177"/>
      <c r="I246" s="177"/>
      <c r="J246" s="177"/>
      <c r="K246" s="177"/>
      <c r="L246" s="284">
        <f t="shared" si="110"/>
        <v>3679000</v>
      </c>
      <c r="M246" s="284">
        <f t="shared" si="111"/>
        <v>2343338.5099999998</v>
      </c>
      <c r="N246" s="284">
        <f t="shared" si="112"/>
        <v>1045266.6752318107</v>
      </c>
      <c r="O246" s="284">
        <f t="shared" si="113"/>
        <v>965563.87999999989</v>
      </c>
      <c r="P246" s="281"/>
      <c r="Q246" s="281"/>
      <c r="R246" s="281"/>
      <c r="S246" s="281"/>
      <c r="T246" s="19"/>
      <c r="U246" s="19"/>
      <c r="V246" s="19"/>
      <c r="W246" s="19"/>
    </row>
    <row r="247" spans="1:23" x14ac:dyDescent="0.2">
      <c r="A247" s="19"/>
      <c r="B247" s="19" t="s">
        <v>44</v>
      </c>
      <c r="C247" s="19"/>
      <c r="D247" s="169"/>
      <c r="E247" s="169"/>
      <c r="F247" s="169"/>
      <c r="G247" s="177"/>
      <c r="H247" s="177"/>
      <c r="I247" s="177"/>
      <c r="J247" s="177"/>
      <c r="K247" s="177"/>
      <c r="L247" s="284">
        <f t="shared" si="110"/>
        <v>2845450</v>
      </c>
      <c r="M247" s="284">
        <f t="shared" si="111"/>
        <v>917275.56</v>
      </c>
      <c r="N247" s="284">
        <f t="shared" si="112"/>
        <v>830151.65854634531</v>
      </c>
      <c r="O247" s="284">
        <f t="shared" si="113"/>
        <v>245176.62</v>
      </c>
      <c r="P247" s="281"/>
      <c r="Q247" s="281"/>
      <c r="R247" s="281"/>
      <c r="S247" s="281"/>
      <c r="T247" s="19"/>
      <c r="U247" s="19"/>
      <c r="V247" s="19"/>
      <c r="W247" s="19"/>
    </row>
    <row r="248" spans="1:23" x14ac:dyDescent="0.2">
      <c r="A248" s="19"/>
      <c r="B248" s="19" t="s">
        <v>39</v>
      </c>
      <c r="C248" s="19"/>
      <c r="D248" s="169"/>
      <c r="E248" s="169"/>
      <c r="F248" s="169"/>
      <c r="G248" s="177"/>
      <c r="H248" s="177"/>
      <c r="I248" s="177"/>
      <c r="J248" s="177"/>
      <c r="K248" s="177"/>
      <c r="L248" s="284">
        <f t="shared" si="110"/>
        <v>2572072.84</v>
      </c>
      <c r="M248" s="284">
        <f t="shared" si="111"/>
        <v>892922.28</v>
      </c>
      <c r="N248" s="284">
        <f t="shared" si="112"/>
        <v>697508.58929948241</v>
      </c>
      <c r="O248" s="284">
        <f t="shared" si="113"/>
        <v>243746.38000000003</v>
      </c>
      <c r="P248" s="281"/>
      <c r="Q248" s="281"/>
      <c r="R248" s="281"/>
      <c r="S248" s="281"/>
      <c r="T248" s="19"/>
      <c r="U248" s="19"/>
      <c r="V248" s="19"/>
      <c r="W248" s="19"/>
    </row>
    <row r="249" spans="1:23" x14ac:dyDescent="0.2">
      <c r="A249" s="19"/>
      <c r="B249" s="19" t="s">
        <v>42</v>
      </c>
      <c r="C249" s="19"/>
      <c r="D249" s="169"/>
      <c r="E249" s="169"/>
      <c r="F249" s="169"/>
      <c r="G249" s="177"/>
      <c r="H249" s="177"/>
      <c r="I249" s="177"/>
      <c r="J249" s="177"/>
      <c r="K249" s="177"/>
      <c r="L249" s="284">
        <f t="shared" si="110"/>
        <v>1228000</v>
      </c>
      <c r="M249" s="284">
        <f t="shared" si="111"/>
        <v>834703.99000000011</v>
      </c>
      <c r="N249" s="284">
        <f t="shared" si="112"/>
        <v>208289.95</v>
      </c>
      <c r="O249" s="284">
        <f t="shared" si="113"/>
        <v>90127.4</v>
      </c>
      <c r="P249" s="281"/>
      <c r="Q249" s="281"/>
      <c r="R249" s="281"/>
      <c r="S249" s="281"/>
      <c r="T249" s="19"/>
      <c r="U249" s="19"/>
      <c r="V249" s="19"/>
      <c r="W249" s="19"/>
    </row>
    <row r="250" spans="1:23" x14ac:dyDescent="0.2">
      <c r="A250" s="19"/>
      <c r="B250" s="19" t="s">
        <v>37</v>
      </c>
      <c r="C250" s="19"/>
      <c r="D250" s="169"/>
      <c r="E250" s="169"/>
      <c r="F250" s="169"/>
      <c r="G250" s="177"/>
      <c r="H250" s="177"/>
      <c r="I250" s="177"/>
      <c r="J250" s="177"/>
      <c r="K250" s="177"/>
      <c r="L250" s="284">
        <f t="shared" si="110"/>
        <v>1718555</v>
      </c>
      <c r="M250" s="284">
        <f t="shared" si="111"/>
        <v>24975.68</v>
      </c>
      <c r="N250" s="284">
        <f t="shared" si="112"/>
        <v>283184.39416942926</v>
      </c>
      <c r="O250" s="284">
        <f t="shared" si="113"/>
        <v>118671.95</v>
      </c>
      <c r="P250" s="281"/>
      <c r="Q250" s="281"/>
      <c r="R250" s="281"/>
      <c r="S250" s="281"/>
      <c r="T250" s="19"/>
      <c r="U250" s="19"/>
      <c r="V250" s="19"/>
      <c r="W250" s="19"/>
    </row>
    <row r="251" spans="1:23" x14ac:dyDescent="0.2">
      <c r="A251" s="19"/>
      <c r="B251" s="19" t="s">
        <v>36</v>
      </c>
      <c r="C251" s="19"/>
      <c r="D251" s="169"/>
      <c r="E251" s="169"/>
      <c r="F251" s="169"/>
      <c r="G251" s="177"/>
      <c r="H251" s="177"/>
      <c r="I251" s="177"/>
      <c r="J251" s="177"/>
      <c r="K251" s="177"/>
      <c r="L251" s="284">
        <f t="shared" si="110"/>
        <v>1579000</v>
      </c>
      <c r="M251" s="284">
        <f t="shared" si="111"/>
        <v>0</v>
      </c>
      <c r="N251" s="284">
        <f t="shared" si="112"/>
        <v>273569.82693952724</v>
      </c>
      <c r="O251" s="284">
        <f t="shared" si="113"/>
        <v>157303.62</v>
      </c>
      <c r="P251" s="281"/>
      <c r="Q251" s="281"/>
      <c r="R251" s="281"/>
      <c r="S251" s="281"/>
      <c r="T251" s="19"/>
      <c r="U251" s="19"/>
      <c r="V251" s="19"/>
      <c r="W251" s="19"/>
    </row>
    <row r="252" spans="1:23" x14ac:dyDescent="0.2">
      <c r="A252" s="19"/>
      <c r="B252" s="19"/>
      <c r="C252" s="19"/>
      <c r="D252" s="169"/>
      <c r="E252" s="169"/>
      <c r="F252" s="169"/>
      <c r="G252" s="177"/>
      <c r="H252" s="177"/>
      <c r="I252" s="177"/>
      <c r="J252" s="177"/>
      <c r="K252" s="177"/>
      <c r="L252" s="281"/>
      <c r="M252" s="281"/>
      <c r="N252" s="281"/>
      <c r="O252" s="281"/>
      <c r="P252" s="281"/>
      <c r="Q252" s="281"/>
      <c r="R252" s="281"/>
      <c r="S252" s="281"/>
      <c r="T252" s="19"/>
      <c r="U252" s="19"/>
      <c r="V252" s="19"/>
      <c r="W252" s="19"/>
    </row>
    <row r="253" spans="1:23" x14ac:dyDescent="0.2">
      <c r="A253" s="19"/>
      <c r="B253" s="19"/>
      <c r="C253" s="19"/>
      <c r="D253" s="169"/>
      <c r="E253" s="169"/>
      <c r="F253" s="169"/>
      <c r="G253" s="177"/>
      <c r="H253" s="177"/>
      <c r="I253" s="177"/>
      <c r="J253" s="177"/>
      <c r="K253" s="177"/>
      <c r="L253" s="281"/>
      <c r="M253" s="281"/>
      <c r="N253" s="281"/>
      <c r="O253" s="281"/>
      <c r="P253" s="281"/>
      <c r="Q253" s="281"/>
      <c r="R253" s="281"/>
      <c r="S253" s="281"/>
      <c r="T253" s="19"/>
      <c r="U253" s="19"/>
      <c r="V253" s="19"/>
      <c r="W253" s="19"/>
    </row>
  </sheetData>
  <sheetProtection selectLockedCells="1" selectUnlockedCells="1"/>
  <autoFilter ref="B11:K213"/>
  <mergeCells count="26">
    <mergeCell ref="L5:M5"/>
    <mergeCell ref="AO2:AO3"/>
    <mergeCell ref="AO4:AO5"/>
    <mergeCell ref="BJ9:BL9"/>
    <mergeCell ref="L1:M1"/>
    <mergeCell ref="L2:M2"/>
    <mergeCell ref="L3:M3"/>
    <mergeCell ref="L4:M4"/>
    <mergeCell ref="L6:M6"/>
    <mergeCell ref="AO6:AO7"/>
    <mergeCell ref="AO8:AO9"/>
    <mergeCell ref="AY10:BE10"/>
    <mergeCell ref="BF10:BL10"/>
    <mergeCell ref="D190:K213"/>
    <mergeCell ref="L7:M7"/>
    <mergeCell ref="L8:M8"/>
    <mergeCell ref="AO12:AO13"/>
    <mergeCell ref="AM22:AM33"/>
    <mergeCell ref="AM34:AM45"/>
    <mergeCell ref="AM46:AM57"/>
    <mergeCell ref="AM58:AM69"/>
    <mergeCell ref="AM70:AM81"/>
    <mergeCell ref="AM82:AM93"/>
    <mergeCell ref="AO14:AO15"/>
    <mergeCell ref="AM94:AM105"/>
    <mergeCell ref="AO16:AO17"/>
  </mergeCells>
  <phoneticPr fontId="4" type="noConversion"/>
  <dataValidations disablePrompts="1" count="1">
    <dataValidation type="list" allowBlank="1" showInputMessage="1" showErrorMessage="1" sqref="N4">
      <formula1>"A,N"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22</vt:i4>
      </vt:variant>
    </vt:vector>
  </HeadingPairs>
  <TitlesOfParts>
    <vt:vector size="36" baseType="lpstr">
      <vt:lpstr>SSN_SMO</vt:lpstr>
      <vt:lpstr>I. Report</vt:lpstr>
      <vt:lpstr>II. Sledování projektu</vt:lpstr>
      <vt:lpstr>Graf ratingu</vt:lpstr>
      <vt:lpstr>Parametry ratingu</vt:lpstr>
      <vt:lpstr>III. Souhrn SMO</vt:lpstr>
      <vt:lpstr>Graf % vývoje</vt:lpstr>
      <vt:lpstr>IV. detailní výkazy on-line</vt:lpstr>
      <vt:lpstr>data</vt:lpstr>
      <vt:lpstr>datarep</vt:lpstr>
      <vt:lpstr>Org_nast</vt:lpstr>
      <vt:lpstr>Org_dat</vt:lpstr>
      <vt:lpstr>vstupy</vt:lpstr>
      <vt:lpstr>pict</vt:lpstr>
      <vt:lpstr>jakaKS</vt:lpstr>
      <vt:lpstr>Jiné_výběry</vt:lpstr>
      <vt:lpstr>Městské_obvody</vt:lpstr>
      <vt:lpstr>obdobi</vt:lpstr>
      <vt:lpstr>'II. Sledování projektu'!Oblast_tisku</vt:lpstr>
      <vt:lpstr>'III. Souhrn SMO'!Oblast_tisku</vt:lpstr>
      <vt:lpstr>'IV. detailní výkazy on-line'!Oblast_tisku</vt:lpstr>
      <vt:lpstr>OrgMax</vt:lpstr>
      <vt:lpstr>OrgSortCriteria</vt:lpstr>
      <vt:lpstr>planUspor</vt:lpstr>
      <vt:lpstr>RAT</vt:lpstr>
      <vt:lpstr>Resorty</vt:lpstr>
      <vt:lpstr>Různé_výběry</vt:lpstr>
      <vt:lpstr>uPohyb</vt:lpstr>
      <vt:lpstr>uspora</vt:lpstr>
      <vt:lpstr>vahaD</vt:lpstr>
      <vt:lpstr>vahaE</vt:lpstr>
      <vt:lpstr>vyber1</vt:lpstr>
      <vt:lpstr>vyber2</vt:lpstr>
      <vt:lpstr>vyber21</vt:lpstr>
      <vt:lpstr>Významní_zadavatelé</vt:lpstr>
      <vt:lpstr>zarad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Krzyžanek Bohuslav</cp:lastModifiedBy>
  <cp:lastPrinted>2015-05-19T11:02:06Z</cp:lastPrinted>
  <dcterms:created xsi:type="dcterms:W3CDTF">2011-04-04T08:23:12Z</dcterms:created>
  <dcterms:modified xsi:type="dcterms:W3CDTF">2016-07-12T10:55:42Z</dcterms:modified>
</cp:coreProperties>
</file>